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57490\Desktop\AS report\"/>
    </mc:Choice>
  </mc:AlternateContent>
  <xr:revisionPtr revIDLastSave="0" documentId="13_ncr:1_{3B88F378-B0B1-4750-89B5-AE9198DCA35C}" xr6:coauthVersionLast="47" xr6:coauthVersionMax="47" xr10:uidLastSave="{00000000-0000-0000-0000-000000000000}"/>
  <bookViews>
    <workbookView xWindow="2340" yWindow="2205" windowWidth="23475" windowHeight="13995" xr2:uid="{00000000-000D-0000-FFFF-FFFF00000000}"/>
  </bookViews>
  <sheets>
    <sheet name="Totals" sheetId="1" r:id="rId1"/>
    <sheet name="Cities" sheetId="3" r:id="rId2"/>
    <sheet name="Counties" sheetId="2" r:id="rId3"/>
    <sheet name="School District" sheetId="4" r:id="rId4"/>
  </sheets>
  <definedNames>
    <definedName name="_xlnm.Print_Area" localSheetId="2">Counties!$F$361:$F$373</definedName>
    <definedName name="_xlnm.Print_Area">Counties!$AS$333:$AS$345</definedName>
    <definedName name="_xlnm.Print_Titles" localSheetId="0">Totals!$1:$13</definedName>
    <definedName name="_xlnm.Print_Titles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22" i="4" l="1"/>
  <c r="AB21" i="4"/>
  <c r="AB20" i="4"/>
  <c r="AB19" i="4"/>
  <c r="AB18" i="4"/>
  <c r="AB17" i="4"/>
  <c r="AB16" i="4"/>
  <c r="AB15" i="4"/>
  <c r="AB14" i="4"/>
  <c r="AB13" i="4"/>
  <c r="AB12" i="4"/>
  <c r="AB11" i="4"/>
  <c r="BH22" i="2"/>
  <c r="BH21" i="2"/>
  <c r="BH20" i="2"/>
  <c r="BH19" i="2"/>
  <c r="BH18" i="2"/>
  <c r="BH17" i="2"/>
  <c r="BH16" i="2"/>
  <c r="BH15" i="2"/>
  <c r="BH14" i="2"/>
  <c r="BH13" i="2"/>
  <c r="BH12" i="2"/>
  <c r="BH11" i="2"/>
  <c r="BB22" i="3"/>
  <c r="BB21" i="3"/>
  <c r="BB20" i="3"/>
  <c r="BB19" i="3"/>
  <c r="BB18" i="3"/>
  <c r="BB17" i="3"/>
  <c r="BB16" i="3"/>
  <c r="BB15" i="3"/>
  <c r="BB14" i="3"/>
  <c r="BB13" i="3"/>
  <c r="BB12" i="3"/>
  <c r="BB11" i="3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B33" i="4"/>
  <c r="AB23" i="4" l="1"/>
  <c r="BH23" i="2"/>
  <c r="BB23" i="3"/>
  <c r="AB26" i="4"/>
  <c r="AB27" i="4"/>
  <c r="AB28" i="4"/>
  <c r="AB29" i="4"/>
  <c r="AB30" i="4"/>
  <c r="AB31" i="4"/>
  <c r="AB32" i="4"/>
  <c r="AB34" i="4"/>
  <c r="AB35" i="4"/>
  <c r="AB36" i="4"/>
  <c r="AB25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B37" i="4"/>
  <c r="BH26" i="2"/>
  <c r="BH27" i="2"/>
  <c r="BH28" i="2"/>
  <c r="BH29" i="2"/>
  <c r="BH30" i="2"/>
  <c r="BH31" i="2"/>
  <c r="BH32" i="2"/>
  <c r="BH33" i="2"/>
  <c r="BH34" i="2"/>
  <c r="BH35" i="2"/>
  <c r="BH36" i="2"/>
  <c r="BH25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37" i="2"/>
  <c r="BB25" i="3"/>
  <c r="BB26" i="3"/>
  <c r="BB27" i="3"/>
  <c r="BB28" i="3"/>
  <c r="BB29" i="3"/>
  <c r="BB30" i="3"/>
  <c r="BB31" i="3"/>
  <c r="BB32" i="3"/>
  <c r="BB33" i="3"/>
  <c r="BB34" i="3"/>
  <c r="BB35" i="3"/>
  <c r="BB36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37" i="3"/>
  <c r="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B50" i="3"/>
  <c r="BB49" i="3"/>
  <c r="BB48" i="3"/>
  <c r="BB47" i="3"/>
  <c r="BB46" i="3"/>
  <c r="BB45" i="3"/>
  <c r="BB44" i="3"/>
  <c r="BB43" i="3"/>
  <c r="BB42" i="3"/>
  <c r="BB41" i="3"/>
  <c r="BB40" i="3"/>
  <c r="BB39" i="3"/>
  <c r="BH39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BH50" i="2"/>
  <c r="BH49" i="2"/>
  <c r="BH48" i="2"/>
  <c r="BH47" i="2"/>
  <c r="BH46" i="2"/>
  <c r="BH45" i="2"/>
  <c r="BH44" i="2"/>
  <c r="BH43" i="2"/>
  <c r="BH42" i="2"/>
  <c r="BH41" i="2"/>
  <c r="BH40" i="2"/>
  <c r="BH53" i="2"/>
  <c r="BH54" i="2"/>
  <c r="BH55" i="2"/>
  <c r="BH56" i="2"/>
  <c r="BH57" i="2"/>
  <c r="BH58" i="2"/>
  <c r="BH59" i="2"/>
  <c r="BH60" i="2"/>
  <c r="BH61" i="2"/>
  <c r="BH62" i="2"/>
  <c r="BH63" i="2"/>
  <c r="BH64" i="2"/>
  <c r="E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D51" i="4"/>
  <c r="C51" i="4"/>
  <c r="B51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53" i="4"/>
  <c r="AB37" i="4" l="1"/>
  <c r="BH37" i="2"/>
  <c r="BB37" i="3"/>
  <c r="BB51" i="3"/>
  <c r="BH51" i="2"/>
  <c r="AB51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B65" i="4"/>
  <c r="AB64" i="4"/>
  <c r="AB63" i="4"/>
  <c r="AB62" i="4"/>
  <c r="AB61" i="4"/>
  <c r="AB60" i="4"/>
  <c r="AB59" i="4"/>
  <c r="AB58" i="4"/>
  <c r="AB57" i="4"/>
  <c r="AB56" i="4"/>
  <c r="AB55" i="4"/>
  <c r="AB54" i="4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BA65" i="3"/>
  <c r="AZ65" i="3"/>
  <c r="AY65" i="3"/>
  <c r="AX65" i="3"/>
  <c r="AW65" i="3"/>
  <c r="AV65" i="3"/>
  <c r="AU65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BB64" i="3"/>
  <c r="BB63" i="3"/>
  <c r="BB62" i="3"/>
  <c r="BB61" i="3"/>
  <c r="BB60" i="3"/>
  <c r="BB59" i="3"/>
  <c r="BB58" i="3"/>
  <c r="BB57" i="3"/>
  <c r="BB56" i="3"/>
  <c r="BB55" i="3"/>
  <c r="BB54" i="3"/>
  <c r="BB53" i="3"/>
  <c r="BB67" i="3"/>
  <c r="BB68" i="3"/>
  <c r="BB69" i="3"/>
  <c r="BB70" i="3"/>
  <c r="BB71" i="3"/>
  <c r="BB72" i="3"/>
  <c r="BB73" i="3"/>
  <c r="BB74" i="3"/>
  <c r="BB75" i="3"/>
  <c r="BB76" i="3"/>
  <c r="BB77" i="3"/>
  <c r="B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 l="1"/>
  <c r="AB65" i="4"/>
  <c r="BH65" i="2"/>
  <c r="BB65" i="3"/>
  <c r="B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C79" i="2"/>
  <c r="BH68" i="2"/>
  <c r="BH69" i="2"/>
  <c r="BH70" i="2"/>
  <c r="BH71" i="2"/>
  <c r="BH72" i="2"/>
  <c r="BH73" i="2"/>
  <c r="BH74" i="2"/>
  <c r="BH75" i="2"/>
  <c r="BH76" i="2"/>
  <c r="BH77" i="2"/>
  <c r="BH78" i="2"/>
  <c r="BH67" i="2"/>
  <c r="AB68" i="4"/>
  <c r="AB69" i="4"/>
  <c r="AB70" i="4"/>
  <c r="AB71" i="4"/>
  <c r="AB72" i="4"/>
  <c r="AB73" i="4"/>
  <c r="AB74" i="4"/>
  <c r="AB75" i="4"/>
  <c r="AB76" i="4"/>
  <c r="AB77" i="4"/>
  <c r="AB78" i="4"/>
  <c r="AB67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B79" i="4"/>
  <c r="BH79" i="2" l="1"/>
  <c r="AB79" i="4"/>
  <c r="S93" i="4"/>
  <c r="AB84" i="4" l="1"/>
  <c r="AB82" i="4" l="1"/>
  <c r="AB83" i="4"/>
  <c r="AB85" i="4"/>
  <c r="AB86" i="4"/>
  <c r="AB87" i="4"/>
  <c r="AB88" i="4"/>
  <c r="AB89" i="4"/>
  <c r="AB90" i="4"/>
  <c r="AB91" i="4"/>
  <c r="AB92" i="4"/>
  <c r="AB81" i="4"/>
  <c r="BH82" i="2"/>
  <c r="BH83" i="2"/>
  <c r="BH84" i="2"/>
  <c r="BH85" i="2"/>
  <c r="BH86" i="2"/>
  <c r="BH87" i="2"/>
  <c r="BH88" i="2"/>
  <c r="BH89" i="2"/>
  <c r="BH90" i="2"/>
  <c r="BH91" i="2"/>
  <c r="BH92" i="2"/>
  <c r="BH81" i="2"/>
  <c r="BB82" i="3"/>
  <c r="BB83" i="3"/>
  <c r="BB84" i="3"/>
  <c r="BB85" i="3"/>
  <c r="BB86" i="3"/>
  <c r="BB87" i="3"/>
  <c r="BB88" i="3"/>
  <c r="BB89" i="3"/>
  <c r="BB90" i="3"/>
  <c r="BB91" i="3"/>
  <c r="BB92" i="3"/>
  <c r="BB81" i="3"/>
  <c r="AA93" i="4" l="1"/>
  <c r="AB93" i="4"/>
  <c r="Z93" i="4"/>
  <c r="Y93" i="4"/>
  <c r="X93" i="4"/>
  <c r="W93" i="4"/>
  <c r="V93" i="4"/>
  <c r="U93" i="4"/>
  <c r="T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B93" i="4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93" i="3"/>
  <c r="BB93" i="3"/>
  <c r="BA93" i="3"/>
  <c r="AZ93" i="3"/>
  <c r="AY93" i="3"/>
  <c r="AX93" i="3"/>
  <c r="AW93" i="3"/>
  <c r="AV93" i="3"/>
  <c r="AU93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B95" i="3" l="1"/>
  <c r="BH96" i="2"/>
  <c r="BH97" i="2"/>
  <c r="BH98" i="2"/>
  <c r="BH99" i="2"/>
  <c r="BH100" i="2"/>
  <c r="BH101" i="2"/>
  <c r="BH102" i="2"/>
  <c r="BH103" i="2"/>
  <c r="BH104" i="2"/>
  <c r="BH105" i="2"/>
  <c r="BH106" i="2"/>
  <c r="BH95" i="2"/>
  <c r="C107" i="2" l="1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107" i="2"/>
  <c r="AB96" i="4"/>
  <c r="AB97" i="4"/>
  <c r="AB98" i="4"/>
  <c r="AB99" i="4"/>
  <c r="AB100" i="4"/>
  <c r="AB101" i="4"/>
  <c r="AB102" i="4"/>
  <c r="AB103" i="4"/>
  <c r="AB104" i="4"/>
  <c r="AB105" i="4"/>
  <c r="AB106" i="4"/>
  <c r="AB95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T107" i="4"/>
  <c r="U107" i="4"/>
  <c r="V107" i="4"/>
  <c r="W107" i="4"/>
  <c r="X107" i="4"/>
  <c r="Y107" i="4"/>
  <c r="Z107" i="4"/>
  <c r="AA107" i="4"/>
  <c r="B107" i="4"/>
  <c r="BB96" i="3"/>
  <c r="BB97" i="3"/>
  <c r="BB98" i="3"/>
  <c r="BB99" i="3"/>
  <c r="BB100" i="3"/>
  <c r="BB101" i="3"/>
  <c r="BB102" i="3"/>
  <c r="BB103" i="3"/>
  <c r="BB104" i="3"/>
  <c r="BB105" i="3"/>
  <c r="BB106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107" i="3"/>
  <c r="BB107" i="3" l="1"/>
  <c r="AB107" i="4"/>
  <c r="BH107" i="2"/>
  <c r="AB110" i="4"/>
  <c r="AB111" i="4"/>
  <c r="AB112" i="4"/>
  <c r="AB113" i="4"/>
  <c r="AB114" i="4"/>
  <c r="AB115" i="4"/>
  <c r="AB116" i="4"/>
  <c r="AB117" i="4"/>
  <c r="AB118" i="4"/>
  <c r="AB119" i="4"/>
  <c r="AB120" i="4"/>
  <c r="AB109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T121" i="4"/>
  <c r="U121" i="4"/>
  <c r="V121" i="4"/>
  <c r="W121" i="4"/>
  <c r="X121" i="4"/>
  <c r="Y121" i="4"/>
  <c r="Z121" i="4"/>
  <c r="AA121" i="4"/>
  <c r="B121" i="4"/>
  <c r="BH110" i="2"/>
  <c r="BH111" i="2"/>
  <c r="BH112" i="2"/>
  <c r="BH113" i="2"/>
  <c r="BH114" i="2"/>
  <c r="BH115" i="2"/>
  <c r="BH116" i="2"/>
  <c r="BH117" i="2"/>
  <c r="BH118" i="2"/>
  <c r="BH119" i="2"/>
  <c r="BH120" i="2"/>
  <c r="BH109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121" i="2"/>
  <c r="B135" i="2"/>
  <c r="BB110" i="3"/>
  <c r="BB111" i="3"/>
  <c r="BB112" i="3"/>
  <c r="BB113" i="3"/>
  <c r="BB114" i="3"/>
  <c r="BB115" i="3"/>
  <c r="BB116" i="3"/>
  <c r="BB117" i="3"/>
  <c r="BB118" i="3"/>
  <c r="BB119" i="3"/>
  <c r="BB120" i="3"/>
  <c r="BB109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121" i="3"/>
  <c r="BB121" i="3" l="1"/>
  <c r="AB121" i="4"/>
  <c r="BH121" i="2"/>
  <c r="BH123" i="2"/>
  <c r="BH124" i="2"/>
  <c r="BH125" i="2"/>
  <c r="BH126" i="2"/>
  <c r="BH127" i="2"/>
  <c r="BH128" i="2"/>
  <c r="BH129" i="2"/>
  <c r="BH130" i="2"/>
  <c r="BH131" i="2"/>
  <c r="BH132" i="2"/>
  <c r="BH133" i="2"/>
  <c r="BH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B123" i="3"/>
  <c r="BB124" i="3"/>
  <c r="BB125" i="3"/>
  <c r="BB126" i="3"/>
  <c r="BB127" i="3"/>
  <c r="BB128" i="3"/>
  <c r="BB129" i="3"/>
  <c r="BB130" i="3"/>
  <c r="BB131" i="3"/>
  <c r="BB132" i="3"/>
  <c r="BB133" i="3"/>
  <c r="BB134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135" i="3"/>
  <c r="AB123" i="4"/>
  <c r="AB124" i="4"/>
  <c r="AB125" i="4"/>
  <c r="AB126" i="4"/>
  <c r="AB127" i="4"/>
  <c r="AB128" i="4"/>
  <c r="AB129" i="4"/>
  <c r="AB130" i="4"/>
  <c r="AB131" i="4"/>
  <c r="AB132" i="4"/>
  <c r="AB133" i="4"/>
  <c r="AB134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T135" i="4"/>
  <c r="U135" i="4"/>
  <c r="V135" i="4"/>
  <c r="W135" i="4"/>
  <c r="X135" i="4"/>
  <c r="Y135" i="4"/>
  <c r="Z135" i="4"/>
  <c r="AA135" i="4"/>
  <c r="B135" i="4"/>
  <c r="B149" i="3"/>
  <c r="B163" i="3"/>
  <c r="B177" i="3"/>
  <c r="B191" i="3"/>
  <c r="AA149" i="4"/>
  <c r="Z149" i="4"/>
  <c r="Y149" i="4"/>
  <c r="X149" i="4"/>
  <c r="W149" i="4"/>
  <c r="V149" i="4"/>
  <c r="U149" i="4"/>
  <c r="T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B149" i="4"/>
  <c r="AB148" i="4"/>
  <c r="AB147" i="4"/>
  <c r="AB146" i="4"/>
  <c r="AB145" i="4"/>
  <c r="AB144" i="4"/>
  <c r="AB143" i="4"/>
  <c r="AB142" i="4"/>
  <c r="AB141" i="4"/>
  <c r="AB140" i="4"/>
  <c r="AB139" i="4"/>
  <c r="AB138" i="4"/>
  <c r="AB137" i="4"/>
  <c r="BA149" i="3"/>
  <c r="AZ149" i="3"/>
  <c r="AY149" i="3"/>
  <c r="AX149" i="3"/>
  <c r="AW149" i="3"/>
  <c r="AV149" i="3"/>
  <c r="AU149" i="3"/>
  <c r="AT149" i="3"/>
  <c r="AS149" i="3"/>
  <c r="AR149" i="3"/>
  <c r="AQ149" i="3"/>
  <c r="AP149" i="3"/>
  <c r="AO149" i="3"/>
  <c r="AN149" i="3"/>
  <c r="AM149" i="3"/>
  <c r="AL149" i="3"/>
  <c r="AK149" i="3"/>
  <c r="AJ149" i="3"/>
  <c r="AI149" i="3"/>
  <c r="AH149" i="3"/>
  <c r="AG149" i="3"/>
  <c r="AF149" i="3"/>
  <c r="AE149" i="3"/>
  <c r="AD149" i="3"/>
  <c r="AC149" i="3"/>
  <c r="AB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BB148" i="3"/>
  <c r="BB147" i="3"/>
  <c r="BB146" i="3"/>
  <c r="BB145" i="3"/>
  <c r="BB144" i="3"/>
  <c r="BB143" i="3"/>
  <c r="BB142" i="3"/>
  <c r="BB141" i="3"/>
  <c r="BB140" i="3"/>
  <c r="BB139" i="3"/>
  <c r="BB138" i="3"/>
  <c r="BB137" i="3"/>
  <c r="BF149" i="2"/>
  <c r="BE149" i="2"/>
  <c r="BD149" i="2"/>
  <c r="BC149" i="2"/>
  <c r="BB149" i="2"/>
  <c r="BA149" i="2"/>
  <c r="AZ149" i="2"/>
  <c r="AY149" i="2"/>
  <c r="AX149" i="2"/>
  <c r="AW149" i="2"/>
  <c r="AV149" i="2"/>
  <c r="AU149" i="2"/>
  <c r="AT149" i="2"/>
  <c r="AS149" i="2"/>
  <c r="AR149" i="2"/>
  <c r="AQ149" i="2"/>
  <c r="AP149" i="2"/>
  <c r="AO149" i="2"/>
  <c r="AN149" i="2"/>
  <c r="AM149" i="2"/>
  <c r="AL149" i="2"/>
  <c r="AK149" i="2"/>
  <c r="AJ149" i="2"/>
  <c r="AI149" i="2"/>
  <c r="AH149" i="2"/>
  <c r="AG149" i="2"/>
  <c r="AF149" i="2"/>
  <c r="AE149" i="2"/>
  <c r="AD149" i="2"/>
  <c r="AC149" i="2"/>
  <c r="AB149" i="2"/>
  <c r="AA149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B149" i="2"/>
  <c r="BH138" i="2"/>
  <c r="BH139" i="2"/>
  <c r="BH140" i="2"/>
  <c r="BH141" i="2"/>
  <c r="BH142" i="2"/>
  <c r="BH143" i="2"/>
  <c r="BH144" i="2"/>
  <c r="BH145" i="2"/>
  <c r="BH146" i="2"/>
  <c r="BH147" i="2"/>
  <c r="BH148" i="2"/>
  <c r="BH137" i="2"/>
  <c r="U163" i="4"/>
  <c r="BB157" i="3"/>
  <c r="BB156" i="3"/>
  <c r="AB151" i="4"/>
  <c r="BH152" i="2"/>
  <c r="BH153" i="2"/>
  <c r="BH154" i="2"/>
  <c r="BH155" i="2"/>
  <c r="BH156" i="2"/>
  <c r="BH157" i="2"/>
  <c r="BH158" i="2"/>
  <c r="BH159" i="2"/>
  <c r="BH160" i="2"/>
  <c r="BH161" i="2"/>
  <c r="BH162" i="2"/>
  <c r="BH151" i="2"/>
  <c r="BG163" i="2"/>
  <c r="BF163" i="2"/>
  <c r="BE163" i="2"/>
  <c r="BD163" i="2"/>
  <c r="BC163" i="2"/>
  <c r="BB163" i="2"/>
  <c r="BA163" i="2"/>
  <c r="AZ163" i="2"/>
  <c r="AY163" i="2"/>
  <c r="AX163" i="2"/>
  <c r="AW163" i="2"/>
  <c r="AV163" i="2"/>
  <c r="AU163" i="2"/>
  <c r="AT163" i="2"/>
  <c r="AS163" i="2"/>
  <c r="AR163" i="2"/>
  <c r="AQ163" i="2"/>
  <c r="AP163" i="2"/>
  <c r="AO163" i="2"/>
  <c r="AN163" i="2"/>
  <c r="AM163" i="2"/>
  <c r="AL163" i="2"/>
  <c r="AK163" i="2"/>
  <c r="AJ163" i="2"/>
  <c r="AI163" i="2"/>
  <c r="AH163" i="2"/>
  <c r="AG163" i="2"/>
  <c r="AF163" i="2"/>
  <c r="AE163" i="2"/>
  <c r="AD163" i="2"/>
  <c r="AC163" i="2"/>
  <c r="AB163" i="2"/>
  <c r="AA163" i="2"/>
  <c r="Z163" i="2"/>
  <c r="Y163" i="2"/>
  <c r="X163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B163" i="2"/>
  <c r="BB152" i="3"/>
  <c r="BB153" i="3"/>
  <c r="BB154" i="3"/>
  <c r="BB155" i="3"/>
  <c r="BB158" i="3"/>
  <c r="BB159" i="3"/>
  <c r="BB160" i="3"/>
  <c r="BB161" i="3"/>
  <c r="BB162" i="3"/>
  <c r="BB151" i="3"/>
  <c r="BA163" i="3"/>
  <c r="AZ163" i="3"/>
  <c r="AY163" i="3"/>
  <c r="AX163" i="3"/>
  <c r="AW163" i="3"/>
  <c r="AV163" i="3"/>
  <c r="AU163" i="3"/>
  <c r="AT163" i="3"/>
  <c r="AS163" i="3"/>
  <c r="AR163" i="3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AB152" i="4"/>
  <c r="AB153" i="4"/>
  <c r="AB154" i="4"/>
  <c r="AB155" i="4"/>
  <c r="AB156" i="4"/>
  <c r="AB157" i="4"/>
  <c r="AB158" i="4"/>
  <c r="AB159" i="4"/>
  <c r="AB160" i="4"/>
  <c r="AB161" i="4"/>
  <c r="AB162" i="4"/>
  <c r="AA163" i="4"/>
  <c r="Z163" i="4"/>
  <c r="Y163" i="4"/>
  <c r="X163" i="4"/>
  <c r="W163" i="4"/>
  <c r="V163" i="4"/>
  <c r="T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B163" i="4"/>
  <c r="B177" i="2"/>
  <c r="D177" i="2"/>
  <c r="F177" i="2"/>
  <c r="H177" i="2"/>
  <c r="J177" i="2"/>
  <c r="L177" i="2"/>
  <c r="N177" i="2"/>
  <c r="P177" i="2"/>
  <c r="R177" i="2"/>
  <c r="T177" i="2"/>
  <c r="V177" i="2"/>
  <c r="X177" i="2"/>
  <c r="Z177" i="2"/>
  <c r="AB177" i="2"/>
  <c r="AD177" i="2"/>
  <c r="AF177" i="2"/>
  <c r="AH177" i="2"/>
  <c r="AJ177" i="2"/>
  <c r="AL177" i="2"/>
  <c r="AN177" i="2"/>
  <c r="AP177" i="2"/>
  <c r="AR177" i="2"/>
  <c r="AT177" i="2"/>
  <c r="AV177" i="2"/>
  <c r="AX177" i="2"/>
  <c r="AZ177" i="2"/>
  <c r="BB177" i="2"/>
  <c r="BD177" i="2"/>
  <c r="BF177" i="2"/>
  <c r="AB166" i="4"/>
  <c r="AB167" i="4"/>
  <c r="AB168" i="4"/>
  <c r="AB169" i="4"/>
  <c r="AB170" i="4"/>
  <c r="AB171" i="4"/>
  <c r="AB172" i="4"/>
  <c r="AB173" i="4"/>
  <c r="AB174" i="4"/>
  <c r="AB175" i="4"/>
  <c r="AB176" i="4"/>
  <c r="AB165" i="4"/>
  <c r="BH166" i="2"/>
  <c r="BH167" i="2"/>
  <c r="BH168" i="2"/>
  <c r="BH169" i="2"/>
  <c r="BH170" i="2"/>
  <c r="BH171" i="2"/>
  <c r="BH172" i="2"/>
  <c r="BH173" i="2"/>
  <c r="BH174" i="2"/>
  <c r="BH175" i="2"/>
  <c r="BH176" i="2"/>
  <c r="BH165" i="2"/>
  <c r="BB166" i="3"/>
  <c r="BB167" i="3"/>
  <c r="BB168" i="3"/>
  <c r="BB169" i="3"/>
  <c r="BB170" i="3"/>
  <c r="BB171" i="3"/>
  <c r="BB172" i="3"/>
  <c r="BB173" i="3"/>
  <c r="BB174" i="3"/>
  <c r="BB175" i="3"/>
  <c r="BB176" i="3"/>
  <c r="BB165" i="3"/>
  <c r="AA177" i="4"/>
  <c r="Z177" i="4"/>
  <c r="Y177" i="4"/>
  <c r="X177" i="4"/>
  <c r="W177" i="4"/>
  <c r="V177" i="4"/>
  <c r="T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B177" i="4"/>
  <c r="BA177" i="3"/>
  <c r="AZ177" i="3"/>
  <c r="AY177" i="3"/>
  <c r="AX177" i="3"/>
  <c r="AW177" i="3"/>
  <c r="AV177" i="3"/>
  <c r="AU177" i="3"/>
  <c r="AT177" i="3"/>
  <c r="AS177" i="3"/>
  <c r="AR177" i="3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G177" i="2"/>
  <c r="BE177" i="2"/>
  <c r="BC177" i="2"/>
  <c r="BA177" i="2"/>
  <c r="AY177" i="2"/>
  <c r="AW177" i="2"/>
  <c r="AU177" i="2"/>
  <c r="AS177" i="2"/>
  <c r="AQ177" i="2"/>
  <c r="AO177" i="2"/>
  <c r="AM177" i="2"/>
  <c r="AK177" i="2"/>
  <c r="AI177" i="2"/>
  <c r="AG177" i="2"/>
  <c r="AE177" i="2"/>
  <c r="AC177" i="2"/>
  <c r="AA177" i="2"/>
  <c r="Y177" i="2"/>
  <c r="W177" i="2"/>
  <c r="U177" i="2"/>
  <c r="S177" i="2"/>
  <c r="Q177" i="2"/>
  <c r="O177" i="2"/>
  <c r="M177" i="2"/>
  <c r="K177" i="2"/>
  <c r="I177" i="2"/>
  <c r="G177" i="2"/>
  <c r="E177" i="2"/>
  <c r="C177" i="2"/>
  <c r="AB189" i="4"/>
  <c r="B191" i="4"/>
  <c r="B205" i="4"/>
  <c r="B205" i="3"/>
  <c r="B219" i="3"/>
  <c r="BB180" i="3"/>
  <c r="BB181" i="3"/>
  <c r="BB182" i="3"/>
  <c r="BB183" i="3"/>
  <c r="BB184" i="3"/>
  <c r="BB185" i="3"/>
  <c r="BB186" i="3"/>
  <c r="BB187" i="3"/>
  <c r="BB188" i="3"/>
  <c r="BB189" i="3"/>
  <c r="BB190" i="3"/>
  <c r="BB179" i="3"/>
  <c r="AB180" i="4"/>
  <c r="AB181" i="4"/>
  <c r="AB182" i="4"/>
  <c r="AB183" i="4"/>
  <c r="AB184" i="4"/>
  <c r="AB185" i="4"/>
  <c r="AB186" i="4"/>
  <c r="AB187" i="4"/>
  <c r="AB188" i="4"/>
  <c r="AB190" i="4"/>
  <c r="AB179" i="4"/>
  <c r="W191" i="4"/>
  <c r="X191" i="4"/>
  <c r="Y191" i="4"/>
  <c r="Z191" i="4"/>
  <c r="AA191" i="4"/>
  <c r="M191" i="4"/>
  <c r="N191" i="4"/>
  <c r="O191" i="4"/>
  <c r="P191" i="4"/>
  <c r="Q191" i="4"/>
  <c r="R191" i="4"/>
  <c r="T191" i="4"/>
  <c r="V191" i="4"/>
  <c r="G191" i="4"/>
  <c r="H191" i="4"/>
  <c r="I191" i="4"/>
  <c r="J191" i="4"/>
  <c r="K191" i="4"/>
  <c r="L191" i="4"/>
  <c r="D191" i="4"/>
  <c r="E191" i="4"/>
  <c r="F191" i="4"/>
  <c r="C191" i="4"/>
  <c r="BA191" i="3"/>
  <c r="AZ191" i="3"/>
  <c r="AY191" i="3"/>
  <c r="AX191" i="3"/>
  <c r="AW191" i="3"/>
  <c r="AV191" i="3"/>
  <c r="AU191" i="3"/>
  <c r="AT191" i="3"/>
  <c r="AS191" i="3"/>
  <c r="AR191" i="3"/>
  <c r="AQ191" i="3"/>
  <c r="AP191" i="3"/>
  <c r="AO191" i="3"/>
  <c r="AN191" i="3"/>
  <c r="AM191" i="3"/>
  <c r="AL191" i="3"/>
  <c r="AK191" i="3"/>
  <c r="AJ191" i="3"/>
  <c r="AI191" i="3"/>
  <c r="AH191" i="3"/>
  <c r="AG191" i="3"/>
  <c r="AF191" i="3"/>
  <c r="AE191" i="3"/>
  <c r="AD191" i="3"/>
  <c r="AC191" i="3"/>
  <c r="AB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BG191" i="2"/>
  <c r="BF191" i="2"/>
  <c r="BE191" i="2"/>
  <c r="BD191" i="2"/>
  <c r="BC191" i="2"/>
  <c r="BB191" i="2"/>
  <c r="BA191" i="2"/>
  <c r="AZ191" i="2"/>
  <c r="AY191" i="2"/>
  <c r="AX191" i="2"/>
  <c r="AW191" i="2"/>
  <c r="AV191" i="2"/>
  <c r="AU191" i="2"/>
  <c r="AT191" i="2"/>
  <c r="AS191" i="2"/>
  <c r="AR191" i="2"/>
  <c r="AQ191" i="2"/>
  <c r="AP191" i="2"/>
  <c r="AO191" i="2"/>
  <c r="AN191" i="2"/>
  <c r="AM191" i="2"/>
  <c r="AL191" i="2"/>
  <c r="AK191" i="2"/>
  <c r="AJ191" i="2"/>
  <c r="AI191" i="2"/>
  <c r="AH191" i="2"/>
  <c r="AG191" i="2"/>
  <c r="AF191" i="2"/>
  <c r="AE191" i="2"/>
  <c r="AD191" i="2"/>
  <c r="AC191" i="2"/>
  <c r="AB191" i="2"/>
  <c r="AA191" i="2"/>
  <c r="Z191" i="2"/>
  <c r="Y191" i="2"/>
  <c r="X191" i="2"/>
  <c r="W191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C191" i="2"/>
  <c r="B191" i="2"/>
  <c r="BH190" i="2"/>
  <c r="BH189" i="2"/>
  <c r="BH188" i="2"/>
  <c r="BH187" i="2"/>
  <c r="BH186" i="2"/>
  <c r="BH185" i="2"/>
  <c r="BH184" i="2"/>
  <c r="BH183" i="2"/>
  <c r="BH182" i="2"/>
  <c r="BH181" i="2"/>
  <c r="BH180" i="2"/>
  <c r="BH179" i="2"/>
  <c r="B205" i="2"/>
  <c r="B219" i="2"/>
  <c r="B233" i="2"/>
  <c r="B247" i="2"/>
  <c r="BH204" i="2"/>
  <c r="BH203" i="2"/>
  <c r="BH202" i="2"/>
  <c r="BH201" i="2"/>
  <c r="BH200" i="2"/>
  <c r="BH199" i="2"/>
  <c r="BH198" i="2"/>
  <c r="BH197" i="2"/>
  <c r="BH196" i="2"/>
  <c r="BH195" i="2"/>
  <c r="BH194" i="2"/>
  <c r="BH193" i="2"/>
  <c r="BB205" i="2"/>
  <c r="BC205" i="2"/>
  <c r="BD205" i="2"/>
  <c r="BE205" i="2"/>
  <c r="BF205" i="2"/>
  <c r="BG205" i="2"/>
  <c r="BA205" i="2"/>
  <c r="AZ205" i="2"/>
  <c r="AY205" i="2"/>
  <c r="AX205" i="2"/>
  <c r="AW205" i="2"/>
  <c r="AV205" i="2"/>
  <c r="AU205" i="2"/>
  <c r="AT205" i="2"/>
  <c r="AS205" i="2"/>
  <c r="AR205" i="2"/>
  <c r="AQ205" i="2"/>
  <c r="AP205" i="2"/>
  <c r="AO205" i="2"/>
  <c r="AN205" i="2"/>
  <c r="AM205" i="2"/>
  <c r="AL205" i="2"/>
  <c r="AK205" i="2"/>
  <c r="AJ205" i="2"/>
  <c r="AI205" i="2"/>
  <c r="AH205" i="2"/>
  <c r="AG205" i="2"/>
  <c r="AF205" i="2"/>
  <c r="AE205" i="2"/>
  <c r="AD205" i="2"/>
  <c r="AC205" i="2"/>
  <c r="AB205" i="2"/>
  <c r="AA205" i="2"/>
  <c r="Z205" i="2"/>
  <c r="Y205" i="2"/>
  <c r="X205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E205" i="2"/>
  <c r="D205" i="2"/>
  <c r="C205" i="2"/>
  <c r="BB194" i="3"/>
  <c r="BB195" i="3"/>
  <c r="BB196" i="3"/>
  <c r="BB197" i="3"/>
  <c r="BB198" i="3"/>
  <c r="BB199" i="3"/>
  <c r="BB200" i="3"/>
  <c r="BB201" i="3"/>
  <c r="BB202" i="3"/>
  <c r="BB203" i="3"/>
  <c r="BB204" i="3"/>
  <c r="AN205" i="3"/>
  <c r="AO205" i="3"/>
  <c r="AP205" i="3"/>
  <c r="AQ205" i="3"/>
  <c r="AR205" i="3"/>
  <c r="AS205" i="3"/>
  <c r="AT205" i="3"/>
  <c r="AF205" i="3"/>
  <c r="AG205" i="3"/>
  <c r="AH205" i="3"/>
  <c r="AI205" i="3"/>
  <c r="AJ205" i="3"/>
  <c r="AK205" i="3"/>
  <c r="AL205" i="3"/>
  <c r="AM205" i="3"/>
  <c r="AB205" i="3"/>
  <c r="AC205" i="3"/>
  <c r="AD205" i="3"/>
  <c r="AE205" i="3"/>
  <c r="BB193" i="3"/>
  <c r="AW205" i="3"/>
  <c r="AX205" i="3"/>
  <c r="AY205" i="3"/>
  <c r="AZ205" i="3"/>
  <c r="BA205" i="3"/>
  <c r="AV205" i="3"/>
  <c r="AU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AA205" i="4"/>
  <c r="Z205" i="4"/>
  <c r="Y205" i="4"/>
  <c r="X205" i="4"/>
  <c r="W205" i="4"/>
  <c r="V205" i="4"/>
  <c r="T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AB204" i="4"/>
  <c r="AB203" i="4"/>
  <c r="AB202" i="4"/>
  <c r="AB201" i="4"/>
  <c r="AB200" i="4"/>
  <c r="AB199" i="4"/>
  <c r="AB198" i="4"/>
  <c r="AB197" i="4"/>
  <c r="AB196" i="4"/>
  <c r="AB195" i="4"/>
  <c r="AB194" i="4"/>
  <c r="AB193" i="4"/>
  <c r="M219" i="4"/>
  <c r="O219" i="4"/>
  <c r="BG219" i="2"/>
  <c r="BF219" i="2"/>
  <c r="BE219" i="2"/>
  <c r="BD219" i="2"/>
  <c r="BC219" i="2"/>
  <c r="BB219" i="2"/>
  <c r="BA219" i="2"/>
  <c r="AZ219" i="2"/>
  <c r="AY219" i="2"/>
  <c r="AX219" i="2"/>
  <c r="AW219" i="2"/>
  <c r="AV219" i="2"/>
  <c r="AU219" i="2"/>
  <c r="AT219" i="2"/>
  <c r="AS219" i="2"/>
  <c r="AR219" i="2"/>
  <c r="AQ219" i="2"/>
  <c r="AP219" i="2"/>
  <c r="AO219" i="2"/>
  <c r="AN219" i="2"/>
  <c r="AM219" i="2"/>
  <c r="AL219" i="2"/>
  <c r="AK219" i="2"/>
  <c r="AJ219" i="2"/>
  <c r="AI219" i="2"/>
  <c r="AH219" i="2"/>
  <c r="AG219" i="2"/>
  <c r="AF219" i="2"/>
  <c r="AE219" i="2"/>
  <c r="AD219" i="2"/>
  <c r="AC219" i="2"/>
  <c r="AB219" i="2"/>
  <c r="AA219" i="2"/>
  <c r="Z219" i="2"/>
  <c r="Y219" i="2"/>
  <c r="X219" i="2"/>
  <c r="W219" i="2"/>
  <c r="V219" i="2"/>
  <c r="U219" i="2"/>
  <c r="T219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E219" i="2"/>
  <c r="D219" i="2"/>
  <c r="C219" i="2"/>
  <c r="BA219" i="3"/>
  <c r="AZ219" i="3"/>
  <c r="AY219" i="3"/>
  <c r="AX219" i="3"/>
  <c r="AW219" i="3"/>
  <c r="AV219" i="3"/>
  <c r="AU219" i="3"/>
  <c r="AT219" i="3"/>
  <c r="AS219" i="3"/>
  <c r="AR219" i="3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AA219" i="4"/>
  <c r="Z219" i="4"/>
  <c r="Y219" i="4"/>
  <c r="X219" i="4"/>
  <c r="W219" i="4"/>
  <c r="V219" i="4"/>
  <c r="T219" i="4"/>
  <c r="R219" i="4"/>
  <c r="Q219" i="4"/>
  <c r="P219" i="4"/>
  <c r="N219" i="4"/>
  <c r="L219" i="4"/>
  <c r="K219" i="4"/>
  <c r="J219" i="4"/>
  <c r="I219" i="4"/>
  <c r="H219" i="4"/>
  <c r="G219" i="4"/>
  <c r="F219" i="4"/>
  <c r="E219" i="4"/>
  <c r="D219" i="4"/>
  <c r="C219" i="4"/>
  <c r="B219" i="4"/>
  <c r="AB218" i="4"/>
  <c r="AB217" i="4"/>
  <c r="AB216" i="4"/>
  <c r="AB215" i="4"/>
  <c r="AB214" i="4"/>
  <c r="AB213" i="4"/>
  <c r="AB212" i="4"/>
  <c r="AB211" i="4"/>
  <c r="AB210" i="4"/>
  <c r="AB209" i="4"/>
  <c r="AB208" i="4"/>
  <c r="AB207" i="4"/>
  <c r="BH218" i="2"/>
  <c r="BH217" i="2"/>
  <c r="BH216" i="2"/>
  <c r="BH215" i="2"/>
  <c r="BH214" i="2"/>
  <c r="BH213" i="2"/>
  <c r="BH212" i="2"/>
  <c r="BH211" i="2"/>
  <c r="BH210" i="2"/>
  <c r="BH209" i="2"/>
  <c r="BH208" i="2"/>
  <c r="BH207" i="2"/>
  <c r="BB218" i="3"/>
  <c r="BB217" i="3"/>
  <c r="BB216" i="3"/>
  <c r="BB215" i="3"/>
  <c r="BB214" i="3"/>
  <c r="BB213" i="3"/>
  <c r="BB212" i="3"/>
  <c r="BB211" i="3"/>
  <c r="BB210" i="3"/>
  <c r="BB209" i="3"/>
  <c r="BB208" i="3"/>
  <c r="BB207" i="3"/>
  <c r="R233" i="4"/>
  <c r="O233" i="4"/>
  <c r="Z233" i="3"/>
  <c r="BB226" i="3"/>
  <c r="AB232" i="4"/>
  <c r="AB231" i="4"/>
  <c r="AB230" i="4"/>
  <c r="AB229" i="4"/>
  <c r="AB228" i="4"/>
  <c r="AB227" i="4"/>
  <c r="AB226" i="4"/>
  <c r="AB225" i="4"/>
  <c r="AB224" i="4"/>
  <c r="AB223" i="4"/>
  <c r="AB222" i="4"/>
  <c r="AB221" i="4"/>
  <c r="BB232" i="3"/>
  <c r="BB231" i="3"/>
  <c r="BB230" i="3"/>
  <c r="BB229" i="3"/>
  <c r="BB228" i="3"/>
  <c r="BB227" i="3"/>
  <c r="BB225" i="3"/>
  <c r="BB224" i="3"/>
  <c r="BB223" i="3"/>
  <c r="BB222" i="3"/>
  <c r="BB221" i="3"/>
  <c r="BH232" i="2"/>
  <c r="BH231" i="2"/>
  <c r="BH230" i="2"/>
  <c r="BH229" i="2"/>
  <c r="BH228" i="2"/>
  <c r="BH227" i="2"/>
  <c r="BH226" i="2"/>
  <c r="BH225" i="2"/>
  <c r="BH224" i="2"/>
  <c r="BH223" i="2"/>
  <c r="BH222" i="2"/>
  <c r="BH221" i="2"/>
  <c r="BG233" i="2"/>
  <c r="BF233" i="2"/>
  <c r="BE233" i="2"/>
  <c r="BD233" i="2"/>
  <c r="BC233" i="2"/>
  <c r="BB233" i="2"/>
  <c r="BA233" i="2"/>
  <c r="AZ233" i="2"/>
  <c r="AY233" i="2"/>
  <c r="AX233" i="2"/>
  <c r="AW233" i="2"/>
  <c r="AV233" i="2"/>
  <c r="AU233" i="2"/>
  <c r="AT233" i="2"/>
  <c r="AS233" i="2"/>
  <c r="AR233" i="2"/>
  <c r="AQ233" i="2"/>
  <c r="AP233" i="2"/>
  <c r="AO233" i="2"/>
  <c r="AN233" i="2"/>
  <c r="AM233" i="2"/>
  <c r="AL233" i="2"/>
  <c r="AK233" i="2"/>
  <c r="AJ233" i="2"/>
  <c r="AI233" i="2"/>
  <c r="AH233" i="2"/>
  <c r="AG233" i="2"/>
  <c r="AF233" i="2"/>
  <c r="AE233" i="2"/>
  <c r="AD233" i="2"/>
  <c r="AC233" i="2"/>
  <c r="AB233" i="2"/>
  <c r="AA233" i="2"/>
  <c r="Z233" i="2"/>
  <c r="Y233" i="2"/>
  <c r="X233" i="2"/>
  <c r="W233" i="2"/>
  <c r="V233" i="2"/>
  <c r="U233" i="2"/>
  <c r="T233" i="2"/>
  <c r="S233" i="2"/>
  <c r="R233" i="2"/>
  <c r="Q233" i="2"/>
  <c r="P233" i="2"/>
  <c r="O233" i="2"/>
  <c r="N233" i="2"/>
  <c r="M233" i="2"/>
  <c r="L233" i="2"/>
  <c r="K233" i="2"/>
  <c r="J233" i="2"/>
  <c r="I233" i="2"/>
  <c r="H233" i="2"/>
  <c r="G233" i="2"/>
  <c r="F233" i="2"/>
  <c r="E233" i="2"/>
  <c r="D233" i="2"/>
  <c r="C233" i="2"/>
  <c r="BA233" i="3"/>
  <c r="AZ233" i="3"/>
  <c r="AY233" i="3"/>
  <c r="AX233" i="3"/>
  <c r="AW233" i="3"/>
  <c r="AV233" i="3"/>
  <c r="AU233" i="3"/>
  <c r="AT233" i="3"/>
  <c r="AS233" i="3"/>
  <c r="AR233" i="3"/>
  <c r="AQ233" i="3"/>
  <c r="AP233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AA233" i="4"/>
  <c r="Z233" i="4"/>
  <c r="Y233" i="4"/>
  <c r="X233" i="4"/>
  <c r="W233" i="4"/>
  <c r="V233" i="4"/>
  <c r="T233" i="4"/>
  <c r="Q233" i="4"/>
  <c r="P233" i="4"/>
  <c r="N233" i="4"/>
  <c r="L233" i="4"/>
  <c r="K233" i="4"/>
  <c r="J233" i="4"/>
  <c r="I233" i="4"/>
  <c r="H233" i="4"/>
  <c r="G233" i="4"/>
  <c r="F233" i="4"/>
  <c r="E233" i="4"/>
  <c r="D233" i="4"/>
  <c r="C233" i="4"/>
  <c r="B233" i="4"/>
  <c r="AZ247" i="3"/>
  <c r="B247" i="4"/>
  <c r="B261" i="4"/>
  <c r="BB236" i="3"/>
  <c r="BH236" i="2"/>
  <c r="AB236" i="4"/>
  <c r="BB237" i="3"/>
  <c r="BH237" i="2"/>
  <c r="AB237" i="4"/>
  <c r="BB238" i="3"/>
  <c r="BH238" i="2"/>
  <c r="AB238" i="4"/>
  <c r="BB239" i="3"/>
  <c r="BH239" i="2"/>
  <c r="AB239" i="4"/>
  <c r="BB240" i="3"/>
  <c r="BH240" i="2"/>
  <c r="AB240" i="4"/>
  <c r="BB241" i="3"/>
  <c r="BH241" i="2"/>
  <c r="AB241" i="4"/>
  <c r="AB242" i="4"/>
  <c r="AB243" i="4"/>
  <c r="AB244" i="4"/>
  <c r="AB245" i="4"/>
  <c r="AB246" i="4"/>
  <c r="AB235" i="4"/>
  <c r="BH242" i="2"/>
  <c r="BH243" i="2"/>
  <c r="BH244" i="2"/>
  <c r="BH245" i="2"/>
  <c r="BH246" i="2"/>
  <c r="BH235" i="2"/>
  <c r="BB242" i="3"/>
  <c r="BB243" i="3"/>
  <c r="BB244" i="3"/>
  <c r="BB245" i="3"/>
  <c r="BB246" i="3"/>
  <c r="BB235" i="3"/>
  <c r="C247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AN247" i="3"/>
  <c r="AO247" i="3"/>
  <c r="AP247" i="3"/>
  <c r="AQ247" i="3"/>
  <c r="AR247" i="3"/>
  <c r="AS247" i="3"/>
  <c r="AT247" i="3"/>
  <c r="AU247" i="3"/>
  <c r="AV247" i="3"/>
  <c r="AW247" i="3"/>
  <c r="AX247" i="3"/>
  <c r="AY247" i="3"/>
  <c r="BA247" i="3"/>
  <c r="C247" i="4"/>
  <c r="D247" i="4"/>
  <c r="E247" i="4"/>
  <c r="F247" i="4"/>
  <c r="G247" i="4"/>
  <c r="H247" i="4"/>
  <c r="I247" i="4"/>
  <c r="J247" i="4"/>
  <c r="K247" i="4"/>
  <c r="L247" i="4"/>
  <c r="N247" i="4"/>
  <c r="P247" i="4"/>
  <c r="Q247" i="4"/>
  <c r="T247" i="4"/>
  <c r="V247" i="4"/>
  <c r="W247" i="4"/>
  <c r="X247" i="4"/>
  <c r="Y247" i="4"/>
  <c r="Z247" i="4"/>
  <c r="AA247" i="4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U247" i="2"/>
  <c r="V247" i="2"/>
  <c r="W247" i="2"/>
  <c r="X247" i="2"/>
  <c r="Y247" i="2"/>
  <c r="Z247" i="2"/>
  <c r="AA247" i="2"/>
  <c r="AB247" i="2"/>
  <c r="AC247" i="2"/>
  <c r="AD247" i="2"/>
  <c r="AE247" i="2"/>
  <c r="AF247" i="2"/>
  <c r="AG247" i="2"/>
  <c r="AH247" i="2"/>
  <c r="AI247" i="2"/>
  <c r="AJ247" i="2"/>
  <c r="AK247" i="2"/>
  <c r="AL247" i="2"/>
  <c r="AM247" i="2"/>
  <c r="AN247" i="2"/>
  <c r="AO247" i="2"/>
  <c r="AP247" i="2"/>
  <c r="AQ247" i="2"/>
  <c r="AR247" i="2"/>
  <c r="AS247" i="2"/>
  <c r="AT247" i="2"/>
  <c r="AU247" i="2"/>
  <c r="AV247" i="2"/>
  <c r="AW247" i="2"/>
  <c r="AX247" i="2"/>
  <c r="AY247" i="2"/>
  <c r="AZ247" i="2"/>
  <c r="BA247" i="2"/>
  <c r="BB247" i="2"/>
  <c r="BC247" i="2"/>
  <c r="BD247" i="2"/>
  <c r="BE247" i="2"/>
  <c r="BF247" i="2"/>
  <c r="BG247" i="2"/>
  <c r="B247" i="3"/>
  <c r="BB254" i="3"/>
  <c r="BH254" i="2"/>
  <c r="AB254" i="4"/>
  <c r="BB255" i="3"/>
  <c r="BH255" i="2"/>
  <c r="AB255" i="4"/>
  <c r="BB256" i="3"/>
  <c r="BH256" i="2"/>
  <c r="AB256" i="4"/>
  <c r="BB257" i="3"/>
  <c r="BH257" i="2"/>
  <c r="AB257" i="4"/>
  <c r="BB258" i="3"/>
  <c r="BH258" i="2"/>
  <c r="AB258" i="4"/>
  <c r="BB259" i="3"/>
  <c r="BH259" i="2"/>
  <c r="AB259" i="4"/>
  <c r="BB260" i="3"/>
  <c r="BH260" i="2"/>
  <c r="AB260" i="4"/>
  <c r="BB252" i="3"/>
  <c r="AB252" i="4"/>
  <c r="BH252" i="2"/>
  <c r="BB251" i="3"/>
  <c r="BH251" i="2"/>
  <c r="AB251" i="4"/>
  <c r="BB250" i="3"/>
  <c r="BH250" i="2"/>
  <c r="AB250" i="4"/>
  <c r="BB249" i="3"/>
  <c r="BH249" i="2"/>
  <c r="AB249" i="4"/>
  <c r="AB253" i="4"/>
  <c r="AA261" i="4"/>
  <c r="Z261" i="4"/>
  <c r="Y261" i="4"/>
  <c r="X261" i="4"/>
  <c r="W261" i="4"/>
  <c r="V261" i="4"/>
  <c r="T261" i="4"/>
  <c r="Q261" i="4"/>
  <c r="P261" i="4"/>
  <c r="N261" i="4"/>
  <c r="L261" i="4"/>
  <c r="K261" i="4"/>
  <c r="J261" i="4"/>
  <c r="I261" i="4"/>
  <c r="H261" i="4"/>
  <c r="G261" i="4"/>
  <c r="F261" i="4"/>
  <c r="E261" i="4"/>
  <c r="D261" i="4"/>
  <c r="C261" i="4"/>
  <c r="BB253" i="3"/>
  <c r="BA261" i="3"/>
  <c r="AY261" i="3"/>
  <c r="AX261" i="3"/>
  <c r="AW261" i="3"/>
  <c r="AV261" i="3"/>
  <c r="AU261" i="3"/>
  <c r="AT261" i="3"/>
  <c r="AS261" i="3"/>
  <c r="AR261" i="3"/>
  <c r="AQ261" i="3"/>
  <c r="AP261" i="3"/>
  <c r="AO261" i="3"/>
  <c r="AN261" i="3"/>
  <c r="AM261" i="3"/>
  <c r="AL261" i="3"/>
  <c r="AK261" i="3"/>
  <c r="AJ261" i="3"/>
  <c r="AI261" i="3"/>
  <c r="AH261" i="3"/>
  <c r="AG261" i="3"/>
  <c r="AF261" i="3"/>
  <c r="AE261" i="3"/>
  <c r="AD261" i="3"/>
  <c r="AC261" i="3"/>
  <c r="AB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C261" i="3"/>
  <c r="B261" i="3"/>
  <c r="BH253" i="2"/>
  <c r="BG261" i="2"/>
  <c r="BF261" i="2"/>
  <c r="BE261" i="2"/>
  <c r="BD261" i="2"/>
  <c r="BC261" i="2"/>
  <c r="BB261" i="2"/>
  <c r="BA261" i="2"/>
  <c r="AZ261" i="2"/>
  <c r="AY261" i="2"/>
  <c r="AX261" i="2"/>
  <c r="AW261" i="2"/>
  <c r="AV261" i="2"/>
  <c r="AU261" i="2"/>
  <c r="AT261" i="2"/>
  <c r="AS261" i="2"/>
  <c r="AR261" i="2"/>
  <c r="AQ261" i="2"/>
  <c r="AP261" i="2"/>
  <c r="AO261" i="2"/>
  <c r="AN261" i="2"/>
  <c r="AM261" i="2"/>
  <c r="AL261" i="2"/>
  <c r="AK261" i="2"/>
  <c r="AJ261" i="2"/>
  <c r="AI261" i="2"/>
  <c r="AH261" i="2"/>
  <c r="AG261" i="2"/>
  <c r="AF261" i="2"/>
  <c r="AE261" i="2"/>
  <c r="AD261" i="2"/>
  <c r="AC261" i="2"/>
  <c r="AB261" i="2"/>
  <c r="AA261" i="2"/>
  <c r="Z261" i="2"/>
  <c r="Y261" i="2"/>
  <c r="X261" i="2"/>
  <c r="W261" i="2"/>
  <c r="V261" i="2"/>
  <c r="U261" i="2"/>
  <c r="T261" i="2"/>
  <c r="S261" i="2"/>
  <c r="R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D261" i="2"/>
  <c r="C261" i="2"/>
  <c r="B261" i="2"/>
  <c r="BB274" i="3"/>
  <c r="BB273" i="3"/>
  <c r="BB272" i="3"/>
  <c r="BB271" i="3"/>
  <c r="BB270" i="3"/>
  <c r="BB269" i="3"/>
  <c r="BB268" i="3"/>
  <c r="BB267" i="3"/>
  <c r="BB266" i="3"/>
  <c r="BB265" i="3"/>
  <c r="BB264" i="3"/>
  <c r="BB263" i="3"/>
  <c r="AB274" i="4"/>
  <c r="AB273" i="4"/>
  <c r="AB272" i="4"/>
  <c r="AB271" i="4"/>
  <c r="AB270" i="4"/>
  <c r="AB269" i="4"/>
  <c r="AB268" i="4"/>
  <c r="AB267" i="4"/>
  <c r="AB266" i="4"/>
  <c r="AB265" i="4"/>
  <c r="AB264" i="4"/>
  <c r="AB263" i="4"/>
  <c r="BH274" i="2"/>
  <c r="BH273" i="2"/>
  <c r="BH272" i="2"/>
  <c r="BH271" i="2"/>
  <c r="BH270" i="2"/>
  <c r="BH269" i="2"/>
  <c r="BH268" i="2"/>
  <c r="BH267" i="2"/>
  <c r="BH266" i="2"/>
  <c r="BH265" i="2"/>
  <c r="BH264" i="2"/>
  <c r="BH263" i="2"/>
  <c r="AA275" i="4"/>
  <c r="Z275" i="4"/>
  <c r="Y275" i="4"/>
  <c r="X275" i="4"/>
  <c r="W275" i="4"/>
  <c r="V275" i="4"/>
  <c r="T275" i="4"/>
  <c r="Q275" i="4"/>
  <c r="P275" i="4"/>
  <c r="N275" i="4"/>
  <c r="L275" i="4"/>
  <c r="K275" i="4"/>
  <c r="J275" i="4"/>
  <c r="I275" i="4"/>
  <c r="H275" i="4"/>
  <c r="G275" i="4"/>
  <c r="F275" i="4"/>
  <c r="E275" i="4"/>
  <c r="D275" i="4"/>
  <c r="C275" i="4"/>
  <c r="B275" i="4"/>
  <c r="BA275" i="3"/>
  <c r="AY275" i="3"/>
  <c r="AX275" i="3"/>
  <c r="AW275" i="3"/>
  <c r="AV275" i="3"/>
  <c r="AU275" i="3"/>
  <c r="AT275" i="3"/>
  <c r="AS275" i="3"/>
  <c r="AR275" i="3"/>
  <c r="AQ275" i="3"/>
  <c r="AP275" i="3"/>
  <c r="AO275" i="3"/>
  <c r="AN275" i="3"/>
  <c r="AM275" i="3"/>
  <c r="AL275" i="3"/>
  <c r="AK275" i="3"/>
  <c r="AJ275" i="3"/>
  <c r="AI275" i="3"/>
  <c r="AH275" i="3"/>
  <c r="AG275" i="3"/>
  <c r="AF275" i="3"/>
  <c r="AE275" i="3"/>
  <c r="AD275" i="3"/>
  <c r="AC275" i="3"/>
  <c r="AB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C275" i="3"/>
  <c r="B275" i="3"/>
  <c r="BG275" i="2"/>
  <c r="BF275" i="2"/>
  <c r="BE275" i="2"/>
  <c r="BD275" i="2"/>
  <c r="BC275" i="2"/>
  <c r="BB275" i="2"/>
  <c r="BA275" i="2"/>
  <c r="AZ275" i="2"/>
  <c r="AY275" i="2"/>
  <c r="AX275" i="2"/>
  <c r="AW275" i="2"/>
  <c r="AV275" i="2"/>
  <c r="AU275" i="2"/>
  <c r="AT275" i="2"/>
  <c r="AS275" i="2"/>
  <c r="AR275" i="2"/>
  <c r="AQ275" i="2"/>
  <c r="AP275" i="2"/>
  <c r="AO275" i="2"/>
  <c r="AN275" i="2"/>
  <c r="AM275" i="2"/>
  <c r="AL275" i="2"/>
  <c r="AK275" i="2"/>
  <c r="AJ275" i="2"/>
  <c r="AI275" i="2"/>
  <c r="AH275" i="2"/>
  <c r="AG275" i="2"/>
  <c r="AF275" i="2"/>
  <c r="AE275" i="2"/>
  <c r="AD275" i="2"/>
  <c r="AC275" i="2"/>
  <c r="AB275" i="2"/>
  <c r="AA275" i="2"/>
  <c r="Z275" i="2"/>
  <c r="Y275" i="2"/>
  <c r="X275" i="2"/>
  <c r="W275" i="2"/>
  <c r="V275" i="2"/>
  <c r="U275" i="2"/>
  <c r="T275" i="2"/>
  <c r="S275" i="2"/>
  <c r="R275" i="2"/>
  <c r="Q275" i="2"/>
  <c r="P275" i="2"/>
  <c r="O275" i="2"/>
  <c r="N275" i="2"/>
  <c r="M275" i="2"/>
  <c r="L275" i="2"/>
  <c r="K275" i="2"/>
  <c r="J275" i="2"/>
  <c r="I275" i="2"/>
  <c r="H275" i="2"/>
  <c r="G275" i="2"/>
  <c r="F275" i="2"/>
  <c r="E275" i="2"/>
  <c r="D275" i="2"/>
  <c r="C275" i="2"/>
  <c r="B275" i="2"/>
  <c r="BA289" i="3"/>
  <c r="BB278" i="3"/>
  <c r="BB279" i="3"/>
  <c r="BB280" i="3"/>
  <c r="BB281" i="3"/>
  <c r="BB282" i="3"/>
  <c r="BB283" i="3"/>
  <c r="BB284" i="3"/>
  <c r="BB285" i="3"/>
  <c r="BB286" i="3"/>
  <c r="BB287" i="3"/>
  <c r="BB288" i="3"/>
  <c r="BB277" i="3"/>
  <c r="BH278" i="2"/>
  <c r="AB278" i="4"/>
  <c r="BH279" i="2"/>
  <c r="AB279" i="4"/>
  <c r="BH280" i="2"/>
  <c r="AB280" i="4"/>
  <c r="BH281" i="2"/>
  <c r="AB281" i="4"/>
  <c r="BH282" i="2"/>
  <c r="AB282" i="4"/>
  <c r="BH283" i="2"/>
  <c r="AB283" i="4"/>
  <c r="BH284" i="2"/>
  <c r="AB284" i="4"/>
  <c r="BH285" i="2"/>
  <c r="AB285" i="4"/>
  <c r="BH286" i="2"/>
  <c r="AB286" i="4"/>
  <c r="BH287" i="2"/>
  <c r="AB287" i="4"/>
  <c r="BH288" i="2"/>
  <c r="AB288" i="4"/>
  <c r="BH277" i="2"/>
  <c r="AB277" i="4"/>
  <c r="AA289" i="4"/>
  <c r="Z289" i="4"/>
  <c r="Y289" i="4"/>
  <c r="X289" i="4"/>
  <c r="W289" i="4"/>
  <c r="V289" i="4"/>
  <c r="T289" i="4"/>
  <c r="Q289" i="4"/>
  <c r="P289" i="4"/>
  <c r="N289" i="4"/>
  <c r="L289" i="4"/>
  <c r="K289" i="4"/>
  <c r="J289" i="4"/>
  <c r="I289" i="4"/>
  <c r="H289" i="4"/>
  <c r="G289" i="4"/>
  <c r="F289" i="4"/>
  <c r="E289" i="4"/>
  <c r="D289" i="4"/>
  <c r="C289" i="4"/>
  <c r="B289" i="4"/>
  <c r="AY289" i="3"/>
  <c r="AX289" i="3"/>
  <c r="AW289" i="3"/>
  <c r="AV289" i="3"/>
  <c r="AU289" i="3"/>
  <c r="AT289" i="3"/>
  <c r="AS289" i="3"/>
  <c r="AR289" i="3"/>
  <c r="AQ289" i="3"/>
  <c r="AP289" i="3"/>
  <c r="AO289" i="3"/>
  <c r="AN289" i="3"/>
  <c r="AM289" i="3"/>
  <c r="AL289" i="3"/>
  <c r="AK289" i="3"/>
  <c r="AJ289" i="3"/>
  <c r="AI289" i="3"/>
  <c r="AH289" i="3"/>
  <c r="AG289" i="3"/>
  <c r="AF289" i="3"/>
  <c r="AE289" i="3"/>
  <c r="AD289" i="3"/>
  <c r="AC289" i="3"/>
  <c r="AB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D289" i="3"/>
  <c r="C289" i="3"/>
  <c r="B289" i="3"/>
  <c r="BG289" i="2"/>
  <c r="BF289" i="2"/>
  <c r="BE289" i="2"/>
  <c r="BD289" i="2"/>
  <c r="BC289" i="2"/>
  <c r="BB289" i="2"/>
  <c r="BA289" i="2"/>
  <c r="AZ289" i="2"/>
  <c r="AY289" i="2"/>
  <c r="AX289" i="2"/>
  <c r="AW289" i="2"/>
  <c r="AV289" i="2"/>
  <c r="AU289" i="2"/>
  <c r="AT289" i="2"/>
  <c r="AS289" i="2"/>
  <c r="AR289" i="2"/>
  <c r="AQ289" i="2"/>
  <c r="AP289" i="2"/>
  <c r="AO289" i="2"/>
  <c r="AN289" i="2"/>
  <c r="AM289" i="2"/>
  <c r="AL289" i="2"/>
  <c r="AK289" i="2"/>
  <c r="AJ289" i="2"/>
  <c r="AI289" i="2"/>
  <c r="AH289" i="2"/>
  <c r="AG289" i="2"/>
  <c r="AF289" i="2"/>
  <c r="AE289" i="2"/>
  <c r="AD289" i="2"/>
  <c r="AC289" i="2"/>
  <c r="AB289" i="2"/>
  <c r="AA289" i="2"/>
  <c r="Z289" i="2"/>
  <c r="Y289" i="2"/>
  <c r="X289" i="2"/>
  <c r="W289" i="2"/>
  <c r="V289" i="2"/>
  <c r="U289" i="2"/>
  <c r="T289" i="2"/>
  <c r="S289" i="2"/>
  <c r="R289" i="2"/>
  <c r="Q289" i="2"/>
  <c r="P289" i="2"/>
  <c r="O289" i="2"/>
  <c r="N289" i="2"/>
  <c r="M289" i="2"/>
  <c r="L289" i="2"/>
  <c r="K289" i="2"/>
  <c r="J289" i="2"/>
  <c r="I289" i="2"/>
  <c r="H289" i="2"/>
  <c r="G289" i="2"/>
  <c r="F289" i="2"/>
  <c r="E289" i="2"/>
  <c r="D289" i="2"/>
  <c r="C289" i="2"/>
  <c r="B289" i="2"/>
  <c r="T303" i="4"/>
  <c r="AB292" i="4"/>
  <c r="AB293" i="4"/>
  <c r="AB294" i="4"/>
  <c r="AB295" i="4"/>
  <c r="AB296" i="4"/>
  <c r="AB297" i="4"/>
  <c r="AB298" i="4"/>
  <c r="AB299" i="4"/>
  <c r="AB300" i="4"/>
  <c r="AB301" i="4"/>
  <c r="AB302" i="4"/>
  <c r="AB291" i="4"/>
  <c r="C303" i="4"/>
  <c r="D303" i="4"/>
  <c r="E303" i="4"/>
  <c r="F303" i="4"/>
  <c r="G303" i="4"/>
  <c r="H303" i="4"/>
  <c r="I303" i="4"/>
  <c r="J303" i="4"/>
  <c r="K303" i="4"/>
  <c r="L303" i="4"/>
  <c r="N303" i="4"/>
  <c r="P303" i="4"/>
  <c r="Q303" i="4"/>
  <c r="V303" i="4"/>
  <c r="W303" i="4"/>
  <c r="X303" i="4"/>
  <c r="Y303" i="4"/>
  <c r="Z303" i="4"/>
  <c r="AA303" i="4"/>
  <c r="B303" i="4"/>
  <c r="C303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X303" i="3"/>
  <c r="Y303" i="3"/>
  <c r="AB303" i="3"/>
  <c r="AC303" i="3"/>
  <c r="AD303" i="3"/>
  <c r="AE303" i="3"/>
  <c r="AF303" i="3"/>
  <c r="AG303" i="3"/>
  <c r="AH303" i="3"/>
  <c r="AI303" i="3"/>
  <c r="AJ303" i="3"/>
  <c r="AK303" i="3"/>
  <c r="AL303" i="3"/>
  <c r="AM303" i="3"/>
  <c r="AN303" i="3"/>
  <c r="AO303" i="3"/>
  <c r="AP303" i="3"/>
  <c r="AQ303" i="3"/>
  <c r="AR303" i="3"/>
  <c r="AS303" i="3"/>
  <c r="AT303" i="3"/>
  <c r="AU303" i="3"/>
  <c r="AV303" i="3"/>
  <c r="AW303" i="3"/>
  <c r="AX303" i="3"/>
  <c r="AY303" i="3"/>
  <c r="BB291" i="3"/>
  <c r="BB292" i="3"/>
  <c r="BB293" i="3"/>
  <c r="BB294" i="3"/>
  <c r="BB295" i="3"/>
  <c r="BB296" i="3"/>
  <c r="BB297" i="3"/>
  <c r="BB298" i="3"/>
  <c r="BB299" i="3"/>
  <c r="BB300" i="3"/>
  <c r="BB301" i="3"/>
  <c r="BB302" i="3"/>
  <c r="B303" i="3"/>
  <c r="C303" i="2"/>
  <c r="D303" i="2"/>
  <c r="E303" i="2"/>
  <c r="F303" i="2"/>
  <c r="G303" i="2"/>
  <c r="H303" i="2"/>
  <c r="I303" i="2"/>
  <c r="J303" i="2"/>
  <c r="K303" i="2"/>
  <c r="L303" i="2"/>
  <c r="M303" i="2"/>
  <c r="N303" i="2"/>
  <c r="O303" i="2"/>
  <c r="P303" i="2"/>
  <c r="Q303" i="2"/>
  <c r="R303" i="2"/>
  <c r="S303" i="2"/>
  <c r="T303" i="2"/>
  <c r="U303" i="2"/>
  <c r="V303" i="2"/>
  <c r="W303" i="2"/>
  <c r="X303" i="2"/>
  <c r="Y303" i="2"/>
  <c r="Z303" i="2"/>
  <c r="AA303" i="2"/>
  <c r="AB303" i="2"/>
  <c r="AC303" i="2"/>
  <c r="AD303" i="2"/>
  <c r="AE303" i="2"/>
  <c r="AF303" i="2"/>
  <c r="AG303" i="2"/>
  <c r="AH303" i="2"/>
  <c r="AI303" i="2"/>
  <c r="AJ303" i="2"/>
  <c r="AK303" i="2"/>
  <c r="AL303" i="2"/>
  <c r="AM303" i="2"/>
  <c r="AN303" i="2"/>
  <c r="AO303" i="2"/>
  <c r="AP303" i="2"/>
  <c r="AQ303" i="2"/>
  <c r="AR303" i="2"/>
  <c r="AS303" i="2"/>
  <c r="AT303" i="2"/>
  <c r="AU303" i="2"/>
  <c r="AV303" i="2"/>
  <c r="AW303" i="2"/>
  <c r="AX303" i="2"/>
  <c r="AY303" i="2"/>
  <c r="AZ303" i="2"/>
  <c r="BA303" i="2"/>
  <c r="BB303" i="2"/>
  <c r="BC303" i="2"/>
  <c r="BD303" i="2"/>
  <c r="BE303" i="2"/>
  <c r="BF303" i="2"/>
  <c r="BG303" i="2"/>
  <c r="BH291" i="2"/>
  <c r="BH292" i="2"/>
  <c r="BH293" i="2"/>
  <c r="BH294" i="2"/>
  <c r="BH295" i="2"/>
  <c r="BH296" i="2"/>
  <c r="BH297" i="2"/>
  <c r="BH298" i="2"/>
  <c r="BH299" i="2"/>
  <c r="BH300" i="2"/>
  <c r="BH301" i="2"/>
  <c r="BH302" i="2"/>
  <c r="B303" i="2"/>
  <c r="BB316" i="3"/>
  <c r="W499" i="4"/>
  <c r="W485" i="4"/>
  <c r="W471" i="4"/>
  <c r="W457" i="4"/>
  <c r="W443" i="4"/>
  <c r="W429" i="4"/>
  <c r="W415" i="4"/>
  <c r="W401" i="4"/>
  <c r="W387" i="4"/>
  <c r="W373" i="4"/>
  <c r="W359" i="4"/>
  <c r="W345" i="4"/>
  <c r="W331" i="4"/>
  <c r="W317" i="4"/>
  <c r="AB313" i="4"/>
  <c r="B317" i="3"/>
  <c r="C317" i="3"/>
  <c r="D317" i="3"/>
  <c r="E317" i="3"/>
  <c r="F317" i="3"/>
  <c r="G317" i="3"/>
  <c r="H317" i="3"/>
  <c r="I317" i="3"/>
  <c r="J317" i="3"/>
  <c r="K317" i="3"/>
  <c r="L317" i="3"/>
  <c r="M317" i="3"/>
  <c r="N317" i="3"/>
  <c r="O317" i="3"/>
  <c r="P317" i="3"/>
  <c r="Q317" i="3"/>
  <c r="R317" i="3"/>
  <c r="S317" i="3"/>
  <c r="T317" i="3"/>
  <c r="U317" i="3"/>
  <c r="V317" i="3"/>
  <c r="W317" i="3"/>
  <c r="X317" i="3"/>
  <c r="Y317" i="3"/>
  <c r="AB317" i="3"/>
  <c r="AC317" i="3"/>
  <c r="AD317" i="3"/>
  <c r="AE317" i="3"/>
  <c r="AF317" i="3"/>
  <c r="AG317" i="3"/>
  <c r="AH317" i="3"/>
  <c r="AI317" i="3"/>
  <c r="AJ317" i="3"/>
  <c r="AK317" i="3"/>
  <c r="AL317" i="3"/>
  <c r="AM317" i="3"/>
  <c r="AN317" i="3"/>
  <c r="AO317" i="3"/>
  <c r="AP317" i="3"/>
  <c r="AQ317" i="3"/>
  <c r="AR317" i="3"/>
  <c r="AS317" i="3"/>
  <c r="AT317" i="3"/>
  <c r="AU317" i="3"/>
  <c r="AV317" i="3"/>
  <c r="AW317" i="3"/>
  <c r="AX317" i="3"/>
  <c r="AY317" i="3"/>
  <c r="B317" i="2"/>
  <c r="C317" i="2"/>
  <c r="D317" i="2"/>
  <c r="E317" i="2"/>
  <c r="F317" i="2"/>
  <c r="G317" i="2"/>
  <c r="H317" i="2"/>
  <c r="I317" i="2"/>
  <c r="J317" i="2"/>
  <c r="K317" i="2"/>
  <c r="L317" i="2"/>
  <c r="M317" i="2"/>
  <c r="N317" i="2"/>
  <c r="O317" i="2"/>
  <c r="P317" i="2"/>
  <c r="Q317" i="2"/>
  <c r="R317" i="2"/>
  <c r="S317" i="2"/>
  <c r="T317" i="2"/>
  <c r="U317" i="2"/>
  <c r="V317" i="2"/>
  <c r="W317" i="2"/>
  <c r="X317" i="2"/>
  <c r="Y317" i="2"/>
  <c r="Z317" i="2"/>
  <c r="AA317" i="2"/>
  <c r="AB317" i="2"/>
  <c r="AC317" i="2"/>
  <c r="AD317" i="2"/>
  <c r="AE317" i="2"/>
  <c r="AF317" i="2"/>
  <c r="AG317" i="2"/>
  <c r="AH317" i="2"/>
  <c r="AI317" i="2"/>
  <c r="AJ317" i="2"/>
  <c r="AK317" i="2"/>
  <c r="AL317" i="2"/>
  <c r="AM317" i="2"/>
  <c r="AN317" i="2"/>
  <c r="AO317" i="2"/>
  <c r="AP317" i="2"/>
  <c r="AQ317" i="2"/>
  <c r="AR317" i="2"/>
  <c r="AS317" i="2"/>
  <c r="AT317" i="2"/>
  <c r="AU317" i="2"/>
  <c r="AV317" i="2"/>
  <c r="AW317" i="2"/>
  <c r="AX317" i="2"/>
  <c r="AY317" i="2"/>
  <c r="AZ317" i="2"/>
  <c r="BA317" i="2"/>
  <c r="BB317" i="2"/>
  <c r="BC317" i="2"/>
  <c r="BD317" i="2"/>
  <c r="BE317" i="2"/>
  <c r="BF317" i="2"/>
  <c r="BG317" i="2"/>
  <c r="B317" i="4"/>
  <c r="C317" i="4"/>
  <c r="D317" i="4"/>
  <c r="E317" i="4"/>
  <c r="F317" i="4"/>
  <c r="G317" i="4"/>
  <c r="H317" i="4"/>
  <c r="I317" i="4"/>
  <c r="J317" i="4"/>
  <c r="K317" i="4"/>
  <c r="L317" i="4"/>
  <c r="N317" i="4"/>
  <c r="P317" i="4"/>
  <c r="Q317" i="4"/>
  <c r="V317" i="4"/>
  <c r="X317" i="4"/>
  <c r="Y317" i="4"/>
  <c r="Z317" i="4"/>
  <c r="AA317" i="4"/>
  <c r="AB306" i="4"/>
  <c r="AB307" i="4"/>
  <c r="AB308" i="4"/>
  <c r="AB309" i="4"/>
  <c r="AB310" i="4"/>
  <c r="AB311" i="4"/>
  <c r="AB312" i="4"/>
  <c r="AB314" i="4"/>
  <c r="AB315" i="4"/>
  <c r="AB316" i="4"/>
  <c r="AB305" i="4"/>
  <c r="BH306" i="2"/>
  <c r="BH307" i="2"/>
  <c r="BH308" i="2"/>
  <c r="BH309" i="2"/>
  <c r="BH310" i="2"/>
  <c r="BH311" i="2"/>
  <c r="BH312" i="2"/>
  <c r="BH313" i="2"/>
  <c r="BH314" i="2"/>
  <c r="BH315" i="2"/>
  <c r="BH316" i="2"/>
  <c r="BH305" i="2"/>
  <c r="BB306" i="3"/>
  <c r="BB307" i="3"/>
  <c r="BB308" i="3"/>
  <c r="BB309" i="3"/>
  <c r="BB310" i="3"/>
  <c r="BB311" i="3"/>
  <c r="BB312" i="3"/>
  <c r="BB313" i="3"/>
  <c r="BB314" i="3"/>
  <c r="BB315" i="3"/>
  <c r="BB305" i="3"/>
  <c r="B331" i="3"/>
  <c r="D331" i="3"/>
  <c r="BB329" i="3"/>
  <c r="A2" i="3"/>
  <c r="A3" i="3"/>
  <c r="A4" i="3"/>
  <c r="A5" i="3"/>
  <c r="BB319" i="3"/>
  <c r="BB320" i="3"/>
  <c r="BB321" i="3"/>
  <c r="BB322" i="3"/>
  <c r="BB323" i="3"/>
  <c r="BB324" i="3"/>
  <c r="BB325" i="3"/>
  <c r="BB326" i="3"/>
  <c r="BB327" i="3"/>
  <c r="BB328" i="3"/>
  <c r="BB330" i="3"/>
  <c r="C331" i="3"/>
  <c r="E331" i="3"/>
  <c r="F331" i="3"/>
  <c r="G331" i="3"/>
  <c r="H331" i="3"/>
  <c r="I331" i="3"/>
  <c r="J331" i="3"/>
  <c r="K331" i="3"/>
  <c r="L331" i="3"/>
  <c r="M331" i="3"/>
  <c r="N331" i="3"/>
  <c r="O331" i="3"/>
  <c r="P331" i="3"/>
  <c r="Q331" i="3"/>
  <c r="R331" i="3"/>
  <c r="S331" i="3"/>
  <c r="T331" i="3"/>
  <c r="U331" i="3"/>
  <c r="V331" i="3"/>
  <c r="W331" i="3"/>
  <c r="X331" i="3"/>
  <c r="Y331" i="3"/>
  <c r="AB331" i="3"/>
  <c r="AC331" i="3"/>
  <c r="AD331" i="3"/>
  <c r="AE331" i="3"/>
  <c r="AF331" i="3"/>
  <c r="AG331" i="3"/>
  <c r="AH331" i="3"/>
  <c r="AI331" i="3"/>
  <c r="AJ331" i="3"/>
  <c r="AK331" i="3"/>
  <c r="AL331" i="3"/>
  <c r="AM331" i="3"/>
  <c r="AN331" i="3"/>
  <c r="AO331" i="3"/>
  <c r="AP331" i="3"/>
  <c r="AQ331" i="3"/>
  <c r="AR331" i="3"/>
  <c r="AS331" i="3"/>
  <c r="AT331" i="3"/>
  <c r="AU331" i="3"/>
  <c r="AV331" i="3"/>
  <c r="AW331" i="3"/>
  <c r="AX331" i="3"/>
  <c r="AY331" i="3"/>
  <c r="BB333" i="3"/>
  <c r="BB334" i="3"/>
  <c r="BB335" i="3"/>
  <c r="BB336" i="3"/>
  <c r="BB337" i="3"/>
  <c r="BB338" i="3"/>
  <c r="BB339" i="3"/>
  <c r="BB340" i="3"/>
  <c r="BB341" i="3"/>
  <c r="BB342" i="3"/>
  <c r="BB343" i="3"/>
  <c r="BB344" i="3"/>
  <c r="B345" i="3"/>
  <c r="C345" i="3"/>
  <c r="D345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R345" i="3"/>
  <c r="S345" i="3"/>
  <c r="T345" i="3"/>
  <c r="U345" i="3"/>
  <c r="V345" i="3"/>
  <c r="W345" i="3"/>
  <c r="X345" i="3"/>
  <c r="Y345" i="3"/>
  <c r="AB345" i="3"/>
  <c r="AC345" i="3"/>
  <c r="AD345" i="3"/>
  <c r="AE345" i="3"/>
  <c r="AF345" i="3"/>
  <c r="AG345" i="3"/>
  <c r="AH345" i="3"/>
  <c r="AI345" i="3"/>
  <c r="AJ345" i="3"/>
  <c r="AK345" i="3"/>
  <c r="AL345" i="3"/>
  <c r="AM345" i="3"/>
  <c r="AN345" i="3"/>
  <c r="AO345" i="3"/>
  <c r="AP345" i="3"/>
  <c r="AQ345" i="3"/>
  <c r="AR345" i="3"/>
  <c r="AS345" i="3"/>
  <c r="AT345" i="3"/>
  <c r="AU345" i="3"/>
  <c r="AV345" i="3"/>
  <c r="AW345" i="3"/>
  <c r="AX345" i="3"/>
  <c r="AY345" i="3"/>
  <c r="BB347" i="3"/>
  <c r="BB348" i="3"/>
  <c r="BB349" i="3"/>
  <c r="BB350" i="3"/>
  <c r="BB351" i="3"/>
  <c r="BB352" i="3"/>
  <c r="BB353" i="3"/>
  <c r="BB354" i="3"/>
  <c r="BB355" i="3"/>
  <c r="BB356" i="3"/>
  <c r="BB357" i="3"/>
  <c r="BB358" i="3"/>
  <c r="B359" i="3"/>
  <c r="C359" i="3"/>
  <c r="D359" i="3"/>
  <c r="E359" i="3"/>
  <c r="F359" i="3"/>
  <c r="G359" i="3"/>
  <c r="H359" i="3"/>
  <c r="I359" i="3"/>
  <c r="J359" i="3"/>
  <c r="K359" i="3"/>
  <c r="L359" i="3"/>
  <c r="M359" i="3"/>
  <c r="N359" i="3"/>
  <c r="O359" i="3"/>
  <c r="P359" i="3"/>
  <c r="Q359" i="3"/>
  <c r="R359" i="3"/>
  <c r="S359" i="3"/>
  <c r="T359" i="3"/>
  <c r="U359" i="3"/>
  <c r="V359" i="3"/>
  <c r="W359" i="3"/>
  <c r="X359" i="3"/>
  <c r="Y359" i="3"/>
  <c r="AB359" i="3"/>
  <c r="AC359" i="3"/>
  <c r="AD359" i="3"/>
  <c r="AE359" i="3"/>
  <c r="AF359" i="3"/>
  <c r="AG359" i="3"/>
  <c r="AH359" i="3"/>
  <c r="AI359" i="3"/>
  <c r="AJ359" i="3"/>
  <c r="AK359" i="3"/>
  <c r="AL359" i="3"/>
  <c r="AM359" i="3"/>
  <c r="AN359" i="3"/>
  <c r="AO359" i="3"/>
  <c r="AP359" i="3"/>
  <c r="AQ359" i="3"/>
  <c r="AR359" i="3"/>
  <c r="AS359" i="3"/>
  <c r="AT359" i="3"/>
  <c r="AU359" i="3"/>
  <c r="AV359" i="3"/>
  <c r="AW359" i="3"/>
  <c r="AX359" i="3"/>
  <c r="AY359" i="3"/>
  <c r="BB361" i="3"/>
  <c r="BB362" i="3"/>
  <c r="BB363" i="3"/>
  <c r="BB364" i="3"/>
  <c r="BB365" i="3"/>
  <c r="BB366" i="3"/>
  <c r="BB367" i="3"/>
  <c r="BB368" i="3"/>
  <c r="BB369" i="3"/>
  <c r="BB370" i="3"/>
  <c r="BB371" i="3"/>
  <c r="BB372" i="3"/>
  <c r="B373" i="3"/>
  <c r="C373" i="3"/>
  <c r="D373" i="3"/>
  <c r="E373" i="3"/>
  <c r="F373" i="3"/>
  <c r="G373" i="3"/>
  <c r="H373" i="3"/>
  <c r="I373" i="3"/>
  <c r="J373" i="3"/>
  <c r="K373" i="3"/>
  <c r="L373" i="3"/>
  <c r="M373" i="3"/>
  <c r="N373" i="3"/>
  <c r="O373" i="3"/>
  <c r="P373" i="3"/>
  <c r="Q373" i="3"/>
  <c r="R373" i="3"/>
  <c r="S373" i="3"/>
  <c r="T373" i="3"/>
  <c r="U373" i="3"/>
  <c r="V373" i="3"/>
  <c r="W373" i="3"/>
  <c r="X373" i="3"/>
  <c r="Y373" i="3"/>
  <c r="AB373" i="3"/>
  <c r="AC373" i="3"/>
  <c r="AD373" i="3"/>
  <c r="AE373" i="3"/>
  <c r="AF373" i="3"/>
  <c r="AG373" i="3"/>
  <c r="AH373" i="3"/>
  <c r="AI373" i="3"/>
  <c r="AJ373" i="3"/>
  <c r="AK373" i="3"/>
  <c r="AL373" i="3"/>
  <c r="AM373" i="3"/>
  <c r="AN373" i="3"/>
  <c r="AO373" i="3"/>
  <c r="AP373" i="3"/>
  <c r="AQ373" i="3"/>
  <c r="AR373" i="3"/>
  <c r="AS373" i="3"/>
  <c r="AT373" i="3"/>
  <c r="AU373" i="3"/>
  <c r="AV373" i="3"/>
  <c r="AW373" i="3"/>
  <c r="AX373" i="3"/>
  <c r="AY373" i="3"/>
  <c r="BB375" i="3"/>
  <c r="BB376" i="3"/>
  <c r="BB377" i="3"/>
  <c r="BB378" i="3"/>
  <c r="BB379" i="3"/>
  <c r="BB380" i="3"/>
  <c r="BB381" i="3"/>
  <c r="BB382" i="3"/>
  <c r="BB383" i="3"/>
  <c r="BB384" i="3"/>
  <c r="BB385" i="3"/>
  <c r="BB386" i="3"/>
  <c r="B387" i="3"/>
  <c r="C387" i="3"/>
  <c r="D387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R387" i="3"/>
  <c r="S387" i="3"/>
  <c r="T387" i="3"/>
  <c r="U387" i="3"/>
  <c r="V387" i="3"/>
  <c r="W387" i="3"/>
  <c r="X387" i="3"/>
  <c r="Y387" i="3"/>
  <c r="AB387" i="3"/>
  <c r="AC387" i="3"/>
  <c r="AD387" i="3"/>
  <c r="AE387" i="3"/>
  <c r="AF387" i="3"/>
  <c r="AG387" i="3"/>
  <c r="AH387" i="3"/>
  <c r="AI387" i="3"/>
  <c r="AJ387" i="3"/>
  <c r="AK387" i="3"/>
  <c r="AL387" i="3"/>
  <c r="AM387" i="3"/>
  <c r="AN387" i="3"/>
  <c r="AO387" i="3"/>
  <c r="AP387" i="3"/>
  <c r="AQ387" i="3"/>
  <c r="AR387" i="3"/>
  <c r="AS387" i="3"/>
  <c r="AT387" i="3"/>
  <c r="AU387" i="3"/>
  <c r="AV387" i="3"/>
  <c r="AW387" i="3"/>
  <c r="AX387" i="3"/>
  <c r="AY387" i="3"/>
  <c r="BB389" i="3"/>
  <c r="BB390" i="3"/>
  <c r="BB391" i="3"/>
  <c r="BB392" i="3"/>
  <c r="BB393" i="3"/>
  <c r="BB394" i="3"/>
  <c r="BB395" i="3"/>
  <c r="BB396" i="3"/>
  <c r="BB397" i="3"/>
  <c r="BB398" i="3"/>
  <c r="BB399" i="3"/>
  <c r="BB400" i="3"/>
  <c r="B401" i="3"/>
  <c r="C401" i="3"/>
  <c r="D401" i="3"/>
  <c r="E401" i="3"/>
  <c r="F401" i="3"/>
  <c r="G401" i="3"/>
  <c r="H401" i="3"/>
  <c r="I401" i="3"/>
  <c r="J401" i="3"/>
  <c r="K401" i="3"/>
  <c r="L401" i="3"/>
  <c r="M401" i="3"/>
  <c r="N401" i="3"/>
  <c r="O401" i="3"/>
  <c r="P401" i="3"/>
  <c r="Q401" i="3"/>
  <c r="R401" i="3"/>
  <c r="S401" i="3"/>
  <c r="T401" i="3"/>
  <c r="U401" i="3"/>
  <c r="V401" i="3"/>
  <c r="W401" i="3"/>
  <c r="X401" i="3"/>
  <c r="Y401" i="3"/>
  <c r="AB401" i="3"/>
  <c r="AC401" i="3"/>
  <c r="AD401" i="3"/>
  <c r="AE401" i="3"/>
  <c r="AF401" i="3"/>
  <c r="AG401" i="3"/>
  <c r="AH401" i="3"/>
  <c r="AI401" i="3"/>
  <c r="AJ401" i="3"/>
  <c r="AK401" i="3"/>
  <c r="AL401" i="3"/>
  <c r="AM401" i="3"/>
  <c r="AN401" i="3"/>
  <c r="AO401" i="3"/>
  <c r="AP401" i="3"/>
  <c r="AQ401" i="3"/>
  <c r="AR401" i="3"/>
  <c r="AS401" i="3"/>
  <c r="AT401" i="3"/>
  <c r="AU401" i="3"/>
  <c r="AV401" i="3"/>
  <c r="AW401" i="3"/>
  <c r="AX401" i="3"/>
  <c r="AY401" i="3"/>
  <c r="BB403" i="3"/>
  <c r="BB404" i="3"/>
  <c r="BB405" i="3"/>
  <c r="BB406" i="3"/>
  <c r="BB407" i="3"/>
  <c r="BB408" i="3"/>
  <c r="BB409" i="3"/>
  <c r="BB410" i="3"/>
  <c r="BB411" i="3"/>
  <c r="BB412" i="3"/>
  <c r="BB413" i="3"/>
  <c r="BB414" i="3"/>
  <c r="B415" i="3"/>
  <c r="C415" i="3"/>
  <c r="D415" i="3"/>
  <c r="E415" i="3"/>
  <c r="F415" i="3"/>
  <c r="G415" i="3"/>
  <c r="H415" i="3"/>
  <c r="I415" i="3"/>
  <c r="J415" i="3"/>
  <c r="K415" i="3"/>
  <c r="L415" i="3"/>
  <c r="M415" i="3"/>
  <c r="N415" i="3"/>
  <c r="O415" i="3"/>
  <c r="P415" i="3"/>
  <c r="Q415" i="3"/>
  <c r="R415" i="3"/>
  <c r="S415" i="3"/>
  <c r="T415" i="3"/>
  <c r="U415" i="3"/>
  <c r="V415" i="3"/>
  <c r="W415" i="3"/>
  <c r="X415" i="3"/>
  <c r="Y415" i="3"/>
  <c r="AB415" i="3"/>
  <c r="AC415" i="3"/>
  <c r="AD415" i="3"/>
  <c r="AE415" i="3"/>
  <c r="AF415" i="3"/>
  <c r="AG415" i="3"/>
  <c r="AH415" i="3"/>
  <c r="AI415" i="3"/>
  <c r="AJ415" i="3"/>
  <c r="AK415" i="3"/>
  <c r="AL415" i="3"/>
  <c r="AM415" i="3"/>
  <c r="AN415" i="3"/>
  <c r="AO415" i="3"/>
  <c r="AP415" i="3"/>
  <c r="AQ415" i="3"/>
  <c r="AR415" i="3"/>
  <c r="AS415" i="3"/>
  <c r="AT415" i="3"/>
  <c r="AU415" i="3"/>
  <c r="AV415" i="3"/>
  <c r="AW415" i="3"/>
  <c r="AX415" i="3"/>
  <c r="AY415" i="3"/>
  <c r="BB417" i="3"/>
  <c r="BB418" i="3"/>
  <c r="BB419" i="3"/>
  <c r="BB420" i="3"/>
  <c r="BB421" i="3"/>
  <c r="BB422" i="3"/>
  <c r="BB423" i="3"/>
  <c r="BB424" i="3"/>
  <c r="BB425" i="3"/>
  <c r="BB426" i="3"/>
  <c r="BB427" i="3"/>
  <c r="BB428" i="3"/>
  <c r="B429" i="3"/>
  <c r="C429" i="3"/>
  <c r="D429" i="3"/>
  <c r="E429" i="3"/>
  <c r="F429" i="3"/>
  <c r="G429" i="3"/>
  <c r="H429" i="3"/>
  <c r="I429" i="3"/>
  <c r="J429" i="3"/>
  <c r="K429" i="3"/>
  <c r="L429" i="3"/>
  <c r="M429" i="3"/>
  <c r="N429" i="3"/>
  <c r="O429" i="3"/>
  <c r="P429" i="3"/>
  <c r="Q429" i="3"/>
  <c r="R429" i="3"/>
  <c r="S429" i="3"/>
  <c r="T429" i="3"/>
  <c r="U429" i="3"/>
  <c r="V429" i="3"/>
  <c r="W429" i="3"/>
  <c r="X429" i="3"/>
  <c r="Y429" i="3"/>
  <c r="AB429" i="3"/>
  <c r="AC429" i="3"/>
  <c r="AD429" i="3"/>
  <c r="AE429" i="3"/>
  <c r="AF429" i="3"/>
  <c r="AG429" i="3"/>
  <c r="AH429" i="3"/>
  <c r="AI429" i="3"/>
  <c r="AJ429" i="3"/>
  <c r="AK429" i="3"/>
  <c r="AL429" i="3"/>
  <c r="AM429" i="3"/>
  <c r="AN429" i="3"/>
  <c r="AO429" i="3"/>
  <c r="AP429" i="3"/>
  <c r="AQ429" i="3"/>
  <c r="AR429" i="3"/>
  <c r="AS429" i="3"/>
  <c r="AT429" i="3"/>
  <c r="AU429" i="3"/>
  <c r="AV429" i="3"/>
  <c r="AW429" i="3"/>
  <c r="AX429" i="3"/>
  <c r="AY429" i="3"/>
  <c r="BB431" i="3"/>
  <c r="BB432" i="3"/>
  <c r="BB433" i="3"/>
  <c r="BB434" i="3"/>
  <c r="BB435" i="3"/>
  <c r="BB436" i="3"/>
  <c r="BB437" i="3"/>
  <c r="BB438" i="3"/>
  <c r="BB439" i="3"/>
  <c r="BB440" i="3"/>
  <c r="BB441" i="3"/>
  <c r="BB442" i="3"/>
  <c r="B443" i="3"/>
  <c r="C443" i="3"/>
  <c r="D443" i="3"/>
  <c r="E443" i="3"/>
  <c r="F443" i="3"/>
  <c r="G443" i="3"/>
  <c r="H443" i="3"/>
  <c r="I443" i="3"/>
  <c r="J443" i="3"/>
  <c r="K443" i="3"/>
  <c r="L443" i="3"/>
  <c r="M443" i="3"/>
  <c r="N443" i="3"/>
  <c r="O443" i="3"/>
  <c r="P443" i="3"/>
  <c r="Q443" i="3"/>
  <c r="R443" i="3"/>
  <c r="S443" i="3"/>
  <c r="T443" i="3"/>
  <c r="U443" i="3"/>
  <c r="V443" i="3"/>
  <c r="W443" i="3"/>
  <c r="X443" i="3"/>
  <c r="Y443" i="3"/>
  <c r="AB443" i="3"/>
  <c r="AC443" i="3"/>
  <c r="AD443" i="3"/>
  <c r="AE443" i="3"/>
  <c r="AF443" i="3"/>
  <c r="AG443" i="3"/>
  <c r="AH443" i="3"/>
  <c r="AI443" i="3"/>
  <c r="AJ443" i="3"/>
  <c r="AK443" i="3"/>
  <c r="AL443" i="3"/>
  <c r="AM443" i="3"/>
  <c r="AN443" i="3"/>
  <c r="AO443" i="3"/>
  <c r="AP443" i="3"/>
  <c r="AQ443" i="3"/>
  <c r="AR443" i="3"/>
  <c r="AS443" i="3"/>
  <c r="AT443" i="3"/>
  <c r="AU443" i="3"/>
  <c r="AV443" i="3"/>
  <c r="AW443" i="3"/>
  <c r="AX443" i="3"/>
  <c r="AY443" i="3"/>
  <c r="BB445" i="3"/>
  <c r="BB446" i="3"/>
  <c r="BB447" i="3"/>
  <c r="BB448" i="3"/>
  <c r="BB449" i="3"/>
  <c r="BB450" i="3"/>
  <c r="BB451" i="3"/>
  <c r="BB452" i="3"/>
  <c r="BB453" i="3"/>
  <c r="BB454" i="3"/>
  <c r="BB455" i="3"/>
  <c r="BB456" i="3"/>
  <c r="B457" i="3"/>
  <c r="C457" i="3"/>
  <c r="D457" i="3"/>
  <c r="E457" i="3"/>
  <c r="F457" i="3"/>
  <c r="G457" i="3"/>
  <c r="H457" i="3"/>
  <c r="I457" i="3"/>
  <c r="J457" i="3"/>
  <c r="K457" i="3"/>
  <c r="L457" i="3"/>
  <c r="M457" i="3"/>
  <c r="N457" i="3"/>
  <c r="O457" i="3"/>
  <c r="P457" i="3"/>
  <c r="Q457" i="3"/>
  <c r="R457" i="3"/>
  <c r="S457" i="3"/>
  <c r="T457" i="3"/>
  <c r="U457" i="3"/>
  <c r="V457" i="3"/>
  <c r="W457" i="3"/>
  <c r="X457" i="3"/>
  <c r="Y457" i="3"/>
  <c r="AB457" i="3"/>
  <c r="AC457" i="3"/>
  <c r="AD457" i="3"/>
  <c r="AE457" i="3"/>
  <c r="AF457" i="3"/>
  <c r="AG457" i="3"/>
  <c r="AH457" i="3"/>
  <c r="AI457" i="3"/>
  <c r="AJ457" i="3"/>
  <c r="AK457" i="3"/>
  <c r="AL457" i="3"/>
  <c r="AM457" i="3"/>
  <c r="AN457" i="3"/>
  <c r="AO457" i="3"/>
  <c r="AP457" i="3"/>
  <c r="AQ457" i="3"/>
  <c r="AR457" i="3"/>
  <c r="AS457" i="3"/>
  <c r="AT457" i="3"/>
  <c r="AU457" i="3"/>
  <c r="AV457" i="3"/>
  <c r="AW457" i="3"/>
  <c r="AX457" i="3"/>
  <c r="AY457" i="3"/>
  <c r="BB459" i="3"/>
  <c r="BB460" i="3"/>
  <c r="BB461" i="3"/>
  <c r="BB462" i="3"/>
  <c r="BB463" i="3"/>
  <c r="BB464" i="3"/>
  <c r="BB465" i="3"/>
  <c r="BB466" i="3"/>
  <c r="BB467" i="3"/>
  <c r="BB468" i="3"/>
  <c r="BB469" i="3"/>
  <c r="B470" i="3"/>
  <c r="B471" i="3" s="1"/>
  <c r="D470" i="3"/>
  <c r="D471" i="3" s="1"/>
  <c r="F470" i="3"/>
  <c r="F471" i="3" s="1"/>
  <c r="G470" i="3"/>
  <c r="G471" i="3" s="1"/>
  <c r="H470" i="3"/>
  <c r="H471" i="3" s="1"/>
  <c r="I470" i="3"/>
  <c r="I471" i="3" s="1"/>
  <c r="J470" i="3"/>
  <c r="J471" i="3" s="1"/>
  <c r="K470" i="3"/>
  <c r="K471" i="3" s="1"/>
  <c r="M470" i="3"/>
  <c r="M471" i="3" s="1"/>
  <c r="N470" i="3"/>
  <c r="N471" i="3" s="1"/>
  <c r="O470" i="3"/>
  <c r="O471" i="3" s="1"/>
  <c r="P470" i="3"/>
  <c r="P471" i="3" s="1"/>
  <c r="Q470" i="3"/>
  <c r="Q471" i="3" s="1"/>
  <c r="S470" i="3"/>
  <c r="S471" i="3" s="1"/>
  <c r="T470" i="3"/>
  <c r="T471" i="3" s="1"/>
  <c r="V470" i="3"/>
  <c r="V471" i="3" s="1"/>
  <c r="W470" i="3"/>
  <c r="W471" i="3" s="1"/>
  <c r="X470" i="3"/>
  <c r="X471" i="3" s="1"/>
  <c r="Y470" i="3"/>
  <c r="Y471" i="3" s="1"/>
  <c r="AB470" i="3"/>
  <c r="AB471" i="3" s="1"/>
  <c r="AC470" i="3"/>
  <c r="AC471" i="3" s="1"/>
  <c r="AD470" i="3"/>
  <c r="AD471" i="3" s="1"/>
  <c r="AE470" i="3"/>
  <c r="AE471" i="3" s="1"/>
  <c r="AF470" i="3"/>
  <c r="AF471" i="3" s="1"/>
  <c r="AG470" i="3"/>
  <c r="AG471" i="3" s="1"/>
  <c r="AH470" i="3"/>
  <c r="AH471" i="3" s="1"/>
  <c r="AI470" i="3"/>
  <c r="AI471" i="3" s="1"/>
  <c r="AK470" i="3"/>
  <c r="AK471" i="3" s="1"/>
  <c r="AL470" i="3"/>
  <c r="AL471" i="3" s="1"/>
  <c r="AM470" i="3"/>
  <c r="AM471" i="3" s="1"/>
  <c r="AO470" i="3"/>
  <c r="AO471" i="3" s="1"/>
  <c r="AQ470" i="3"/>
  <c r="AQ471" i="3" s="1"/>
  <c r="AT470" i="3"/>
  <c r="AT471" i="3" s="1"/>
  <c r="AV470" i="3"/>
  <c r="AV471" i="3" s="1"/>
  <c r="AW470" i="3"/>
  <c r="AW471" i="3" s="1"/>
  <c r="AX470" i="3"/>
  <c r="AX471" i="3" s="1"/>
  <c r="AY470" i="3"/>
  <c r="AY471" i="3" s="1"/>
  <c r="C471" i="3"/>
  <c r="E471" i="3"/>
  <c r="L471" i="3"/>
  <c r="R471" i="3"/>
  <c r="U471" i="3"/>
  <c r="AJ471" i="3"/>
  <c r="AN471" i="3"/>
  <c r="AP471" i="3"/>
  <c r="AR471" i="3"/>
  <c r="AS471" i="3"/>
  <c r="AU471" i="3"/>
  <c r="BB473" i="3"/>
  <c r="BB474" i="3"/>
  <c r="BB475" i="3"/>
  <c r="BB476" i="3"/>
  <c r="BB477" i="3"/>
  <c r="BB478" i="3"/>
  <c r="BB479" i="3"/>
  <c r="BB480" i="3"/>
  <c r="BB481" i="3"/>
  <c r="BB482" i="3"/>
  <c r="BB483" i="3"/>
  <c r="BB484" i="3"/>
  <c r="B485" i="3"/>
  <c r="C485" i="3"/>
  <c r="D485" i="3"/>
  <c r="E485" i="3"/>
  <c r="F485" i="3"/>
  <c r="G485" i="3"/>
  <c r="H485" i="3"/>
  <c r="I485" i="3"/>
  <c r="J485" i="3"/>
  <c r="K485" i="3"/>
  <c r="L485" i="3"/>
  <c r="M485" i="3"/>
  <c r="N485" i="3"/>
  <c r="O485" i="3"/>
  <c r="P485" i="3"/>
  <c r="Q485" i="3"/>
  <c r="R485" i="3"/>
  <c r="S485" i="3"/>
  <c r="T485" i="3"/>
  <c r="U485" i="3"/>
  <c r="V485" i="3"/>
  <c r="W485" i="3"/>
  <c r="X485" i="3"/>
  <c r="Y485" i="3"/>
  <c r="AB485" i="3"/>
  <c r="AC485" i="3"/>
  <c r="AD485" i="3"/>
  <c r="AE485" i="3"/>
  <c r="AF485" i="3"/>
  <c r="AG485" i="3"/>
  <c r="AH485" i="3"/>
  <c r="AI485" i="3"/>
  <c r="AJ485" i="3"/>
  <c r="AK485" i="3"/>
  <c r="AL485" i="3"/>
  <c r="AM485" i="3"/>
  <c r="AN485" i="3"/>
  <c r="AO485" i="3"/>
  <c r="AP485" i="3"/>
  <c r="AQ485" i="3"/>
  <c r="AR485" i="3"/>
  <c r="AS485" i="3"/>
  <c r="AT485" i="3"/>
  <c r="AU485" i="3"/>
  <c r="AV485" i="3"/>
  <c r="AW485" i="3"/>
  <c r="AX485" i="3"/>
  <c r="AY485" i="3"/>
  <c r="BB487" i="3"/>
  <c r="BB488" i="3"/>
  <c r="BB489" i="3"/>
  <c r="BB490" i="3"/>
  <c r="BB491" i="3"/>
  <c r="BB492" i="3"/>
  <c r="BB493" i="3"/>
  <c r="BB494" i="3"/>
  <c r="BB495" i="3"/>
  <c r="BB496" i="3"/>
  <c r="BB497" i="3"/>
  <c r="BB498" i="3"/>
  <c r="B499" i="3"/>
  <c r="C499" i="3"/>
  <c r="D499" i="3"/>
  <c r="E499" i="3"/>
  <c r="F499" i="3"/>
  <c r="G499" i="3"/>
  <c r="H499" i="3"/>
  <c r="I499" i="3"/>
  <c r="J499" i="3"/>
  <c r="K499" i="3"/>
  <c r="L499" i="3"/>
  <c r="M499" i="3"/>
  <c r="N499" i="3"/>
  <c r="O499" i="3"/>
  <c r="P499" i="3"/>
  <c r="Q499" i="3"/>
  <c r="R499" i="3"/>
  <c r="S499" i="3"/>
  <c r="T499" i="3"/>
  <c r="U499" i="3"/>
  <c r="V499" i="3"/>
  <c r="W499" i="3"/>
  <c r="X499" i="3"/>
  <c r="Y499" i="3"/>
  <c r="AB499" i="3"/>
  <c r="AC499" i="3"/>
  <c r="AD499" i="3"/>
  <c r="AE499" i="3"/>
  <c r="AF499" i="3"/>
  <c r="AG499" i="3"/>
  <c r="AH499" i="3"/>
  <c r="AI499" i="3"/>
  <c r="AJ499" i="3"/>
  <c r="AK499" i="3"/>
  <c r="AL499" i="3"/>
  <c r="AM499" i="3"/>
  <c r="AN499" i="3"/>
  <c r="AO499" i="3"/>
  <c r="AP499" i="3"/>
  <c r="AQ499" i="3"/>
  <c r="AR499" i="3"/>
  <c r="AS499" i="3"/>
  <c r="AT499" i="3"/>
  <c r="AU499" i="3"/>
  <c r="AV499" i="3"/>
  <c r="AW499" i="3"/>
  <c r="AX499" i="3"/>
  <c r="AY499" i="3"/>
  <c r="A2" i="2"/>
  <c r="A3" i="2"/>
  <c r="A4" i="2"/>
  <c r="A5" i="2"/>
  <c r="BH319" i="2"/>
  <c r="BH320" i="2"/>
  <c r="BH321" i="2"/>
  <c r="BH322" i="2"/>
  <c r="BH323" i="2"/>
  <c r="BH324" i="2"/>
  <c r="BH325" i="2"/>
  <c r="BH326" i="2"/>
  <c r="BH327" i="2"/>
  <c r="BH328" i="2"/>
  <c r="BH329" i="2"/>
  <c r="BH330" i="2"/>
  <c r="B331" i="2"/>
  <c r="C331" i="2"/>
  <c r="D331" i="2"/>
  <c r="E331" i="2"/>
  <c r="F331" i="2"/>
  <c r="G331" i="2"/>
  <c r="H331" i="2"/>
  <c r="I331" i="2"/>
  <c r="J331" i="2"/>
  <c r="K331" i="2"/>
  <c r="L331" i="2"/>
  <c r="M331" i="2"/>
  <c r="N331" i="2"/>
  <c r="O331" i="2"/>
  <c r="P331" i="2"/>
  <c r="Q331" i="2"/>
  <c r="R331" i="2"/>
  <c r="S331" i="2"/>
  <c r="T331" i="2"/>
  <c r="U331" i="2"/>
  <c r="V331" i="2"/>
  <c r="W331" i="2"/>
  <c r="X331" i="2"/>
  <c r="Y331" i="2"/>
  <c r="Z331" i="2"/>
  <c r="AA331" i="2"/>
  <c r="AB331" i="2"/>
  <c r="AC331" i="2"/>
  <c r="AD331" i="2"/>
  <c r="AE331" i="2"/>
  <c r="AF331" i="2"/>
  <c r="AG331" i="2"/>
  <c r="AH331" i="2"/>
  <c r="AI331" i="2"/>
  <c r="AJ331" i="2"/>
  <c r="AK331" i="2"/>
  <c r="AL331" i="2"/>
  <c r="AM331" i="2"/>
  <c r="AN331" i="2"/>
  <c r="AO331" i="2"/>
  <c r="AP331" i="2"/>
  <c r="AQ331" i="2"/>
  <c r="AR331" i="2"/>
  <c r="AS331" i="2"/>
  <c r="AT331" i="2"/>
  <c r="AU331" i="2"/>
  <c r="AV331" i="2"/>
  <c r="AW331" i="2"/>
  <c r="AX331" i="2"/>
  <c r="AY331" i="2"/>
  <c r="AZ331" i="2"/>
  <c r="BA331" i="2"/>
  <c r="BB331" i="2"/>
  <c r="BC331" i="2"/>
  <c r="BD331" i="2"/>
  <c r="BE331" i="2"/>
  <c r="BF331" i="2"/>
  <c r="BG331" i="2"/>
  <c r="BH333" i="2"/>
  <c r="BH334" i="2"/>
  <c r="BH335" i="2"/>
  <c r="BH336" i="2"/>
  <c r="BH337" i="2"/>
  <c r="BH338" i="2"/>
  <c r="BH339" i="2"/>
  <c r="BH340" i="2"/>
  <c r="BH341" i="2"/>
  <c r="BH342" i="2"/>
  <c r="BH343" i="2"/>
  <c r="BH344" i="2"/>
  <c r="B345" i="2"/>
  <c r="C345" i="2"/>
  <c r="D345" i="2"/>
  <c r="E345" i="2"/>
  <c r="F345" i="2"/>
  <c r="G345" i="2"/>
  <c r="H345" i="2"/>
  <c r="I345" i="2"/>
  <c r="J345" i="2"/>
  <c r="K345" i="2"/>
  <c r="L345" i="2"/>
  <c r="M345" i="2"/>
  <c r="N345" i="2"/>
  <c r="O345" i="2"/>
  <c r="P345" i="2"/>
  <c r="Q345" i="2"/>
  <c r="R345" i="2"/>
  <c r="S345" i="2"/>
  <c r="T345" i="2"/>
  <c r="U345" i="2"/>
  <c r="V345" i="2"/>
  <c r="W345" i="2"/>
  <c r="X345" i="2"/>
  <c r="Y345" i="2"/>
  <c r="Z345" i="2"/>
  <c r="AA345" i="2"/>
  <c r="AB345" i="2"/>
  <c r="AC345" i="2"/>
  <c r="AD345" i="2"/>
  <c r="AE345" i="2"/>
  <c r="AF345" i="2"/>
  <c r="AG345" i="2"/>
  <c r="AH345" i="2"/>
  <c r="AI345" i="2"/>
  <c r="AJ345" i="2"/>
  <c r="AK345" i="2"/>
  <c r="AL345" i="2"/>
  <c r="AM345" i="2"/>
  <c r="AN345" i="2"/>
  <c r="AO345" i="2"/>
  <c r="AP345" i="2"/>
  <c r="AQ345" i="2"/>
  <c r="AR345" i="2"/>
  <c r="AS345" i="2"/>
  <c r="AT345" i="2"/>
  <c r="AU345" i="2"/>
  <c r="AV345" i="2"/>
  <c r="AW345" i="2"/>
  <c r="AX345" i="2"/>
  <c r="AY345" i="2"/>
  <c r="AZ345" i="2"/>
  <c r="BA345" i="2"/>
  <c r="BB345" i="2"/>
  <c r="BC345" i="2"/>
  <c r="BD345" i="2"/>
  <c r="BE345" i="2"/>
  <c r="BF345" i="2"/>
  <c r="BG345" i="2"/>
  <c r="BH347" i="2"/>
  <c r="BH348" i="2"/>
  <c r="BH349" i="2"/>
  <c r="BH350" i="2"/>
  <c r="BH351" i="2"/>
  <c r="BH352" i="2"/>
  <c r="BH353" i="2"/>
  <c r="BH354" i="2"/>
  <c r="BH355" i="2"/>
  <c r="BH356" i="2"/>
  <c r="BH357" i="2"/>
  <c r="BH358" i="2"/>
  <c r="B359" i="2"/>
  <c r="C359" i="2"/>
  <c r="D359" i="2"/>
  <c r="E359" i="2"/>
  <c r="F359" i="2"/>
  <c r="G359" i="2"/>
  <c r="H359" i="2"/>
  <c r="I359" i="2"/>
  <c r="J359" i="2"/>
  <c r="K359" i="2"/>
  <c r="L359" i="2"/>
  <c r="M359" i="2"/>
  <c r="N359" i="2"/>
  <c r="O359" i="2"/>
  <c r="P359" i="2"/>
  <c r="Q359" i="2"/>
  <c r="R359" i="2"/>
  <c r="S359" i="2"/>
  <c r="T359" i="2"/>
  <c r="U359" i="2"/>
  <c r="V359" i="2"/>
  <c r="W359" i="2"/>
  <c r="X359" i="2"/>
  <c r="Y359" i="2"/>
  <c r="Z359" i="2"/>
  <c r="AA359" i="2"/>
  <c r="AB359" i="2"/>
  <c r="AC359" i="2"/>
  <c r="AD359" i="2"/>
  <c r="AE359" i="2"/>
  <c r="AF359" i="2"/>
  <c r="AG359" i="2"/>
  <c r="AH359" i="2"/>
  <c r="AI359" i="2"/>
  <c r="AJ359" i="2"/>
  <c r="AK359" i="2"/>
  <c r="AL359" i="2"/>
  <c r="AM359" i="2"/>
  <c r="AN359" i="2"/>
  <c r="AO359" i="2"/>
  <c r="AP359" i="2"/>
  <c r="AQ359" i="2"/>
  <c r="AR359" i="2"/>
  <c r="AS359" i="2"/>
  <c r="AT359" i="2"/>
  <c r="AU359" i="2"/>
  <c r="AV359" i="2"/>
  <c r="AW359" i="2"/>
  <c r="AX359" i="2"/>
  <c r="AY359" i="2"/>
  <c r="AZ359" i="2"/>
  <c r="BA359" i="2"/>
  <c r="BB359" i="2"/>
  <c r="BC359" i="2"/>
  <c r="BD359" i="2"/>
  <c r="BE359" i="2"/>
  <c r="BF359" i="2"/>
  <c r="BG359" i="2"/>
  <c r="BH361" i="2"/>
  <c r="BH362" i="2"/>
  <c r="BH363" i="2"/>
  <c r="BH364" i="2"/>
  <c r="BH365" i="2"/>
  <c r="BH366" i="2"/>
  <c r="BH367" i="2"/>
  <c r="BH368" i="2"/>
  <c r="BH369" i="2"/>
  <c r="BH370" i="2"/>
  <c r="BH371" i="2"/>
  <c r="BH372" i="2"/>
  <c r="B373" i="2"/>
  <c r="C373" i="2"/>
  <c r="D373" i="2"/>
  <c r="E373" i="2"/>
  <c r="F373" i="2"/>
  <c r="G373" i="2"/>
  <c r="H373" i="2"/>
  <c r="I373" i="2"/>
  <c r="J373" i="2"/>
  <c r="K373" i="2"/>
  <c r="L373" i="2"/>
  <c r="M373" i="2"/>
  <c r="N373" i="2"/>
  <c r="O373" i="2"/>
  <c r="P373" i="2"/>
  <c r="Q373" i="2"/>
  <c r="R373" i="2"/>
  <c r="S373" i="2"/>
  <c r="T373" i="2"/>
  <c r="U373" i="2"/>
  <c r="V373" i="2"/>
  <c r="W373" i="2"/>
  <c r="X373" i="2"/>
  <c r="Y373" i="2"/>
  <c r="Z373" i="2"/>
  <c r="AA373" i="2"/>
  <c r="AB373" i="2"/>
  <c r="AC373" i="2"/>
  <c r="AD373" i="2"/>
  <c r="AE373" i="2"/>
  <c r="AF373" i="2"/>
  <c r="AG373" i="2"/>
  <c r="AH373" i="2"/>
  <c r="AI373" i="2"/>
  <c r="AJ373" i="2"/>
  <c r="AK373" i="2"/>
  <c r="AL373" i="2"/>
  <c r="AM373" i="2"/>
  <c r="AN373" i="2"/>
  <c r="AO373" i="2"/>
  <c r="AP373" i="2"/>
  <c r="AQ373" i="2"/>
  <c r="AR373" i="2"/>
  <c r="AS373" i="2"/>
  <c r="AT373" i="2"/>
  <c r="AU373" i="2"/>
  <c r="AV373" i="2"/>
  <c r="AW373" i="2"/>
  <c r="AX373" i="2"/>
  <c r="AY373" i="2"/>
  <c r="AZ373" i="2"/>
  <c r="BA373" i="2"/>
  <c r="BB373" i="2"/>
  <c r="BC373" i="2"/>
  <c r="BD373" i="2"/>
  <c r="BE373" i="2"/>
  <c r="BF373" i="2"/>
  <c r="BG373" i="2"/>
  <c r="BH375" i="2"/>
  <c r="BH376" i="2"/>
  <c r="BH377" i="2"/>
  <c r="BH378" i="2"/>
  <c r="BH379" i="2"/>
  <c r="BH380" i="2"/>
  <c r="BH381" i="2"/>
  <c r="BH382" i="2"/>
  <c r="BH383" i="2"/>
  <c r="BH384" i="2"/>
  <c r="BH385" i="2"/>
  <c r="BH386" i="2"/>
  <c r="B387" i="2"/>
  <c r="C387" i="2"/>
  <c r="D387" i="2"/>
  <c r="E387" i="2"/>
  <c r="F387" i="2"/>
  <c r="G387" i="2"/>
  <c r="H387" i="2"/>
  <c r="I387" i="2"/>
  <c r="J387" i="2"/>
  <c r="K387" i="2"/>
  <c r="L387" i="2"/>
  <c r="M387" i="2"/>
  <c r="N387" i="2"/>
  <c r="O387" i="2"/>
  <c r="P387" i="2"/>
  <c r="Q387" i="2"/>
  <c r="R387" i="2"/>
  <c r="S387" i="2"/>
  <c r="T387" i="2"/>
  <c r="U387" i="2"/>
  <c r="V387" i="2"/>
  <c r="W387" i="2"/>
  <c r="X387" i="2"/>
  <c r="Y387" i="2"/>
  <c r="Z387" i="2"/>
  <c r="AA387" i="2"/>
  <c r="AB387" i="2"/>
  <c r="AC387" i="2"/>
  <c r="AD387" i="2"/>
  <c r="AE387" i="2"/>
  <c r="AF387" i="2"/>
  <c r="AG387" i="2"/>
  <c r="AH387" i="2"/>
  <c r="AI387" i="2"/>
  <c r="AJ387" i="2"/>
  <c r="AK387" i="2"/>
  <c r="AL387" i="2"/>
  <c r="AM387" i="2"/>
  <c r="AN387" i="2"/>
  <c r="AO387" i="2"/>
  <c r="AP387" i="2"/>
  <c r="AQ387" i="2"/>
  <c r="AR387" i="2"/>
  <c r="AS387" i="2"/>
  <c r="AT387" i="2"/>
  <c r="AU387" i="2"/>
  <c r="AV387" i="2"/>
  <c r="AW387" i="2"/>
  <c r="AX387" i="2"/>
  <c r="AY387" i="2"/>
  <c r="AZ387" i="2"/>
  <c r="BA387" i="2"/>
  <c r="BB387" i="2"/>
  <c r="BC387" i="2"/>
  <c r="BD387" i="2"/>
  <c r="BE387" i="2"/>
  <c r="BF387" i="2"/>
  <c r="BG387" i="2"/>
  <c r="BH389" i="2"/>
  <c r="BH390" i="2"/>
  <c r="BH391" i="2"/>
  <c r="BH392" i="2"/>
  <c r="BH393" i="2"/>
  <c r="BH394" i="2"/>
  <c r="BH395" i="2"/>
  <c r="BH396" i="2"/>
  <c r="BH397" i="2"/>
  <c r="BH398" i="2"/>
  <c r="BH399" i="2"/>
  <c r="BH400" i="2"/>
  <c r="B401" i="2"/>
  <c r="C401" i="2"/>
  <c r="D401" i="2"/>
  <c r="E401" i="2"/>
  <c r="F401" i="2"/>
  <c r="G401" i="2"/>
  <c r="H401" i="2"/>
  <c r="I401" i="2"/>
  <c r="J401" i="2"/>
  <c r="K401" i="2"/>
  <c r="L401" i="2"/>
  <c r="M401" i="2"/>
  <c r="N401" i="2"/>
  <c r="O401" i="2"/>
  <c r="P401" i="2"/>
  <c r="Q401" i="2"/>
  <c r="R401" i="2"/>
  <c r="S401" i="2"/>
  <c r="T401" i="2"/>
  <c r="U401" i="2"/>
  <c r="V401" i="2"/>
  <c r="W401" i="2"/>
  <c r="X401" i="2"/>
  <c r="Y401" i="2"/>
  <c r="Z401" i="2"/>
  <c r="AA401" i="2"/>
  <c r="AB401" i="2"/>
  <c r="AC401" i="2"/>
  <c r="AD401" i="2"/>
  <c r="AE401" i="2"/>
  <c r="AF401" i="2"/>
  <c r="AG401" i="2"/>
  <c r="AH401" i="2"/>
  <c r="AI401" i="2"/>
  <c r="AJ401" i="2"/>
  <c r="AK401" i="2"/>
  <c r="AL401" i="2"/>
  <c r="AM401" i="2"/>
  <c r="AN401" i="2"/>
  <c r="AO401" i="2"/>
  <c r="AP401" i="2"/>
  <c r="AQ401" i="2"/>
  <c r="AR401" i="2"/>
  <c r="AS401" i="2"/>
  <c r="AT401" i="2"/>
  <c r="AU401" i="2"/>
  <c r="AV401" i="2"/>
  <c r="AW401" i="2"/>
  <c r="AX401" i="2"/>
  <c r="AY401" i="2"/>
  <c r="AZ401" i="2"/>
  <c r="BA401" i="2"/>
  <c r="BB401" i="2"/>
  <c r="BC401" i="2"/>
  <c r="BD401" i="2"/>
  <c r="BE401" i="2"/>
  <c r="BF401" i="2"/>
  <c r="BG401" i="2"/>
  <c r="BH403" i="2"/>
  <c r="BH404" i="2"/>
  <c r="BH405" i="2"/>
  <c r="BH406" i="2"/>
  <c r="BH407" i="2"/>
  <c r="BH408" i="2"/>
  <c r="BH409" i="2"/>
  <c r="BH410" i="2"/>
  <c r="BH411" i="2"/>
  <c r="BH412" i="2"/>
  <c r="BH413" i="2"/>
  <c r="BH414" i="2"/>
  <c r="B415" i="2"/>
  <c r="C415" i="2"/>
  <c r="D415" i="2"/>
  <c r="E415" i="2"/>
  <c r="F415" i="2"/>
  <c r="G415" i="2"/>
  <c r="H415" i="2"/>
  <c r="I415" i="2"/>
  <c r="J415" i="2"/>
  <c r="K415" i="2"/>
  <c r="L415" i="2"/>
  <c r="M415" i="2"/>
  <c r="N415" i="2"/>
  <c r="O415" i="2"/>
  <c r="P415" i="2"/>
  <c r="Q415" i="2"/>
  <c r="R415" i="2"/>
  <c r="S415" i="2"/>
  <c r="T415" i="2"/>
  <c r="U415" i="2"/>
  <c r="V415" i="2"/>
  <c r="W415" i="2"/>
  <c r="X415" i="2"/>
  <c r="Y415" i="2"/>
  <c r="Z415" i="2"/>
  <c r="AA415" i="2"/>
  <c r="AB415" i="2"/>
  <c r="AC415" i="2"/>
  <c r="AD415" i="2"/>
  <c r="AE415" i="2"/>
  <c r="AF415" i="2"/>
  <c r="AG415" i="2"/>
  <c r="AH415" i="2"/>
  <c r="AI415" i="2"/>
  <c r="AJ415" i="2"/>
  <c r="AK415" i="2"/>
  <c r="AL415" i="2"/>
  <c r="AM415" i="2"/>
  <c r="AN415" i="2"/>
  <c r="AO415" i="2"/>
  <c r="AP415" i="2"/>
  <c r="AQ415" i="2"/>
  <c r="AR415" i="2"/>
  <c r="AS415" i="2"/>
  <c r="AT415" i="2"/>
  <c r="AU415" i="2"/>
  <c r="AV415" i="2"/>
  <c r="AW415" i="2"/>
  <c r="AX415" i="2"/>
  <c r="AY415" i="2"/>
  <c r="AZ415" i="2"/>
  <c r="BA415" i="2"/>
  <c r="BB415" i="2"/>
  <c r="BC415" i="2"/>
  <c r="BD415" i="2"/>
  <c r="BE415" i="2"/>
  <c r="BF415" i="2"/>
  <c r="BG415" i="2"/>
  <c r="BH417" i="2"/>
  <c r="BH418" i="2"/>
  <c r="BH419" i="2"/>
  <c r="BH420" i="2"/>
  <c r="BH421" i="2"/>
  <c r="BH422" i="2"/>
  <c r="BH423" i="2"/>
  <c r="BH424" i="2"/>
  <c r="BH425" i="2"/>
  <c r="BH426" i="2"/>
  <c r="BH427" i="2"/>
  <c r="BH428" i="2"/>
  <c r="B429" i="2"/>
  <c r="C429" i="2"/>
  <c r="D429" i="2"/>
  <c r="E429" i="2"/>
  <c r="F429" i="2"/>
  <c r="G429" i="2"/>
  <c r="H429" i="2"/>
  <c r="I429" i="2"/>
  <c r="J429" i="2"/>
  <c r="K429" i="2"/>
  <c r="L429" i="2"/>
  <c r="M429" i="2"/>
  <c r="N429" i="2"/>
  <c r="O429" i="2"/>
  <c r="P429" i="2"/>
  <c r="Q429" i="2"/>
  <c r="R429" i="2"/>
  <c r="S429" i="2"/>
  <c r="T429" i="2"/>
  <c r="U429" i="2"/>
  <c r="V429" i="2"/>
  <c r="W429" i="2"/>
  <c r="X429" i="2"/>
  <c r="Y429" i="2"/>
  <c r="Z429" i="2"/>
  <c r="AA429" i="2"/>
  <c r="AB429" i="2"/>
  <c r="AC429" i="2"/>
  <c r="AD429" i="2"/>
  <c r="AE429" i="2"/>
  <c r="AF429" i="2"/>
  <c r="AG429" i="2"/>
  <c r="AH429" i="2"/>
  <c r="AI429" i="2"/>
  <c r="AJ429" i="2"/>
  <c r="AK429" i="2"/>
  <c r="AL429" i="2"/>
  <c r="AM429" i="2"/>
  <c r="AN429" i="2"/>
  <c r="AO429" i="2"/>
  <c r="AP429" i="2"/>
  <c r="AQ429" i="2"/>
  <c r="AR429" i="2"/>
  <c r="AS429" i="2"/>
  <c r="AT429" i="2"/>
  <c r="AU429" i="2"/>
  <c r="AV429" i="2"/>
  <c r="AW429" i="2"/>
  <c r="AX429" i="2"/>
  <c r="AY429" i="2"/>
  <c r="AZ429" i="2"/>
  <c r="BA429" i="2"/>
  <c r="BB429" i="2"/>
  <c r="BC429" i="2"/>
  <c r="BD429" i="2"/>
  <c r="BE429" i="2"/>
  <c r="BF429" i="2"/>
  <c r="BG429" i="2"/>
  <c r="BH431" i="2"/>
  <c r="BH432" i="2"/>
  <c r="BH433" i="2"/>
  <c r="BH434" i="2"/>
  <c r="BH435" i="2"/>
  <c r="BH436" i="2"/>
  <c r="BH437" i="2"/>
  <c r="BH438" i="2"/>
  <c r="BH439" i="2"/>
  <c r="BH440" i="2"/>
  <c r="BH441" i="2"/>
  <c r="BH442" i="2"/>
  <c r="B443" i="2"/>
  <c r="C443" i="2"/>
  <c r="D443" i="2"/>
  <c r="E443" i="2"/>
  <c r="F443" i="2"/>
  <c r="G443" i="2"/>
  <c r="H443" i="2"/>
  <c r="I443" i="2"/>
  <c r="J443" i="2"/>
  <c r="K443" i="2"/>
  <c r="L443" i="2"/>
  <c r="M443" i="2"/>
  <c r="N443" i="2"/>
  <c r="O443" i="2"/>
  <c r="P443" i="2"/>
  <c r="Q443" i="2"/>
  <c r="R443" i="2"/>
  <c r="S443" i="2"/>
  <c r="T443" i="2"/>
  <c r="U443" i="2"/>
  <c r="V443" i="2"/>
  <c r="W443" i="2"/>
  <c r="X443" i="2"/>
  <c r="Y443" i="2"/>
  <c r="Z443" i="2"/>
  <c r="AA443" i="2"/>
  <c r="AB443" i="2"/>
  <c r="AC443" i="2"/>
  <c r="AD443" i="2"/>
  <c r="AE443" i="2"/>
  <c r="AF443" i="2"/>
  <c r="AG443" i="2"/>
  <c r="AH443" i="2"/>
  <c r="AI443" i="2"/>
  <c r="AJ443" i="2"/>
  <c r="AK443" i="2"/>
  <c r="AL443" i="2"/>
  <c r="AM443" i="2"/>
  <c r="AN443" i="2"/>
  <c r="AO443" i="2"/>
  <c r="AP443" i="2"/>
  <c r="AQ443" i="2"/>
  <c r="AR443" i="2"/>
  <c r="AS443" i="2"/>
  <c r="AT443" i="2"/>
  <c r="AU443" i="2"/>
  <c r="AV443" i="2"/>
  <c r="AW443" i="2"/>
  <c r="AX443" i="2"/>
  <c r="AY443" i="2"/>
  <c r="AZ443" i="2"/>
  <c r="BA443" i="2"/>
  <c r="BB443" i="2"/>
  <c r="BC443" i="2"/>
  <c r="BD443" i="2"/>
  <c r="BE443" i="2"/>
  <c r="BF443" i="2"/>
  <c r="BG443" i="2"/>
  <c r="BH445" i="2"/>
  <c r="BH446" i="2"/>
  <c r="BH447" i="2"/>
  <c r="BH448" i="2"/>
  <c r="BH449" i="2"/>
  <c r="BH450" i="2"/>
  <c r="BH451" i="2"/>
  <c r="BH452" i="2"/>
  <c r="BH453" i="2"/>
  <c r="BH454" i="2"/>
  <c r="BH455" i="2"/>
  <c r="BH456" i="2"/>
  <c r="B457" i="2"/>
  <c r="C457" i="2"/>
  <c r="D457" i="2"/>
  <c r="E457" i="2"/>
  <c r="F457" i="2"/>
  <c r="G457" i="2"/>
  <c r="H457" i="2"/>
  <c r="I457" i="2"/>
  <c r="J457" i="2"/>
  <c r="K457" i="2"/>
  <c r="L457" i="2"/>
  <c r="M457" i="2"/>
  <c r="N457" i="2"/>
  <c r="O457" i="2"/>
  <c r="P457" i="2"/>
  <c r="Q457" i="2"/>
  <c r="R457" i="2"/>
  <c r="S457" i="2"/>
  <c r="T457" i="2"/>
  <c r="U457" i="2"/>
  <c r="V457" i="2"/>
  <c r="W457" i="2"/>
  <c r="X457" i="2"/>
  <c r="Y457" i="2"/>
  <c r="Z457" i="2"/>
  <c r="AA457" i="2"/>
  <c r="AB457" i="2"/>
  <c r="AC457" i="2"/>
  <c r="AD457" i="2"/>
  <c r="AE457" i="2"/>
  <c r="AF457" i="2"/>
  <c r="AG457" i="2"/>
  <c r="AH457" i="2"/>
  <c r="AI457" i="2"/>
  <c r="AJ457" i="2"/>
  <c r="AK457" i="2"/>
  <c r="AL457" i="2"/>
  <c r="AM457" i="2"/>
  <c r="AN457" i="2"/>
  <c r="AO457" i="2"/>
  <c r="AP457" i="2"/>
  <c r="AQ457" i="2"/>
  <c r="AR457" i="2"/>
  <c r="AS457" i="2"/>
  <c r="AT457" i="2"/>
  <c r="AU457" i="2"/>
  <c r="AV457" i="2"/>
  <c r="AW457" i="2"/>
  <c r="AX457" i="2"/>
  <c r="AY457" i="2"/>
  <c r="AZ457" i="2"/>
  <c r="BA457" i="2"/>
  <c r="BB457" i="2"/>
  <c r="BC457" i="2"/>
  <c r="BD457" i="2"/>
  <c r="BE457" i="2"/>
  <c r="BF457" i="2"/>
  <c r="BG457" i="2"/>
  <c r="BH459" i="2"/>
  <c r="BH460" i="2"/>
  <c r="BH461" i="2"/>
  <c r="BH462" i="2"/>
  <c r="BH463" i="2"/>
  <c r="BH464" i="2"/>
  <c r="BH465" i="2"/>
  <c r="BH466" i="2"/>
  <c r="BH467" i="2"/>
  <c r="BH468" i="2"/>
  <c r="BH469" i="2"/>
  <c r="B470" i="2"/>
  <c r="B471" i="2" s="1"/>
  <c r="C470" i="2"/>
  <c r="C471" i="2" s="1"/>
  <c r="D470" i="2"/>
  <c r="D471" i="2" s="1"/>
  <c r="E470" i="2"/>
  <c r="E471" i="2" s="1"/>
  <c r="F470" i="2"/>
  <c r="F471" i="2" s="1"/>
  <c r="G470" i="2"/>
  <c r="G471" i="2" s="1"/>
  <c r="H470" i="2"/>
  <c r="H471" i="2" s="1"/>
  <c r="I470" i="2"/>
  <c r="I471" i="2" s="1"/>
  <c r="J470" i="2"/>
  <c r="J471" i="2" s="1"/>
  <c r="K470" i="2"/>
  <c r="K471" i="2" s="1"/>
  <c r="L470" i="2"/>
  <c r="L471" i="2" s="1"/>
  <c r="M470" i="2"/>
  <c r="M471" i="2" s="1"/>
  <c r="N470" i="2"/>
  <c r="N471" i="2" s="1"/>
  <c r="O470" i="2"/>
  <c r="O471" i="2" s="1"/>
  <c r="P470" i="2"/>
  <c r="P471" i="2" s="1"/>
  <c r="Q470" i="2"/>
  <c r="Q471" i="2" s="1"/>
  <c r="R470" i="2"/>
  <c r="R471" i="2" s="1"/>
  <c r="S470" i="2"/>
  <c r="S471" i="2" s="1"/>
  <c r="T470" i="2"/>
  <c r="T471" i="2" s="1"/>
  <c r="U470" i="2"/>
  <c r="U471" i="2" s="1"/>
  <c r="V470" i="2"/>
  <c r="V471" i="2" s="1"/>
  <c r="W470" i="2"/>
  <c r="W471" i="2" s="1"/>
  <c r="X470" i="2"/>
  <c r="X471" i="2" s="1"/>
  <c r="Y470" i="2"/>
  <c r="Y471" i="2" s="1"/>
  <c r="Z470" i="2"/>
  <c r="Z471" i="2" s="1"/>
  <c r="AA470" i="2"/>
  <c r="AA471" i="2" s="1"/>
  <c r="AB470" i="2"/>
  <c r="AB471" i="2" s="1"/>
  <c r="AC470" i="2"/>
  <c r="AC471" i="2" s="1"/>
  <c r="AD470" i="2"/>
  <c r="AD471" i="2" s="1"/>
  <c r="AE470" i="2"/>
  <c r="AE471" i="2" s="1"/>
  <c r="AF470" i="2"/>
  <c r="AF471" i="2" s="1"/>
  <c r="AG470" i="2"/>
  <c r="AG471" i="2" s="1"/>
  <c r="AH470" i="2"/>
  <c r="AH471" i="2" s="1"/>
  <c r="AI470" i="2"/>
  <c r="AI471" i="2" s="1"/>
  <c r="AK470" i="2"/>
  <c r="AK471" i="2" s="1"/>
  <c r="AL470" i="2"/>
  <c r="AL471" i="2" s="1"/>
  <c r="AM470" i="2"/>
  <c r="AM471" i="2" s="1"/>
  <c r="AN470" i="2"/>
  <c r="AN471" i="2" s="1"/>
  <c r="AO470" i="2"/>
  <c r="AO471" i="2" s="1"/>
  <c r="AP470" i="2"/>
  <c r="AP471" i="2" s="1"/>
  <c r="AQ470" i="2"/>
  <c r="AQ471" i="2" s="1"/>
  <c r="AR470" i="2"/>
  <c r="AR471" i="2" s="1"/>
  <c r="AS470" i="2"/>
  <c r="AS471" i="2" s="1"/>
  <c r="AT470" i="2"/>
  <c r="AT471" i="2" s="1"/>
  <c r="AU470" i="2"/>
  <c r="AU471" i="2" s="1"/>
  <c r="AV470" i="2"/>
  <c r="AV471" i="2" s="1"/>
  <c r="AW470" i="2"/>
  <c r="AW471" i="2" s="1"/>
  <c r="AX470" i="2"/>
  <c r="AX471" i="2" s="1"/>
  <c r="AY470" i="2"/>
  <c r="AY471" i="2" s="1"/>
  <c r="AZ470" i="2"/>
  <c r="AZ471" i="2" s="1"/>
  <c r="BA470" i="2"/>
  <c r="BA471" i="2" s="1"/>
  <c r="BB470" i="2"/>
  <c r="BB471" i="2" s="1"/>
  <c r="BC470" i="2"/>
  <c r="BC471" i="2" s="1"/>
  <c r="BD470" i="2"/>
  <c r="BD471" i="2" s="1"/>
  <c r="BE470" i="2"/>
  <c r="BE471" i="2" s="1"/>
  <c r="BF470" i="2"/>
  <c r="BF471" i="2" s="1"/>
  <c r="AJ471" i="2"/>
  <c r="BG471" i="2"/>
  <c r="BH473" i="2"/>
  <c r="BH474" i="2"/>
  <c r="BH475" i="2"/>
  <c r="BH476" i="2"/>
  <c r="BH477" i="2"/>
  <c r="BH478" i="2"/>
  <c r="BH479" i="2"/>
  <c r="BH480" i="2"/>
  <c r="BH481" i="2"/>
  <c r="BH482" i="2"/>
  <c r="BH483" i="2"/>
  <c r="BH484" i="2"/>
  <c r="B485" i="2"/>
  <c r="C485" i="2"/>
  <c r="D485" i="2"/>
  <c r="E485" i="2"/>
  <c r="F485" i="2"/>
  <c r="G485" i="2"/>
  <c r="H485" i="2"/>
  <c r="I485" i="2"/>
  <c r="J485" i="2"/>
  <c r="K485" i="2"/>
  <c r="L485" i="2"/>
  <c r="M485" i="2"/>
  <c r="N485" i="2"/>
  <c r="O485" i="2"/>
  <c r="P485" i="2"/>
  <c r="Q485" i="2"/>
  <c r="R485" i="2"/>
  <c r="S485" i="2"/>
  <c r="T485" i="2"/>
  <c r="U485" i="2"/>
  <c r="V485" i="2"/>
  <c r="W485" i="2"/>
  <c r="X485" i="2"/>
  <c r="Y485" i="2"/>
  <c r="Z485" i="2"/>
  <c r="AA485" i="2"/>
  <c r="AB485" i="2"/>
  <c r="AC485" i="2"/>
  <c r="AD485" i="2"/>
  <c r="AE485" i="2"/>
  <c r="AF485" i="2"/>
  <c r="AG485" i="2"/>
  <c r="AH485" i="2"/>
  <c r="AI485" i="2"/>
  <c r="AJ485" i="2"/>
  <c r="AK485" i="2"/>
  <c r="AL485" i="2"/>
  <c r="AM485" i="2"/>
  <c r="AN485" i="2"/>
  <c r="AO485" i="2"/>
  <c r="AP485" i="2"/>
  <c r="AQ485" i="2"/>
  <c r="AR485" i="2"/>
  <c r="AS485" i="2"/>
  <c r="AT485" i="2"/>
  <c r="AU485" i="2"/>
  <c r="AV485" i="2"/>
  <c r="AW485" i="2"/>
  <c r="AX485" i="2"/>
  <c r="AY485" i="2"/>
  <c r="AZ485" i="2"/>
  <c r="BA485" i="2"/>
  <c r="BB485" i="2"/>
  <c r="BC485" i="2"/>
  <c r="BD485" i="2"/>
  <c r="BE485" i="2"/>
  <c r="BF485" i="2"/>
  <c r="BG485" i="2"/>
  <c r="BH487" i="2"/>
  <c r="BH488" i="2"/>
  <c r="BH489" i="2"/>
  <c r="BH490" i="2"/>
  <c r="BH491" i="2"/>
  <c r="BH492" i="2"/>
  <c r="BH493" i="2"/>
  <c r="BH494" i="2"/>
  <c r="BH495" i="2"/>
  <c r="BH496" i="2"/>
  <c r="BH497" i="2"/>
  <c r="BH498" i="2"/>
  <c r="B499" i="2"/>
  <c r="C499" i="2"/>
  <c r="D499" i="2"/>
  <c r="E499" i="2"/>
  <c r="F499" i="2"/>
  <c r="G499" i="2"/>
  <c r="H499" i="2"/>
  <c r="I499" i="2"/>
  <c r="J499" i="2"/>
  <c r="K499" i="2"/>
  <c r="L499" i="2"/>
  <c r="M499" i="2"/>
  <c r="N499" i="2"/>
  <c r="O499" i="2"/>
  <c r="P499" i="2"/>
  <c r="Q499" i="2"/>
  <c r="R499" i="2"/>
  <c r="S499" i="2"/>
  <c r="T499" i="2"/>
  <c r="U499" i="2"/>
  <c r="V499" i="2"/>
  <c r="W499" i="2"/>
  <c r="X499" i="2"/>
  <c r="Y499" i="2"/>
  <c r="Z499" i="2"/>
  <c r="AA499" i="2"/>
  <c r="AB499" i="2"/>
  <c r="AC499" i="2"/>
  <c r="AD499" i="2"/>
  <c r="AE499" i="2"/>
  <c r="AF499" i="2"/>
  <c r="AG499" i="2"/>
  <c r="AH499" i="2"/>
  <c r="AI499" i="2"/>
  <c r="AJ499" i="2"/>
  <c r="AK499" i="2"/>
  <c r="AL499" i="2"/>
  <c r="AM499" i="2"/>
  <c r="AN499" i="2"/>
  <c r="AO499" i="2"/>
  <c r="AP499" i="2"/>
  <c r="AQ499" i="2"/>
  <c r="AR499" i="2"/>
  <c r="AS499" i="2"/>
  <c r="AT499" i="2"/>
  <c r="AU499" i="2"/>
  <c r="AV499" i="2"/>
  <c r="AW499" i="2"/>
  <c r="AX499" i="2"/>
  <c r="AY499" i="2"/>
  <c r="AZ499" i="2"/>
  <c r="BA499" i="2"/>
  <c r="BB499" i="2"/>
  <c r="BC499" i="2"/>
  <c r="BD499" i="2"/>
  <c r="BE499" i="2"/>
  <c r="BF499" i="2"/>
  <c r="BG499" i="2"/>
  <c r="A2" i="4"/>
  <c r="A3" i="4"/>
  <c r="A4" i="4"/>
  <c r="A5" i="4"/>
  <c r="AB319" i="4"/>
  <c r="AB320" i="4"/>
  <c r="AB321" i="4"/>
  <c r="AB322" i="4"/>
  <c r="AB323" i="4"/>
  <c r="AB324" i="4"/>
  <c r="AB325" i="4"/>
  <c r="AB326" i="4"/>
  <c r="AB327" i="4"/>
  <c r="AB328" i="4"/>
  <c r="AB329" i="4"/>
  <c r="AB330" i="4"/>
  <c r="B331" i="4"/>
  <c r="C331" i="4"/>
  <c r="D331" i="4"/>
  <c r="E331" i="4"/>
  <c r="F331" i="4"/>
  <c r="G331" i="4"/>
  <c r="H331" i="4"/>
  <c r="I331" i="4"/>
  <c r="J331" i="4"/>
  <c r="K331" i="4"/>
  <c r="L331" i="4"/>
  <c r="N331" i="4"/>
  <c r="P331" i="4"/>
  <c r="Q331" i="4"/>
  <c r="V331" i="4"/>
  <c r="X331" i="4"/>
  <c r="Y331" i="4"/>
  <c r="Z331" i="4"/>
  <c r="AA331" i="4"/>
  <c r="AB333" i="4"/>
  <c r="AB334" i="4"/>
  <c r="AB335" i="4"/>
  <c r="AB336" i="4"/>
  <c r="AB337" i="4"/>
  <c r="AB338" i="4"/>
  <c r="AB339" i="4"/>
  <c r="AB340" i="4"/>
  <c r="AB341" i="4"/>
  <c r="AB342" i="4"/>
  <c r="AB343" i="4"/>
  <c r="AB344" i="4"/>
  <c r="B345" i="4"/>
  <c r="C345" i="4"/>
  <c r="D345" i="4"/>
  <c r="E345" i="4"/>
  <c r="F345" i="4"/>
  <c r="G345" i="4"/>
  <c r="H345" i="4"/>
  <c r="I345" i="4"/>
  <c r="J345" i="4"/>
  <c r="K345" i="4"/>
  <c r="L345" i="4"/>
  <c r="N345" i="4"/>
  <c r="P345" i="4"/>
  <c r="Q345" i="4"/>
  <c r="V345" i="4"/>
  <c r="X345" i="4"/>
  <c r="Y345" i="4"/>
  <c r="Z345" i="4"/>
  <c r="AA345" i="4"/>
  <c r="AB347" i="4"/>
  <c r="AB348" i="4"/>
  <c r="AB349" i="4"/>
  <c r="AB350" i="4"/>
  <c r="AB351" i="4"/>
  <c r="AB352" i="4"/>
  <c r="AB353" i="4"/>
  <c r="AB354" i="4"/>
  <c r="AB355" i="4"/>
  <c r="AB356" i="4"/>
  <c r="AB357" i="4"/>
  <c r="AB358" i="4"/>
  <c r="B359" i="4"/>
  <c r="C359" i="4"/>
  <c r="D359" i="4"/>
  <c r="E359" i="4"/>
  <c r="F359" i="4"/>
  <c r="G359" i="4"/>
  <c r="H359" i="4"/>
  <c r="I359" i="4"/>
  <c r="J359" i="4"/>
  <c r="K359" i="4"/>
  <c r="L359" i="4"/>
  <c r="N359" i="4"/>
  <c r="P359" i="4"/>
  <c r="Q359" i="4"/>
  <c r="V359" i="4"/>
  <c r="X359" i="4"/>
  <c r="Y359" i="4"/>
  <c r="Z359" i="4"/>
  <c r="AA359" i="4"/>
  <c r="AB361" i="4"/>
  <c r="AB362" i="4"/>
  <c r="AB363" i="4"/>
  <c r="AB364" i="4"/>
  <c r="AB365" i="4"/>
  <c r="AB366" i="4"/>
  <c r="AB367" i="4"/>
  <c r="AB368" i="4"/>
  <c r="AB369" i="4"/>
  <c r="AB370" i="4"/>
  <c r="AB371" i="4"/>
  <c r="AB372" i="4"/>
  <c r="B373" i="4"/>
  <c r="C373" i="4"/>
  <c r="D373" i="4"/>
  <c r="E373" i="4"/>
  <c r="F373" i="4"/>
  <c r="G373" i="4"/>
  <c r="H373" i="4"/>
  <c r="I373" i="4"/>
  <c r="J373" i="4"/>
  <c r="K373" i="4"/>
  <c r="L373" i="4"/>
  <c r="N373" i="4"/>
  <c r="P373" i="4"/>
  <c r="Q373" i="4"/>
  <c r="V373" i="4"/>
  <c r="X373" i="4"/>
  <c r="Y373" i="4"/>
  <c r="Z373" i="4"/>
  <c r="AA373" i="4"/>
  <c r="AB375" i="4"/>
  <c r="AB376" i="4"/>
  <c r="AB377" i="4"/>
  <c r="AB378" i="4"/>
  <c r="AB379" i="4"/>
  <c r="AB380" i="4"/>
  <c r="AB381" i="4"/>
  <c r="AB382" i="4"/>
  <c r="AB383" i="4"/>
  <c r="AB384" i="4"/>
  <c r="AB385" i="4"/>
  <c r="AB386" i="4"/>
  <c r="B387" i="4"/>
  <c r="C387" i="4"/>
  <c r="D387" i="4"/>
  <c r="E387" i="4"/>
  <c r="F387" i="4"/>
  <c r="G387" i="4"/>
  <c r="H387" i="4"/>
  <c r="I387" i="4"/>
  <c r="J387" i="4"/>
  <c r="K387" i="4"/>
  <c r="L387" i="4"/>
  <c r="N387" i="4"/>
  <c r="P387" i="4"/>
  <c r="Q387" i="4"/>
  <c r="V387" i="4"/>
  <c r="X387" i="4"/>
  <c r="Y387" i="4"/>
  <c r="Z387" i="4"/>
  <c r="AA387" i="4"/>
  <c r="AB389" i="4"/>
  <c r="AB390" i="4"/>
  <c r="AB391" i="4"/>
  <c r="AB392" i="4"/>
  <c r="AB393" i="4"/>
  <c r="AB394" i="4"/>
  <c r="AB395" i="4"/>
  <c r="AB396" i="4"/>
  <c r="AB397" i="4"/>
  <c r="AB398" i="4"/>
  <c r="AB399" i="4"/>
  <c r="AB400" i="4"/>
  <c r="B401" i="4"/>
  <c r="C401" i="4"/>
  <c r="D401" i="4"/>
  <c r="E401" i="4"/>
  <c r="F401" i="4"/>
  <c r="G401" i="4"/>
  <c r="H401" i="4"/>
  <c r="I401" i="4"/>
  <c r="J401" i="4"/>
  <c r="K401" i="4"/>
  <c r="L401" i="4"/>
  <c r="N401" i="4"/>
  <c r="P401" i="4"/>
  <c r="Q401" i="4"/>
  <c r="V401" i="4"/>
  <c r="X401" i="4"/>
  <c r="Y401" i="4"/>
  <c r="Z401" i="4"/>
  <c r="AA401" i="4"/>
  <c r="AB403" i="4"/>
  <c r="AB404" i="4"/>
  <c r="AB405" i="4"/>
  <c r="AB406" i="4"/>
  <c r="AB407" i="4"/>
  <c r="AB408" i="4"/>
  <c r="AB409" i="4"/>
  <c r="AB410" i="4"/>
  <c r="AB411" i="4"/>
  <c r="AB412" i="4"/>
  <c r="AB413" i="4"/>
  <c r="AB414" i="4"/>
  <c r="B415" i="4"/>
  <c r="C415" i="4"/>
  <c r="D415" i="4"/>
  <c r="E415" i="4"/>
  <c r="F415" i="4"/>
  <c r="G415" i="4"/>
  <c r="H415" i="4"/>
  <c r="I415" i="4"/>
  <c r="J415" i="4"/>
  <c r="K415" i="4"/>
  <c r="L415" i="4"/>
  <c r="N415" i="4"/>
  <c r="P415" i="4"/>
  <c r="Q415" i="4"/>
  <c r="V415" i="4"/>
  <c r="X415" i="4"/>
  <c r="Y415" i="4"/>
  <c r="Z415" i="4"/>
  <c r="AA415" i="4"/>
  <c r="AB417" i="4"/>
  <c r="AB418" i="4"/>
  <c r="AB419" i="4"/>
  <c r="AB420" i="4"/>
  <c r="AB421" i="4"/>
  <c r="AB422" i="4"/>
  <c r="AB423" i="4"/>
  <c r="AB424" i="4"/>
  <c r="AB425" i="4"/>
  <c r="AB426" i="4"/>
  <c r="AB427" i="4"/>
  <c r="AB428" i="4"/>
  <c r="B429" i="4"/>
  <c r="C429" i="4"/>
  <c r="D429" i="4"/>
  <c r="E429" i="4"/>
  <c r="F429" i="4"/>
  <c r="G429" i="4"/>
  <c r="H429" i="4"/>
  <c r="I429" i="4"/>
  <c r="J429" i="4"/>
  <c r="K429" i="4"/>
  <c r="L429" i="4"/>
  <c r="N429" i="4"/>
  <c r="P429" i="4"/>
  <c r="Q429" i="4"/>
  <c r="V429" i="4"/>
  <c r="X429" i="4"/>
  <c r="Y429" i="4"/>
  <c r="Z429" i="4"/>
  <c r="AA429" i="4"/>
  <c r="AB431" i="4"/>
  <c r="AB432" i="4"/>
  <c r="AB433" i="4"/>
  <c r="AB434" i="4"/>
  <c r="AB435" i="4"/>
  <c r="AB436" i="4"/>
  <c r="AB437" i="4"/>
  <c r="AB438" i="4"/>
  <c r="AB439" i="4"/>
  <c r="AB440" i="4"/>
  <c r="AB441" i="4"/>
  <c r="AB442" i="4"/>
  <c r="B443" i="4"/>
  <c r="C443" i="4"/>
  <c r="D443" i="4"/>
  <c r="E443" i="4"/>
  <c r="F443" i="4"/>
  <c r="G443" i="4"/>
  <c r="H443" i="4"/>
  <c r="I443" i="4"/>
  <c r="J443" i="4"/>
  <c r="K443" i="4"/>
  <c r="L443" i="4"/>
  <c r="N443" i="4"/>
  <c r="P443" i="4"/>
  <c r="Q443" i="4"/>
  <c r="V443" i="4"/>
  <c r="X443" i="4"/>
  <c r="Y443" i="4"/>
  <c r="Z443" i="4"/>
  <c r="AA443" i="4"/>
  <c r="AB445" i="4"/>
  <c r="AB446" i="4"/>
  <c r="AB447" i="4"/>
  <c r="AB448" i="4"/>
  <c r="AB449" i="4"/>
  <c r="AB450" i="4"/>
  <c r="AB451" i="4"/>
  <c r="AB452" i="4"/>
  <c r="AB453" i="4"/>
  <c r="AB454" i="4"/>
  <c r="AB455" i="4"/>
  <c r="AB456" i="4"/>
  <c r="B457" i="4"/>
  <c r="C457" i="4"/>
  <c r="D457" i="4"/>
  <c r="E457" i="4"/>
  <c r="F457" i="4"/>
  <c r="G457" i="4"/>
  <c r="H457" i="4"/>
  <c r="I457" i="4"/>
  <c r="J457" i="4"/>
  <c r="K457" i="4"/>
  <c r="L457" i="4"/>
  <c r="N457" i="4"/>
  <c r="P457" i="4"/>
  <c r="Q457" i="4"/>
  <c r="V457" i="4"/>
  <c r="X457" i="4"/>
  <c r="Y457" i="4"/>
  <c r="Z457" i="4"/>
  <c r="AA457" i="4"/>
  <c r="AB459" i="4"/>
  <c r="AB460" i="4"/>
  <c r="AB461" i="4"/>
  <c r="AB462" i="4"/>
  <c r="AB463" i="4"/>
  <c r="AB464" i="4"/>
  <c r="AB465" i="4"/>
  <c r="AB466" i="4"/>
  <c r="AB467" i="4"/>
  <c r="AB468" i="4"/>
  <c r="AB469" i="4"/>
  <c r="B470" i="4"/>
  <c r="B471" i="4" s="1"/>
  <c r="C470" i="4"/>
  <c r="C471" i="4" s="1"/>
  <c r="D470" i="4"/>
  <c r="D471" i="4" s="1"/>
  <c r="E470" i="4"/>
  <c r="E471" i="4" s="1"/>
  <c r="F470" i="4"/>
  <c r="F471" i="4" s="1"/>
  <c r="G470" i="4"/>
  <c r="G471" i="4" s="1"/>
  <c r="H470" i="4"/>
  <c r="H471" i="4" s="1"/>
  <c r="I470" i="4"/>
  <c r="I471" i="4" s="1"/>
  <c r="K470" i="4"/>
  <c r="K471" i="4" s="1"/>
  <c r="L470" i="4"/>
  <c r="L471" i="4" s="1"/>
  <c r="N470" i="4"/>
  <c r="N471" i="4" s="1"/>
  <c r="P470" i="4"/>
  <c r="P471" i="4" s="1"/>
  <c r="Q470" i="4"/>
  <c r="Q471" i="4" s="1"/>
  <c r="V470" i="4"/>
  <c r="V471" i="4" s="1"/>
  <c r="X470" i="4"/>
  <c r="X471" i="4" s="1"/>
  <c r="Y470" i="4"/>
  <c r="Y471" i="4" s="1"/>
  <c r="Z470" i="4"/>
  <c r="Z471" i="4" s="1"/>
  <c r="AA470" i="4"/>
  <c r="AA471" i="4" s="1"/>
  <c r="J471" i="4"/>
  <c r="AB473" i="4"/>
  <c r="AB474" i="4"/>
  <c r="AB475" i="4"/>
  <c r="AB476" i="4"/>
  <c r="AB477" i="4"/>
  <c r="AB478" i="4"/>
  <c r="AB479" i="4"/>
  <c r="AB480" i="4"/>
  <c r="AB481" i="4"/>
  <c r="AB482" i="4"/>
  <c r="AB483" i="4"/>
  <c r="AB484" i="4"/>
  <c r="B485" i="4"/>
  <c r="C485" i="4"/>
  <c r="D485" i="4"/>
  <c r="E485" i="4"/>
  <c r="F485" i="4"/>
  <c r="G485" i="4"/>
  <c r="H485" i="4"/>
  <c r="I485" i="4"/>
  <c r="J485" i="4"/>
  <c r="K485" i="4"/>
  <c r="L485" i="4"/>
  <c r="N485" i="4"/>
  <c r="P485" i="4"/>
  <c r="Q485" i="4"/>
  <c r="V485" i="4"/>
  <c r="X485" i="4"/>
  <c r="Y485" i="4"/>
  <c r="Z485" i="4"/>
  <c r="AA485" i="4"/>
  <c r="AB487" i="4"/>
  <c r="AB488" i="4"/>
  <c r="AB489" i="4"/>
  <c r="AB490" i="4"/>
  <c r="AB491" i="4"/>
  <c r="AB492" i="4"/>
  <c r="AB493" i="4"/>
  <c r="AB494" i="4"/>
  <c r="AB495" i="4"/>
  <c r="AB496" i="4"/>
  <c r="AB497" i="4"/>
  <c r="AB498" i="4"/>
  <c r="B499" i="4"/>
  <c r="C499" i="4"/>
  <c r="D499" i="4"/>
  <c r="E499" i="4"/>
  <c r="F499" i="4"/>
  <c r="G499" i="4"/>
  <c r="H499" i="4"/>
  <c r="I499" i="4"/>
  <c r="J499" i="4"/>
  <c r="K499" i="4"/>
  <c r="L499" i="4"/>
  <c r="N499" i="4"/>
  <c r="P499" i="4"/>
  <c r="Q499" i="4"/>
  <c r="V499" i="4"/>
  <c r="X499" i="4"/>
  <c r="Y499" i="4"/>
  <c r="Z499" i="4"/>
  <c r="AA499" i="4"/>
  <c r="BB163" i="3" l="1"/>
  <c r="BB247" i="3"/>
  <c r="BH331" i="2"/>
  <c r="AB275" i="4"/>
  <c r="AB261" i="4"/>
  <c r="AB219" i="4"/>
  <c r="AB205" i="4"/>
  <c r="AB177" i="4"/>
  <c r="AB191" i="4"/>
  <c r="AB163" i="4"/>
  <c r="AB485" i="4"/>
  <c r="AB303" i="4"/>
  <c r="AB289" i="4"/>
  <c r="AB233" i="4"/>
  <c r="BH387" i="2"/>
  <c r="BH191" i="2"/>
  <c r="BH303" i="2"/>
  <c r="BB429" i="3"/>
  <c r="BB205" i="3"/>
  <c r="BB219" i="3"/>
  <c r="BB499" i="3"/>
  <c r="BB485" i="3"/>
  <c r="BB401" i="3"/>
  <c r="BB373" i="3"/>
  <c r="BB331" i="3"/>
  <c r="BB317" i="3"/>
  <c r="BB303" i="3"/>
  <c r="BH163" i="2"/>
  <c r="BH275" i="2"/>
  <c r="BH429" i="2"/>
  <c r="BH415" i="2"/>
  <c r="BH247" i="2"/>
  <c r="AB317" i="4"/>
  <c r="BB470" i="3"/>
  <c r="AB443" i="4"/>
  <c r="AB331" i="4"/>
  <c r="BH485" i="2"/>
  <c r="BH149" i="2"/>
  <c r="BB149" i="3"/>
  <c r="BH261" i="2"/>
  <c r="BH233" i="2"/>
  <c r="BB233" i="3"/>
  <c r="AB499" i="4"/>
  <c r="AB247" i="4"/>
  <c r="BB191" i="3"/>
  <c r="BB177" i="3"/>
  <c r="AB470" i="4"/>
  <c r="BH401" i="2"/>
  <c r="BB471" i="3"/>
  <c r="BB289" i="3"/>
  <c r="BB261" i="3"/>
  <c r="AB149" i="4"/>
  <c r="BH457" i="2"/>
  <c r="BH443" i="2"/>
  <c r="BB457" i="3"/>
  <c r="BB443" i="3"/>
  <c r="BB415" i="3"/>
  <c r="BB359" i="3"/>
  <c r="BB345" i="3"/>
  <c r="AB471" i="4"/>
  <c r="AB457" i="4"/>
  <c r="AB429" i="4"/>
  <c r="AB415" i="4"/>
  <c r="AB401" i="4"/>
  <c r="AB387" i="4"/>
  <c r="AB373" i="4"/>
  <c r="AB345" i="4"/>
  <c r="BH499" i="2"/>
  <c r="BB387" i="3"/>
  <c r="BB275" i="3"/>
  <c r="BH205" i="2"/>
  <c r="BH317" i="2"/>
  <c r="BH177" i="2"/>
  <c r="BH135" i="2"/>
  <c r="BB135" i="3"/>
  <c r="AB135" i="4"/>
  <c r="BH471" i="2"/>
  <c r="AB359" i="4"/>
  <c r="BH373" i="2"/>
  <c r="BH359" i="2"/>
  <c r="BH470" i="2"/>
  <c r="BH345" i="2"/>
  <c r="BH289" i="2"/>
  <c r="BH219" i="2"/>
</calcChain>
</file>

<file path=xl/sharedStrings.xml><?xml version="1.0" encoding="utf-8"?>
<sst xmlns="http://schemas.openxmlformats.org/spreadsheetml/2006/main" count="392" uniqueCount="185">
  <si>
    <t>DEPARTMENT OF TAXATION &amp; FINANCE</t>
  </si>
  <si>
    <t>OFFICE OF TAX POLICY ANALYSIS</t>
  </si>
  <si>
    <t>1990-PRESENT</t>
  </si>
  <si>
    <t>2002 Total</t>
  </si>
  <si>
    <t>2001 Total</t>
  </si>
  <si>
    <t>2000 Total</t>
  </si>
  <si>
    <t>1999 Total</t>
  </si>
  <si>
    <t>1998 Total</t>
  </si>
  <si>
    <t>1997 Total</t>
  </si>
  <si>
    <t>1996 Total</t>
  </si>
  <si>
    <t>1995 Total</t>
  </si>
  <si>
    <t>1994 Total</t>
  </si>
  <si>
    <t>1993 Total</t>
  </si>
  <si>
    <t>1992 Total</t>
  </si>
  <si>
    <t>1991 Total</t>
  </si>
  <si>
    <t>1990 Total</t>
  </si>
  <si>
    <t>Total</t>
  </si>
  <si>
    <t>State</t>
  </si>
  <si>
    <t>AS570</t>
  </si>
  <si>
    <t>Local</t>
  </si>
  <si>
    <t>Albany</t>
  </si>
  <si>
    <t>County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</si>
  <si>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</si>
  <si>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</si>
  <si>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</si>
  <si>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</si>
  <si>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</si>
  <si>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</si>
  <si>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</si>
  <si>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</si>
  <si>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</si>
  <si>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</si>
  <si>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</si>
  <si>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</si>
  <si>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</si>
  <si>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</si>
  <si>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</si>
  <si>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</si>
  <si>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</si>
  <si>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</si>
  <si>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</si>
  <si>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</si>
  <si>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</si>
  <si>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</si>
  <si>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</si>
  <si>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</si>
  <si>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</si>
  <si>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</si>
  <si>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</si>
  <si>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</si>
  <si>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</si>
  <si>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</si>
  <si>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</si>
  <si>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</si>
  <si>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</si>
  <si>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</si>
  <si>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</si>
  <si>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</si>
  <si>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</si>
  <si>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</si>
  <si>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</si>
  <si>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</si>
  <si>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 xml:space="preserve">Schenectady 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</si>
  <si>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</si>
  <si>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</si>
  <si>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</si>
  <si>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</si>
  <si>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</si>
  <si>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</si>
  <si>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</si>
  <si>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</si>
  <si>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</si>
  <si>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</si>
  <si>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</si>
  <si>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</si>
  <si>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</si>
  <si>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</si>
  <si>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</si>
  <si>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Greenway</t>
  </si>
  <si>
    <t>Fee</t>
  </si>
  <si>
    <t>Amsterdam</t>
  </si>
  <si>
    <t>City</t>
  </si>
  <si>
    <t>Auburn</t>
  </si>
  <si>
    <t>Batavia</t>
  </si>
  <si>
    <t>Buffalo</t>
  </si>
  <si>
    <t>Canandaigua</t>
  </si>
  <si>
    <t>Corning</t>
  </si>
  <si>
    <t>Elmira</t>
  </si>
  <si>
    <t>Geneva</t>
  </si>
  <si>
    <t>Glen Cove</t>
  </si>
  <si>
    <t>Glens Falls</t>
  </si>
  <si>
    <t>Gloversville</t>
  </si>
  <si>
    <t>Hornell</t>
  </si>
  <si>
    <t>Ithaca</t>
  </si>
  <si>
    <t>Johnstown</t>
  </si>
  <si>
    <t>Kingston</t>
  </si>
  <si>
    <t>Lockport</t>
  </si>
  <si>
    <t>Long Beach</t>
  </si>
  <si>
    <t>Mechanicville</t>
  </si>
  <si>
    <t>Mt. Vernon</t>
  </si>
  <si>
    <t>New York</t>
  </si>
  <si>
    <t>Niagara Falls</t>
  </si>
  <si>
    <t>MTA</t>
  </si>
  <si>
    <t>Newburgh</t>
  </si>
  <si>
    <t>New Rochelle</t>
  </si>
  <si>
    <t>North Tonawanda</t>
  </si>
  <si>
    <t>Norwich</t>
  </si>
  <si>
    <t>Ogdensburg</t>
  </si>
  <si>
    <t>Olean</t>
  </si>
  <si>
    <t>Oneonta</t>
  </si>
  <si>
    <t>Plattsburgh</t>
  </si>
  <si>
    <t>Port Jervis</t>
  </si>
  <si>
    <t>Poughkeepsie</t>
  </si>
  <si>
    <t>Rome</t>
  </si>
  <si>
    <t>Rye</t>
  </si>
  <si>
    <t>Salamanca</t>
  </si>
  <si>
    <t>Saratoga Springs</t>
  </si>
  <si>
    <t>Schenectady</t>
  </si>
  <si>
    <t>Sherrill</t>
  </si>
  <si>
    <t>Troy</t>
  </si>
  <si>
    <t>Utica</t>
  </si>
  <si>
    <t>White Plains</t>
  </si>
  <si>
    <t>Yonkers</t>
  </si>
  <si>
    <t>Special</t>
  </si>
  <si>
    <t>Albany CSD</t>
  </si>
  <si>
    <t>Batavia CSD</t>
  </si>
  <si>
    <t>Cohoes CSD</t>
  </si>
  <si>
    <t>Glen Cove CSD</t>
  </si>
  <si>
    <t>Gloversville CSD</t>
  </si>
  <si>
    <t>Gr Johnstown CSD</t>
  </si>
  <si>
    <t>Hornell CSD</t>
  </si>
  <si>
    <t>Hudson CSD</t>
  </si>
  <si>
    <t>Lackawanna CSD</t>
  </si>
  <si>
    <t>Long Beach CSD</t>
  </si>
  <si>
    <t>Middletown CSD</t>
  </si>
  <si>
    <t>New Rochelle CSD</t>
  </si>
  <si>
    <t>Niagara Fls. CSD</t>
  </si>
  <si>
    <t>Ogdensburg CSD</t>
  </si>
  <si>
    <t>Schenectady CSD</t>
  </si>
  <si>
    <t>Utica CSD</t>
  </si>
  <si>
    <t>Watertown CSD</t>
  </si>
  <si>
    <t>Watervliet CSD</t>
  </si>
  <si>
    <t>White Plains CSD</t>
  </si>
  <si>
    <t>2003 Total</t>
  </si>
  <si>
    <t>Troy CSD</t>
  </si>
  <si>
    <t>2004 Total</t>
  </si>
  <si>
    <t>Rensselaer CSD</t>
  </si>
  <si>
    <t>2005 Total</t>
  </si>
  <si>
    <t>Conv Ctr Dev Corp</t>
  </si>
  <si>
    <t>2006 Total</t>
  </si>
  <si>
    <t>2007 Total</t>
  </si>
  <si>
    <t>2008 Total</t>
  </si>
  <si>
    <t>ST Re-Registration</t>
  </si>
  <si>
    <t>2009 Total</t>
  </si>
  <si>
    <t>MTA Aid Trust</t>
  </si>
  <si>
    <t>Newburgh CSD</t>
  </si>
  <si>
    <t>Peekskill CSD</t>
  </si>
  <si>
    <t>2010 Total</t>
  </si>
  <si>
    <t>Mt Vernon CSD</t>
  </si>
  <si>
    <t>*</t>
  </si>
  <si>
    <t>Includes all taxes after September 08 and taxes on selected sales and services in NYC prior to September 08.</t>
  </si>
  <si>
    <t>**</t>
  </si>
  <si>
    <t>Includes general sales tax collected prior to September 08.</t>
  </si>
  <si>
    <t>MAC**</t>
  </si>
  <si>
    <t>City*</t>
  </si>
  <si>
    <t>2011 Total</t>
  </si>
  <si>
    <t>2012 Total</t>
  </si>
  <si>
    <t>2013 Total</t>
  </si>
  <si>
    <t>2014 Total</t>
  </si>
  <si>
    <t>Rye City SD</t>
  </si>
  <si>
    <t>2015 Total</t>
  </si>
  <si>
    <t>2016 Total</t>
  </si>
  <si>
    <t>2017 Total</t>
  </si>
  <si>
    <t>2018 Total</t>
  </si>
  <si>
    <t>2019 Total</t>
  </si>
  <si>
    <t>SALES TAX CASH COLLECTIONS DATABASE</t>
  </si>
  <si>
    <t xml:space="preserve">Please note:  Collection data does not always provide an accurate economic picture.  Collections data may include variances due to vendor filing, rate changes, assessments, late filings and payments/refunds from prior periods (e.g. after an audit). </t>
  </si>
  <si>
    <t>Poughkeepsie CSD</t>
  </si>
  <si>
    <t xml:space="preserve">2020 Totals </t>
  </si>
  <si>
    <t>2020 Total</t>
  </si>
  <si>
    <t>2021 Total</t>
  </si>
  <si>
    <t>2022 Total</t>
  </si>
  <si>
    <t>MTA Peer to Peer</t>
  </si>
  <si>
    <t>2023 Total</t>
  </si>
  <si>
    <t>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</si>
</sst>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6" x14ac:knownFonts="1">
    <font>
      <sz val="12"/>
      <name val="Arial"/>
    </font>
    <font>
      <sz val="12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661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/>
    </xf>
    <xf numFmtId="40" fontId="0" fillId="0" borderId="0" xfId="0" applyNumberFormat="1" applyAlignment="1">
      <alignment horizontal="left"/>
    </xf>
    <xf numFmtId="40" fontId="0" fillId="0" borderId="1" xfId="0" applyNumberFormat="1" applyBorder="1" applyAlignment="1">
      <alignment horizontal="left"/>
    </xf>
    <xf numFmtId="40" fontId="0" fillId="0" borderId="0" xfId="0" applyNumberForma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0" fillId="0" borderId="0" xfId="0" applyBorder="1" applyAlignment="1">
      <alignment horizontal="left"/>
    </xf>
    <xf numFmtId="40" fontId="0" fillId="0" borderId="0" xfId="0" applyNumberFormat="1" applyFill="1" applyAlignment="1">
      <alignment horizontal="left"/>
    </xf>
    <xf numFmtId="0" fontId="0" fillId="0" borderId="1" xfId="0" applyBorder="1" applyAlignment="1">
      <alignment horizontal="left"/>
    </xf>
  </cellXfs>
  <cellStyles count="11661">
    <cellStyle name="20% - Accent1 10" xfId="1" xr:uid="{00000000-0005-0000-0000-000000000000}"/>
    <cellStyle name="20% - Accent1 10 2" xfId="2" xr:uid="{00000000-0005-0000-0000-000001000000}"/>
    <cellStyle name="20% - Accent1 10 2 2" xfId="3" xr:uid="{00000000-0005-0000-0000-000002000000}"/>
    <cellStyle name="20% - Accent1 10 2 2 2" xfId="4" xr:uid="{00000000-0005-0000-0000-000003000000}"/>
    <cellStyle name="20% - Accent1 10 2 2 2 2" xfId="5" xr:uid="{00000000-0005-0000-0000-000004000000}"/>
    <cellStyle name="20% - Accent1 10 2 2 2 2 2" xfId="6" xr:uid="{00000000-0005-0000-0000-000005000000}"/>
    <cellStyle name="20% - Accent1 10 2 2 2 3" xfId="7" xr:uid="{00000000-0005-0000-0000-000006000000}"/>
    <cellStyle name="20% - Accent1 10 2 2 2 3 2" xfId="8" xr:uid="{00000000-0005-0000-0000-000007000000}"/>
    <cellStyle name="20% - Accent1 10 2 2 2 4" xfId="9" xr:uid="{00000000-0005-0000-0000-000008000000}"/>
    <cellStyle name="20% - Accent1 10 2 2 2 5" xfId="10" xr:uid="{00000000-0005-0000-0000-000009000000}"/>
    <cellStyle name="20% - Accent1 10 2 2 3" xfId="11" xr:uid="{00000000-0005-0000-0000-00000A000000}"/>
    <cellStyle name="20% - Accent1 10 2 2 3 2" xfId="12" xr:uid="{00000000-0005-0000-0000-00000B000000}"/>
    <cellStyle name="20% - Accent1 10 2 2 4" xfId="13" xr:uid="{00000000-0005-0000-0000-00000C000000}"/>
    <cellStyle name="20% - Accent1 10 2 2 4 2" xfId="14" xr:uid="{00000000-0005-0000-0000-00000D000000}"/>
    <cellStyle name="20% - Accent1 10 2 2 5" xfId="15" xr:uid="{00000000-0005-0000-0000-00000E000000}"/>
    <cellStyle name="20% - Accent1 10 2 2 6" xfId="16" xr:uid="{00000000-0005-0000-0000-00000F000000}"/>
    <cellStyle name="20% - Accent1 10 2 3" xfId="17" xr:uid="{00000000-0005-0000-0000-000010000000}"/>
    <cellStyle name="20% - Accent1 10 2 3 2" xfId="18" xr:uid="{00000000-0005-0000-0000-000011000000}"/>
    <cellStyle name="20% - Accent1 10 2 3 2 2" xfId="19" xr:uid="{00000000-0005-0000-0000-000012000000}"/>
    <cellStyle name="20% - Accent1 10 2 3 3" xfId="20" xr:uid="{00000000-0005-0000-0000-000013000000}"/>
    <cellStyle name="20% - Accent1 10 2 3 3 2" xfId="21" xr:uid="{00000000-0005-0000-0000-000014000000}"/>
    <cellStyle name="20% - Accent1 10 2 3 4" xfId="22" xr:uid="{00000000-0005-0000-0000-000015000000}"/>
    <cellStyle name="20% - Accent1 10 2 3 5" xfId="23" xr:uid="{00000000-0005-0000-0000-000016000000}"/>
    <cellStyle name="20% - Accent1 10 2 4" xfId="24" xr:uid="{00000000-0005-0000-0000-000017000000}"/>
    <cellStyle name="20% - Accent1 10 2 4 2" xfId="25" xr:uid="{00000000-0005-0000-0000-000018000000}"/>
    <cellStyle name="20% - Accent1 10 2 5" xfId="26" xr:uid="{00000000-0005-0000-0000-000019000000}"/>
    <cellStyle name="20% - Accent1 10 2 5 2" xfId="27" xr:uid="{00000000-0005-0000-0000-00001A000000}"/>
    <cellStyle name="20% - Accent1 10 2 6" xfId="28" xr:uid="{00000000-0005-0000-0000-00001B000000}"/>
    <cellStyle name="20% - Accent1 10 2 7" xfId="29" xr:uid="{00000000-0005-0000-0000-00001C000000}"/>
    <cellStyle name="20% - Accent1 10 3" xfId="30" xr:uid="{00000000-0005-0000-0000-00001D000000}"/>
    <cellStyle name="20% - Accent1 10 3 2" xfId="31" xr:uid="{00000000-0005-0000-0000-00001E000000}"/>
    <cellStyle name="20% - Accent1 10 3 2 2" xfId="32" xr:uid="{00000000-0005-0000-0000-00001F000000}"/>
    <cellStyle name="20% - Accent1 10 3 2 2 2" xfId="33" xr:uid="{00000000-0005-0000-0000-000020000000}"/>
    <cellStyle name="20% - Accent1 10 3 2 3" xfId="34" xr:uid="{00000000-0005-0000-0000-000021000000}"/>
    <cellStyle name="20% - Accent1 10 3 2 3 2" xfId="35" xr:uid="{00000000-0005-0000-0000-000022000000}"/>
    <cellStyle name="20% - Accent1 10 3 2 4" xfId="36" xr:uid="{00000000-0005-0000-0000-000023000000}"/>
    <cellStyle name="20% - Accent1 10 3 2 5" xfId="37" xr:uid="{00000000-0005-0000-0000-000024000000}"/>
    <cellStyle name="20% - Accent1 10 3 3" xfId="38" xr:uid="{00000000-0005-0000-0000-000025000000}"/>
    <cellStyle name="20% - Accent1 10 3 3 2" xfId="39" xr:uid="{00000000-0005-0000-0000-000026000000}"/>
    <cellStyle name="20% - Accent1 10 3 4" xfId="40" xr:uid="{00000000-0005-0000-0000-000027000000}"/>
    <cellStyle name="20% - Accent1 10 3 4 2" xfId="41" xr:uid="{00000000-0005-0000-0000-000028000000}"/>
    <cellStyle name="20% - Accent1 10 3 5" xfId="42" xr:uid="{00000000-0005-0000-0000-000029000000}"/>
    <cellStyle name="20% - Accent1 10 3 6" xfId="43" xr:uid="{00000000-0005-0000-0000-00002A000000}"/>
    <cellStyle name="20% - Accent1 10 4" xfId="44" xr:uid="{00000000-0005-0000-0000-00002B000000}"/>
    <cellStyle name="20% - Accent1 10 4 2" xfId="45" xr:uid="{00000000-0005-0000-0000-00002C000000}"/>
    <cellStyle name="20% - Accent1 10 4 2 2" xfId="46" xr:uid="{00000000-0005-0000-0000-00002D000000}"/>
    <cellStyle name="20% - Accent1 10 4 3" xfId="47" xr:uid="{00000000-0005-0000-0000-00002E000000}"/>
    <cellStyle name="20% - Accent1 10 4 3 2" xfId="48" xr:uid="{00000000-0005-0000-0000-00002F000000}"/>
    <cellStyle name="20% - Accent1 10 4 4" xfId="49" xr:uid="{00000000-0005-0000-0000-000030000000}"/>
    <cellStyle name="20% - Accent1 10 4 5" xfId="50" xr:uid="{00000000-0005-0000-0000-000031000000}"/>
    <cellStyle name="20% - Accent1 10 5" xfId="51" xr:uid="{00000000-0005-0000-0000-000032000000}"/>
    <cellStyle name="20% - Accent1 10 5 2" xfId="52" xr:uid="{00000000-0005-0000-0000-000033000000}"/>
    <cellStyle name="20% - Accent1 10 6" xfId="53" xr:uid="{00000000-0005-0000-0000-000034000000}"/>
    <cellStyle name="20% - Accent1 10 6 2" xfId="54" xr:uid="{00000000-0005-0000-0000-000035000000}"/>
    <cellStyle name="20% - Accent1 10 7" xfId="55" xr:uid="{00000000-0005-0000-0000-000036000000}"/>
    <cellStyle name="20% - Accent1 10 8" xfId="56" xr:uid="{00000000-0005-0000-0000-000037000000}"/>
    <cellStyle name="20% - Accent1 11" xfId="57" xr:uid="{00000000-0005-0000-0000-000038000000}"/>
    <cellStyle name="20% - Accent1 11 2" xfId="58" xr:uid="{00000000-0005-0000-0000-000039000000}"/>
    <cellStyle name="20% - Accent1 11 2 2" xfId="59" xr:uid="{00000000-0005-0000-0000-00003A000000}"/>
    <cellStyle name="20% - Accent1 11 2 2 2" xfId="60" xr:uid="{00000000-0005-0000-0000-00003B000000}"/>
    <cellStyle name="20% - Accent1 11 2 2 2 2" xfId="61" xr:uid="{00000000-0005-0000-0000-00003C000000}"/>
    <cellStyle name="20% - Accent1 11 2 2 3" xfId="62" xr:uid="{00000000-0005-0000-0000-00003D000000}"/>
    <cellStyle name="20% - Accent1 11 2 2 3 2" xfId="63" xr:uid="{00000000-0005-0000-0000-00003E000000}"/>
    <cellStyle name="20% - Accent1 11 2 2 4" xfId="64" xr:uid="{00000000-0005-0000-0000-00003F000000}"/>
    <cellStyle name="20% - Accent1 11 2 2 5" xfId="65" xr:uid="{00000000-0005-0000-0000-000040000000}"/>
    <cellStyle name="20% - Accent1 11 2 3" xfId="66" xr:uid="{00000000-0005-0000-0000-000041000000}"/>
    <cellStyle name="20% - Accent1 11 2 3 2" xfId="67" xr:uid="{00000000-0005-0000-0000-000042000000}"/>
    <cellStyle name="20% - Accent1 11 2 4" xfId="68" xr:uid="{00000000-0005-0000-0000-000043000000}"/>
    <cellStyle name="20% - Accent1 11 2 4 2" xfId="69" xr:uid="{00000000-0005-0000-0000-000044000000}"/>
    <cellStyle name="20% - Accent1 11 2 5" xfId="70" xr:uid="{00000000-0005-0000-0000-000045000000}"/>
    <cellStyle name="20% - Accent1 11 2 6" xfId="71" xr:uid="{00000000-0005-0000-0000-000046000000}"/>
    <cellStyle name="20% - Accent1 11 3" xfId="72" xr:uid="{00000000-0005-0000-0000-000047000000}"/>
    <cellStyle name="20% - Accent1 11 3 2" xfId="73" xr:uid="{00000000-0005-0000-0000-000048000000}"/>
    <cellStyle name="20% - Accent1 11 3 2 2" xfId="74" xr:uid="{00000000-0005-0000-0000-000049000000}"/>
    <cellStyle name="20% - Accent1 11 3 3" xfId="75" xr:uid="{00000000-0005-0000-0000-00004A000000}"/>
    <cellStyle name="20% - Accent1 11 3 3 2" xfId="76" xr:uid="{00000000-0005-0000-0000-00004B000000}"/>
    <cellStyle name="20% - Accent1 11 3 4" xfId="77" xr:uid="{00000000-0005-0000-0000-00004C000000}"/>
    <cellStyle name="20% - Accent1 11 3 5" xfId="78" xr:uid="{00000000-0005-0000-0000-00004D000000}"/>
    <cellStyle name="20% - Accent1 11 4" xfId="79" xr:uid="{00000000-0005-0000-0000-00004E000000}"/>
    <cellStyle name="20% - Accent1 11 4 2" xfId="80" xr:uid="{00000000-0005-0000-0000-00004F000000}"/>
    <cellStyle name="20% - Accent1 11 5" xfId="81" xr:uid="{00000000-0005-0000-0000-000050000000}"/>
    <cellStyle name="20% - Accent1 11 5 2" xfId="82" xr:uid="{00000000-0005-0000-0000-000051000000}"/>
    <cellStyle name="20% - Accent1 11 6" xfId="83" xr:uid="{00000000-0005-0000-0000-000052000000}"/>
    <cellStyle name="20% - Accent1 11 7" xfId="84" xr:uid="{00000000-0005-0000-0000-000053000000}"/>
    <cellStyle name="20% - Accent1 12" xfId="85" xr:uid="{00000000-0005-0000-0000-000054000000}"/>
    <cellStyle name="20% - Accent1 12 2" xfId="86" xr:uid="{00000000-0005-0000-0000-000055000000}"/>
    <cellStyle name="20% - Accent1 12 2 2" xfId="87" xr:uid="{00000000-0005-0000-0000-000056000000}"/>
    <cellStyle name="20% - Accent1 12 2 2 2" xfId="88" xr:uid="{00000000-0005-0000-0000-000057000000}"/>
    <cellStyle name="20% - Accent1 12 2 3" xfId="89" xr:uid="{00000000-0005-0000-0000-000058000000}"/>
    <cellStyle name="20% - Accent1 12 2 3 2" xfId="90" xr:uid="{00000000-0005-0000-0000-000059000000}"/>
    <cellStyle name="20% - Accent1 12 2 4" xfId="91" xr:uid="{00000000-0005-0000-0000-00005A000000}"/>
    <cellStyle name="20% - Accent1 12 2 5" xfId="92" xr:uid="{00000000-0005-0000-0000-00005B000000}"/>
    <cellStyle name="20% - Accent1 12 3" xfId="93" xr:uid="{00000000-0005-0000-0000-00005C000000}"/>
    <cellStyle name="20% - Accent1 12 3 2" xfId="94" xr:uid="{00000000-0005-0000-0000-00005D000000}"/>
    <cellStyle name="20% - Accent1 12 4" xfId="95" xr:uid="{00000000-0005-0000-0000-00005E000000}"/>
    <cellStyle name="20% - Accent1 12 4 2" xfId="96" xr:uid="{00000000-0005-0000-0000-00005F000000}"/>
    <cellStyle name="20% - Accent1 12 5" xfId="97" xr:uid="{00000000-0005-0000-0000-000060000000}"/>
    <cellStyle name="20% - Accent1 12 6" xfId="98" xr:uid="{00000000-0005-0000-0000-000061000000}"/>
    <cellStyle name="20% - Accent1 13" xfId="99" xr:uid="{00000000-0005-0000-0000-000062000000}"/>
    <cellStyle name="20% - Accent1 13 2" xfId="100" xr:uid="{00000000-0005-0000-0000-000063000000}"/>
    <cellStyle name="20% - Accent1 13 2 2" xfId="101" xr:uid="{00000000-0005-0000-0000-000064000000}"/>
    <cellStyle name="20% - Accent1 13 2 2 2" xfId="102" xr:uid="{00000000-0005-0000-0000-000065000000}"/>
    <cellStyle name="20% - Accent1 13 2 3" xfId="103" xr:uid="{00000000-0005-0000-0000-000066000000}"/>
    <cellStyle name="20% - Accent1 13 2 3 2" xfId="104" xr:uid="{00000000-0005-0000-0000-000067000000}"/>
    <cellStyle name="20% - Accent1 13 2 4" xfId="105" xr:uid="{00000000-0005-0000-0000-000068000000}"/>
    <cellStyle name="20% - Accent1 13 2 5" xfId="106" xr:uid="{00000000-0005-0000-0000-000069000000}"/>
    <cellStyle name="20% - Accent1 13 3" xfId="107" xr:uid="{00000000-0005-0000-0000-00006A000000}"/>
    <cellStyle name="20% - Accent1 13 3 2" xfId="108" xr:uid="{00000000-0005-0000-0000-00006B000000}"/>
    <cellStyle name="20% - Accent1 13 4" xfId="109" xr:uid="{00000000-0005-0000-0000-00006C000000}"/>
    <cellStyle name="20% - Accent1 13 4 2" xfId="110" xr:uid="{00000000-0005-0000-0000-00006D000000}"/>
    <cellStyle name="20% - Accent1 13 5" xfId="111" xr:uid="{00000000-0005-0000-0000-00006E000000}"/>
    <cellStyle name="20% - Accent1 13 6" xfId="112" xr:uid="{00000000-0005-0000-0000-00006F000000}"/>
    <cellStyle name="20% - Accent1 14" xfId="113" xr:uid="{00000000-0005-0000-0000-000070000000}"/>
    <cellStyle name="20% - Accent1 14 2" xfId="114" xr:uid="{00000000-0005-0000-0000-000071000000}"/>
    <cellStyle name="20% - Accent1 14 2 2" xfId="115" xr:uid="{00000000-0005-0000-0000-000072000000}"/>
    <cellStyle name="20% - Accent1 14 2 2 2" xfId="116" xr:uid="{00000000-0005-0000-0000-000073000000}"/>
    <cellStyle name="20% - Accent1 14 2 3" xfId="117" xr:uid="{00000000-0005-0000-0000-000074000000}"/>
    <cellStyle name="20% - Accent1 14 2 3 2" xfId="118" xr:uid="{00000000-0005-0000-0000-000075000000}"/>
    <cellStyle name="20% - Accent1 14 2 4" xfId="119" xr:uid="{00000000-0005-0000-0000-000076000000}"/>
    <cellStyle name="20% - Accent1 14 2 5" xfId="120" xr:uid="{00000000-0005-0000-0000-000077000000}"/>
    <cellStyle name="20% - Accent1 14 3" xfId="121" xr:uid="{00000000-0005-0000-0000-000078000000}"/>
    <cellStyle name="20% - Accent1 14 3 2" xfId="122" xr:uid="{00000000-0005-0000-0000-000079000000}"/>
    <cellStyle name="20% - Accent1 14 4" xfId="123" xr:uid="{00000000-0005-0000-0000-00007A000000}"/>
    <cellStyle name="20% - Accent1 14 4 2" xfId="124" xr:uid="{00000000-0005-0000-0000-00007B000000}"/>
    <cellStyle name="20% - Accent1 14 5" xfId="125" xr:uid="{00000000-0005-0000-0000-00007C000000}"/>
    <cellStyle name="20% - Accent1 14 6" xfId="126" xr:uid="{00000000-0005-0000-0000-00007D000000}"/>
    <cellStyle name="20% - Accent1 15" xfId="127" xr:uid="{00000000-0005-0000-0000-00007E000000}"/>
    <cellStyle name="20% - Accent1 15 2" xfId="128" xr:uid="{00000000-0005-0000-0000-00007F000000}"/>
    <cellStyle name="20% - Accent1 15 2 2" xfId="129" xr:uid="{00000000-0005-0000-0000-000080000000}"/>
    <cellStyle name="20% - Accent1 15 2 2 2" xfId="130" xr:uid="{00000000-0005-0000-0000-000081000000}"/>
    <cellStyle name="20% - Accent1 15 2 3" xfId="131" xr:uid="{00000000-0005-0000-0000-000082000000}"/>
    <cellStyle name="20% - Accent1 15 2 3 2" xfId="132" xr:uid="{00000000-0005-0000-0000-000083000000}"/>
    <cellStyle name="20% - Accent1 15 2 4" xfId="133" xr:uid="{00000000-0005-0000-0000-000084000000}"/>
    <cellStyle name="20% - Accent1 15 2 5" xfId="134" xr:uid="{00000000-0005-0000-0000-000085000000}"/>
    <cellStyle name="20% - Accent1 15 3" xfId="135" xr:uid="{00000000-0005-0000-0000-000086000000}"/>
    <cellStyle name="20% - Accent1 15 3 2" xfId="136" xr:uid="{00000000-0005-0000-0000-000087000000}"/>
    <cellStyle name="20% - Accent1 15 4" xfId="137" xr:uid="{00000000-0005-0000-0000-000088000000}"/>
    <cellStyle name="20% - Accent1 15 4 2" xfId="138" xr:uid="{00000000-0005-0000-0000-000089000000}"/>
    <cellStyle name="20% - Accent1 15 5" xfId="139" xr:uid="{00000000-0005-0000-0000-00008A000000}"/>
    <cellStyle name="20% - Accent1 15 6" xfId="140" xr:uid="{00000000-0005-0000-0000-00008B000000}"/>
    <cellStyle name="20% - Accent1 16" xfId="141" xr:uid="{00000000-0005-0000-0000-00008C000000}"/>
    <cellStyle name="20% - Accent1 16 2" xfId="142" xr:uid="{00000000-0005-0000-0000-00008D000000}"/>
    <cellStyle name="20% - Accent1 16 2 2" xfId="143" xr:uid="{00000000-0005-0000-0000-00008E000000}"/>
    <cellStyle name="20% - Accent1 16 2 3" xfId="144" xr:uid="{00000000-0005-0000-0000-00008F000000}"/>
    <cellStyle name="20% - Accent1 16 3" xfId="145" xr:uid="{00000000-0005-0000-0000-000090000000}"/>
    <cellStyle name="20% - Accent1 16 4" xfId="146" xr:uid="{00000000-0005-0000-0000-000091000000}"/>
    <cellStyle name="20% - Accent1 17" xfId="147" xr:uid="{00000000-0005-0000-0000-000092000000}"/>
    <cellStyle name="20% - Accent1 17 2" xfId="148" xr:uid="{00000000-0005-0000-0000-000093000000}"/>
    <cellStyle name="20% - Accent1 17 2 2" xfId="149" xr:uid="{00000000-0005-0000-0000-000094000000}"/>
    <cellStyle name="20% - Accent1 17 2 3" xfId="150" xr:uid="{00000000-0005-0000-0000-000095000000}"/>
    <cellStyle name="20% - Accent1 17 3" xfId="151" xr:uid="{00000000-0005-0000-0000-000096000000}"/>
    <cellStyle name="20% - Accent1 17 4" xfId="152" xr:uid="{00000000-0005-0000-0000-000097000000}"/>
    <cellStyle name="20% - Accent1 18" xfId="153" xr:uid="{00000000-0005-0000-0000-000098000000}"/>
    <cellStyle name="20% - Accent1 18 2" xfId="154" xr:uid="{00000000-0005-0000-0000-000099000000}"/>
    <cellStyle name="20% - Accent1 18 2 2" xfId="155" xr:uid="{00000000-0005-0000-0000-00009A000000}"/>
    <cellStyle name="20% - Accent1 18 2 3" xfId="156" xr:uid="{00000000-0005-0000-0000-00009B000000}"/>
    <cellStyle name="20% - Accent1 18 3" xfId="157" xr:uid="{00000000-0005-0000-0000-00009C000000}"/>
    <cellStyle name="20% - Accent1 18 4" xfId="158" xr:uid="{00000000-0005-0000-0000-00009D000000}"/>
    <cellStyle name="20% - Accent1 19" xfId="159" xr:uid="{00000000-0005-0000-0000-00009E000000}"/>
    <cellStyle name="20% - Accent1 19 2" xfId="160" xr:uid="{00000000-0005-0000-0000-00009F000000}"/>
    <cellStyle name="20% - Accent1 19 2 2" xfId="161" xr:uid="{00000000-0005-0000-0000-0000A0000000}"/>
    <cellStyle name="20% - Accent1 19 2 3" xfId="162" xr:uid="{00000000-0005-0000-0000-0000A1000000}"/>
    <cellStyle name="20% - Accent1 19 3" xfId="163" xr:uid="{00000000-0005-0000-0000-0000A2000000}"/>
    <cellStyle name="20% - Accent1 19 4" xfId="164" xr:uid="{00000000-0005-0000-0000-0000A3000000}"/>
    <cellStyle name="20% - Accent1 2" xfId="165" xr:uid="{00000000-0005-0000-0000-0000A4000000}"/>
    <cellStyle name="20% - Accent1 2 2" xfId="166" xr:uid="{00000000-0005-0000-0000-0000A5000000}"/>
    <cellStyle name="20% - Accent1 2 2 2" xfId="167" xr:uid="{00000000-0005-0000-0000-0000A6000000}"/>
    <cellStyle name="20% - Accent1 2 2 3" xfId="168" xr:uid="{00000000-0005-0000-0000-0000A7000000}"/>
    <cellStyle name="20% - Accent1 2 2 4" xfId="169" xr:uid="{00000000-0005-0000-0000-0000A8000000}"/>
    <cellStyle name="20% - Accent1 2 2 5" xfId="170" xr:uid="{00000000-0005-0000-0000-0000A9000000}"/>
    <cellStyle name="20% - Accent1 2 3" xfId="171" xr:uid="{00000000-0005-0000-0000-0000AA000000}"/>
    <cellStyle name="20% - Accent1 2 3 2" xfId="172" xr:uid="{00000000-0005-0000-0000-0000AB000000}"/>
    <cellStyle name="20% - Accent1 2 4" xfId="173" xr:uid="{00000000-0005-0000-0000-0000AC000000}"/>
    <cellStyle name="20% - Accent1 2 4 2" xfId="174" xr:uid="{00000000-0005-0000-0000-0000AD000000}"/>
    <cellStyle name="20% - Accent1 2 4 2 2" xfId="175" xr:uid="{00000000-0005-0000-0000-0000AE000000}"/>
    <cellStyle name="20% - Accent1 2 4 3" xfId="176" xr:uid="{00000000-0005-0000-0000-0000AF000000}"/>
    <cellStyle name="20% - Accent1 2 4 4" xfId="177" xr:uid="{00000000-0005-0000-0000-0000B0000000}"/>
    <cellStyle name="20% - Accent1 2 5" xfId="178" xr:uid="{00000000-0005-0000-0000-0000B1000000}"/>
    <cellStyle name="20% - Accent1 2 5 2" xfId="179" xr:uid="{00000000-0005-0000-0000-0000B2000000}"/>
    <cellStyle name="20% - Accent1 2 5 3" xfId="180" xr:uid="{00000000-0005-0000-0000-0000B3000000}"/>
    <cellStyle name="20% - Accent1 2 6" xfId="181" xr:uid="{00000000-0005-0000-0000-0000B4000000}"/>
    <cellStyle name="20% - Accent1 2 7" xfId="182" xr:uid="{00000000-0005-0000-0000-0000B5000000}"/>
    <cellStyle name="20% - Accent1 20" xfId="183" xr:uid="{00000000-0005-0000-0000-0000B6000000}"/>
    <cellStyle name="20% - Accent1 20 2" xfId="184" xr:uid="{00000000-0005-0000-0000-0000B7000000}"/>
    <cellStyle name="20% - Accent1 20 3" xfId="185" xr:uid="{00000000-0005-0000-0000-0000B8000000}"/>
    <cellStyle name="20% - Accent1 21" xfId="186" xr:uid="{00000000-0005-0000-0000-0000B9000000}"/>
    <cellStyle name="20% - Accent1 21 2" xfId="187" xr:uid="{00000000-0005-0000-0000-0000BA000000}"/>
    <cellStyle name="20% - Accent1 22" xfId="188" xr:uid="{00000000-0005-0000-0000-0000BB000000}"/>
    <cellStyle name="20% - Accent1 23" xfId="189" xr:uid="{00000000-0005-0000-0000-0000BC000000}"/>
    <cellStyle name="20% - Accent1 24" xfId="190" xr:uid="{00000000-0005-0000-0000-0000BD000000}"/>
    <cellStyle name="20% - Accent1 3" xfId="191" xr:uid="{00000000-0005-0000-0000-0000BE000000}"/>
    <cellStyle name="20% - Accent1 3 10" xfId="192" xr:uid="{00000000-0005-0000-0000-0000BF000000}"/>
    <cellStyle name="20% - Accent1 3 11" xfId="193" xr:uid="{00000000-0005-0000-0000-0000C0000000}"/>
    <cellStyle name="20% - Accent1 3 2" xfId="194" xr:uid="{00000000-0005-0000-0000-0000C1000000}"/>
    <cellStyle name="20% - Accent1 3 2 2" xfId="195" xr:uid="{00000000-0005-0000-0000-0000C2000000}"/>
    <cellStyle name="20% - Accent1 3 2 2 2" xfId="196" xr:uid="{00000000-0005-0000-0000-0000C3000000}"/>
    <cellStyle name="20% - Accent1 3 2 2 2 2" xfId="197" xr:uid="{00000000-0005-0000-0000-0000C4000000}"/>
    <cellStyle name="20% - Accent1 3 2 2 2 2 2" xfId="198" xr:uid="{00000000-0005-0000-0000-0000C5000000}"/>
    <cellStyle name="20% - Accent1 3 2 2 2 2 2 2" xfId="199" xr:uid="{00000000-0005-0000-0000-0000C6000000}"/>
    <cellStyle name="20% - Accent1 3 2 2 2 2 3" xfId="200" xr:uid="{00000000-0005-0000-0000-0000C7000000}"/>
    <cellStyle name="20% - Accent1 3 2 2 2 2 3 2" xfId="201" xr:uid="{00000000-0005-0000-0000-0000C8000000}"/>
    <cellStyle name="20% - Accent1 3 2 2 2 2 4" xfId="202" xr:uid="{00000000-0005-0000-0000-0000C9000000}"/>
    <cellStyle name="20% - Accent1 3 2 2 2 2 5" xfId="203" xr:uid="{00000000-0005-0000-0000-0000CA000000}"/>
    <cellStyle name="20% - Accent1 3 2 2 2 3" xfId="204" xr:uid="{00000000-0005-0000-0000-0000CB000000}"/>
    <cellStyle name="20% - Accent1 3 2 2 2 3 2" xfId="205" xr:uid="{00000000-0005-0000-0000-0000CC000000}"/>
    <cellStyle name="20% - Accent1 3 2 2 2 4" xfId="206" xr:uid="{00000000-0005-0000-0000-0000CD000000}"/>
    <cellStyle name="20% - Accent1 3 2 2 2 4 2" xfId="207" xr:uid="{00000000-0005-0000-0000-0000CE000000}"/>
    <cellStyle name="20% - Accent1 3 2 2 2 5" xfId="208" xr:uid="{00000000-0005-0000-0000-0000CF000000}"/>
    <cellStyle name="20% - Accent1 3 2 2 2 6" xfId="209" xr:uid="{00000000-0005-0000-0000-0000D0000000}"/>
    <cellStyle name="20% - Accent1 3 2 2 3" xfId="210" xr:uid="{00000000-0005-0000-0000-0000D1000000}"/>
    <cellStyle name="20% - Accent1 3 2 2 3 2" xfId="211" xr:uid="{00000000-0005-0000-0000-0000D2000000}"/>
    <cellStyle name="20% - Accent1 3 2 2 3 2 2" xfId="212" xr:uid="{00000000-0005-0000-0000-0000D3000000}"/>
    <cellStyle name="20% - Accent1 3 2 2 3 3" xfId="213" xr:uid="{00000000-0005-0000-0000-0000D4000000}"/>
    <cellStyle name="20% - Accent1 3 2 2 3 3 2" xfId="214" xr:uid="{00000000-0005-0000-0000-0000D5000000}"/>
    <cellStyle name="20% - Accent1 3 2 2 3 4" xfId="215" xr:uid="{00000000-0005-0000-0000-0000D6000000}"/>
    <cellStyle name="20% - Accent1 3 2 2 3 5" xfId="216" xr:uid="{00000000-0005-0000-0000-0000D7000000}"/>
    <cellStyle name="20% - Accent1 3 2 2 4" xfId="217" xr:uid="{00000000-0005-0000-0000-0000D8000000}"/>
    <cellStyle name="20% - Accent1 3 2 2 4 2" xfId="218" xr:uid="{00000000-0005-0000-0000-0000D9000000}"/>
    <cellStyle name="20% - Accent1 3 2 2 5" xfId="219" xr:uid="{00000000-0005-0000-0000-0000DA000000}"/>
    <cellStyle name="20% - Accent1 3 2 2 5 2" xfId="220" xr:uid="{00000000-0005-0000-0000-0000DB000000}"/>
    <cellStyle name="20% - Accent1 3 2 2 6" xfId="221" xr:uid="{00000000-0005-0000-0000-0000DC000000}"/>
    <cellStyle name="20% - Accent1 3 2 2 7" xfId="222" xr:uid="{00000000-0005-0000-0000-0000DD000000}"/>
    <cellStyle name="20% - Accent1 3 2 2 8" xfId="223" xr:uid="{00000000-0005-0000-0000-0000DE000000}"/>
    <cellStyle name="20% - Accent1 3 2 3" xfId="224" xr:uid="{00000000-0005-0000-0000-0000DF000000}"/>
    <cellStyle name="20% - Accent1 3 2 3 2" xfId="225" xr:uid="{00000000-0005-0000-0000-0000E0000000}"/>
    <cellStyle name="20% - Accent1 3 2 3 2 2" xfId="226" xr:uid="{00000000-0005-0000-0000-0000E1000000}"/>
    <cellStyle name="20% - Accent1 3 2 3 2 2 2" xfId="227" xr:uid="{00000000-0005-0000-0000-0000E2000000}"/>
    <cellStyle name="20% - Accent1 3 2 3 2 3" xfId="228" xr:uid="{00000000-0005-0000-0000-0000E3000000}"/>
    <cellStyle name="20% - Accent1 3 2 3 2 3 2" xfId="229" xr:uid="{00000000-0005-0000-0000-0000E4000000}"/>
    <cellStyle name="20% - Accent1 3 2 3 2 4" xfId="230" xr:uid="{00000000-0005-0000-0000-0000E5000000}"/>
    <cellStyle name="20% - Accent1 3 2 3 2 5" xfId="231" xr:uid="{00000000-0005-0000-0000-0000E6000000}"/>
    <cellStyle name="20% - Accent1 3 2 3 3" xfId="232" xr:uid="{00000000-0005-0000-0000-0000E7000000}"/>
    <cellStyle name="20% - Accent1 3 2 3 3 2" xfId="233" xr:uid="{00000000-0005-0000-0000-0000E8000000}"/>
    <cellStyle name="20% - Accent1 3 2 3 4" xfId="234" xr:uid="{00000000-0005-0000-0000-0000E9000000}"/>
    <cellStyle name="20% - Accent1 3 2 3 4 2" xfId="235" xr:uid="{00000000-0005-0000-0000-0000EA000000}"/>
    <cellStyle name="20% - Accent1 3 2 3 5" xfId="236" xr:uid="{00000000-0005-0000-0000-0000EB000000}"/>
    <cellStyle name="20% - Accent1 3 2 3 6" xfId="237" xr:uid="{00000000-0005-0000-0000-0000EC000000}"/>
    <cellStyle name="20% - Accent1 3 2 3 7" xfId="238" xr:uid="{00000000-0005-0000-0000-0000ED000000}"/>
    <cellStyle name="20% - Accent1 3 2 4" xfId="239" xr:uid="{00000000-0005-0000-0000-0000EE000000}"/>
    <cellStyle name="20% - Accent1 3 2 4 2" xfId="240" xr:uid="{00000000-0005-0000-0000-0000EF000000}"/>
    <cellStyle name="20% - Accent1 3 2 4 2 2" xfId="241" xr:uid="{00000000-0005-0000-0000-0000F0000000}"/>
    <cellStyle name="20% - Accent1 3 2 4 3" xfId="242" xr:uid="{00000000-0005-0000-0000-0000F1000000}"/>
    <cellStyle name="20% - Accent1 3 2 4 3 2" xfId="243" xr:uid="{00000000-0005-0000-0000-0000F2000000}"/>
    <cellStyle name="20% - Accent1 3 2 4 4" xfId="244" xr:uid="{00000000-0005-0000-0000-0000F3000000}"/>
    <cellStyle name="20% - Accent1 3 2 4 5" xfId="245" xr:uid="{00000000-0005-0000-0000-0000F4000000}"/>
    <cellStyle name="20% - Accent1 3 2 4 6" xfId="246" xr:uid="{00000000-0005-0000-0000-0000F5000000}"/>
    <cellStyle name="20% - Accent1 3 2 5" xfId="247" xr:uid="{00000000-0005-0000-0000-0000F6000000}"/>
    <cellStyle name="20% - Accent1 3 2 5 2" xfId="248" xr:uid="{00000000-0005-0000-0000-0000F7000000}"/>
    <cellStyle name="20% - Accent1 3 2 6" xfId="249" xr:uid="{00000000-0005-0000-0000-0000F8000000}"/>
    <cellStyle name="20% - Accent1 3 2 6 2" xfId="250" xr:uid="{00000000-0005-0000-0000-0000F9000000}"/>
    <cellStyle name="20% - Accent1 3 2 7" xfId="251" xr:uid="{00000000-0005-0000-0000-0000FA000000}"/>
    <cellStyle name="20% - Accent1 3 2 8" xfId="252" xr:uid="{00000000-0005-0000-0000-0000FB000000}"/>
    <cellStyle name="20% - Accent1 3 2 9" xfId="253" xr:uid="{00000000-0005-0000-0000-0000FC000000}"/>
    <cellStyle name="20% - Accent1 3 3" xfId="254" xr:uid="{00000000-0005-0000-0000-0000FD000000}"/>
    <cellStyle name="20% - Accent1 3 3 2" xfId="255" xr:uid="{00000000-0005-0000-0000-0000FE000000}"/>
    <cellStyle name="20% - Accent1 3 3 2 2" xfId="256" xr:uid="{00000000-0005-0000-0000-0000FF000000}"/>
    <cellStyle name="20% - Accent1 3 3 2 2 2" xfId="257" xr:uid="{00000000-0005-0000-0000-000000010000}"/>
    <cellStyle name="20% - Accent1 3 3 2 2 2 2" xfId="258" xr:uid="{00000000-0005-0000-0000-000001010000}"/>
    <cellStyle name="20% - Accent1 3 3 2 2 3" xfId="259" xr:uid="{00000000-0005-0000-0000-000002010000}"/>
    <cellStyle name="20% - Accent1 3 3 2 2 3 2" xfId="260" xr:uid="{00000000-0005-0000-0000-000003010000}"/>
    <cellStyle name="20% - Accent1 3 3 2 2 4" xfId="261" xr:uid="{00000000-0005-0000-0000-000004010000}"/>
    <cellStyle name="20% - Accent1 3 3 2 2 5" xfId="262" xr:uid="{00000000-0005-0000-0000-000005010000}"/>
    <cellStyle name="20% - Accent1 3 3 2 3" xfId="263" xr:uid="{00000000-0005-0000-0000-000006010000}"/>
    <cellStyle name="20% - Accent1 3 3 2 3 2" xfId="264" xr:uid="{00000000-0005-0000-0000-000007010000}"/>
    <cellStyle name="20% - Accent1 3 3 2 4" xfId="265" xr:uid="{00000000-0005-0000-0000-000008010000}"/>
    <cellStyle name="20% - Accent1 3 3 2 4 2" xfId="266" xr:uid="{00000000-0005-0000-0000-000009010000}"/>
    <cellStyle name="20% - Accent1 3 3 2 5" xfId="267" xr:uid="{00000000-0005-0000-0000-00000A010000}"/>
    <cellStyle name="20% - Accent1 3 3 2 6" xfId="268" xr:uid="{00000000-0005-0000-0000-00000B010000}"/>
    <cellStyle name="20% - Accent1 3 3 3" xfId="269" xr:uid="{00000000-0005-0000-0000-00000C010000}"/>
    <cellStyle name="20% - Accent1 3 3 3 2" xfId="270" xr:uid="{00000000-0005-0000-0000-00000D010000}"/>
    <cellStyle name="20% - Accent1 3 3 3 2 2" xfId="271" xr:uid="{00000000-0005-0000-0000-00000E010000}"/>
    <cellStyle name="20% - Accent1 3 3 3 3" xfId="272" xr:uid="{00000000-0005-0000-0000-00000F010000}"/>
    <cellStyle name="20% - Accent1 3 3 3 3 2" xfId="273" xr:uid="{00000000-0005-0000-0000-000010010000}"/>
    <cellStyle name="20% - Accent1 3 3 3 4" xfId="274" xr:uid="{00000000-0005-0000-0000-000011010000}"/>
    <cellStyle name="20% - Accent1 3 3 3 5" xfId="275" xr:uid="{00000000-0005-0000-0000-000012010000}"/>
    <cellStyle name="20% - Accent1 3 3 4" xfId="276" xr:uid="{00000000-0005-0000-0000-000013010000}"/>
    <cellStyle name="20% - Accent1 3 3 4 2" xfId="277" xr:uid="{00000000-0005-0000-0000-000014010000}"/>
    <cellStyle name="20% - Accent1 3 3 5" xfId="278" xr:uid="{00000000-0005-0000-0000-000015010000}"/>
    <cellStyle name="20% - Accent1 3 3 5 2" xfId="279" xr:uid="{00000000-0005-0000-0000-000016010000}"/>
    <cellStyle name="20% - Accent1 3 3 6" xfId="280" xr:uid="{00000000-0005-0000-0000-000017010000}"/>
    <cellStyle name="20% - Accent1 3 3 7" xfId="281" xr:uid="{00000000-0005-0000-0000-000018010000}"/>
    <cellStyle name="20% - Accent1 3 3 8" xfId="282" xr:uid="{00000000-0005-0000-0000-000019010000}"/>
    <cellStyle name="20% - Accent1 3 4" xfId="283" xr:uid="{00000000-0005-0000-0000-00001A010000}"/>
    <cellStyle name="20% - Accent1 3 4 2" xfId="284" xr:uid="{00000000-0005-0000-0000-00001B010000}"/>
    <cellStyle name="20% - Accent1 3 4 2 2" xfId="285" xr:uid="{00000000-0005-0000-0000-00001C010000}"/>
    <cellStyle name="20% - Accent1 3 4 2 2 2" xfId="286" xr:uid="{00000000-0005-0000-0000-00001D010000}"/>
    <cellStyle name="20% - Accent1 3 4 2 3" xfId="287" xr:uid="{00000000-0005-0000-0000-00001E010000}"/>
    <cellStyle name="20% - Accent1 3 4 2 3 2" xfId="288" xr:uid="{00000000-0005-0000-0000-00001F010000}"/>
    <cellStyle name="20% - Accent1 3 4 2 4" xfId="289" xr:uid="{00000000-0005-0000-0000-000020010000}"/>
    <cellStyle name="20% - Accent1 3 4 2 5" xfId="290" xr:uid="{00000000-0005-0000-0000-000021010000}"/>
    <cellStyle name="20% - Accent1 3 4 3" xfId="291" xr:uid="{00000000-0005-0000-0000-000022010000}"/>
    <cellStyle name="20% - Accent1 3 4 3 2" xfId="292" xr:uid="{00000000-0005-0000-0000-000023010000}"/>
    <cellStyle name="20% - Accent1 3 4 4" xfId="293" xr:uid="{00000000-0005-0000-0000-000024010000}"/>
    <cellStyle name="20% - Accent1 3 4 4 2" xfId="294" xr:uid="{00000000-0005-0000-0000-000025010000}"/>
    <cellStyle name="20% - Accent1 3 4 5" xfId="295" xr:uid="{00000000-0005-0000-0000-000026010000}"/>
    <cellStyle name="20% - Accent1 3 4 6" xfId="296" xr:uid="{00000000-0005-0000-0000-000027010000}"/>
    <cellStyle name="20% - Accent1 3 4 7" xfId="297" xr:uid="{00000000-0005-0000-0000-000028010000}"/>
    <cellStyle name="20% - Accent1 3 5" xfId="298" xr:uid="{00000000-0005-0000-0000-000029010000}"/>
    <cellStyle name="20% - Accent1 3 5 2" xfId="299" xr:uid="{00000000-0005-0000-0000-00002A010000}"/>
    <cellStyle name="20% - Accent1 3 5 2 2" xfId="300" xr:uid="{00000000-0005-0000-0000-00002B010000}"/>
    <cellStyle name="20% - Accent1 3 5 2 2 2" xfId="301" xr:uid="{00000000-0005-0000-0000-00002C010000}"/>
    <cellStyle name="20% - Accent1 3 5 2 3" xfId="302" xr:uid="{00000000-0005-0000-0000-00002D010000}"/>
    <cellStyle name="20% - Accent1 3 5 3" xfId="303" xr:uid="{00000000-0005-0000-0000-00002E010000}"/>
    <cellStyle name="20% - Accent1 3 5 3 2" xfId="304" xr:uid="{00000000-0005-0000-0000-00002F010000}"/>
    <cellStyle name="20% - Accent1 3 5 4" xfId="305" xr:uid="{00000000-0005-0000-0000-000030010000}"/>
    <cellStyle name="20% - Accent1 3 5 4 2" xfId="306" xr:uid="{00000000-0005-0000-0000-000031010000}"/>
    <cellStyle name="20% - Accent1 3 5 5" xfId="307" xr:uid="{00000000-0005-0000-0000-000032010000}"/>
    <cellStyle name="20% - Accent1 3 5 6" xfId="308" xr:uid="{00000000-0005-0000-0000-000033010000}"/>
    <cellStyle name="20% - Accent1 3 5 7" xfId="309" xr:uid="{00000000-0005-0000-0000-000034010000}"/>
    <cellStyle name="20% - Accent1 3 6" xfId="310" xr:uid="{00000000-0005-0000-0000-000035010000}"/>
    <cellStyle name="20% - Accent1 3 6 2" xfId="311" xr:uid="{00000000-0005-0000-0000-000036010000}"/>
    <cellStyle name="20% - Accent1 3 6 2 2" xfId="312" xr:uid="{00000000-0005-0000-0000-000037010000}"/>
    <cellStyle name="20% - Accent1 3 6 3" xfId="313" xr:uid="{00000000-0005-0000-0000-000038010000}"/>
    <cellStyle name="20% - Accent1 3 7" xfId="314" xr:uid="{00000000-0005-0000-0000-000039010000}"/>
    <cellStyle name="20% - Accent1 3 7 2" xfId="315" xr:uid="{00000000-0005-0000-0000-00003A010000}"/>
    <cellStyle name="20% - Accent1 3 8" xfId="316" xr:uid="{00000000-0005-0000-0000-00003B010000}"/>
    <cellStyle name="20% - Accent1 3 8 2" xfId="317" xr:uid="{00000000-0005-0000-0000-00003C010000}"/>
    <cellStyle name="20% - Accent1 3 9" xfId="318" xr:uid="{00000000-0005-0000-0000-00003D010000}"/>
    <cellStyle name="20% - Accent1 4" xfId="319" xr:uid="{00000000-0005-0000-0000-00003E010000}"/>
    <cellStyle name="20% - Accent1 4 10" xfId="320" xr:uid="{00000000-0005-0000-0000-00003F010000}"/>
    <cellStyle name="20% - Accent1 4 11" xfId="321" xr:uid="{00000000-0005-0000-0000-000040010000}"/>
    <cellStyle name="20% - Accent1 4 2" xfId="322" xr:uid="{00000000-0005-0000-0000-000041010000}"/>
    <cellStyle name="20% - Accent1 4 2 2" xfId="323" xr:uid="{00000000-0005-0000-0000-000042010000}"/>
    <cellStyle name="20% - Accent1 4 2 2 2" xfId="324" xr:uid="{00000000-0005-0000-0000-000043010000}"/>
    <cellStyle name="20% - Accent1 4 2 2 2 2" xfId="325" xr:uid="{00000000-0005-0000-0000-000044010000}"/>
    <cellStyle name="20% - Accent1 4 2 2 2 2 2" xfId="326" xr:uid="{00000000-0005-0000-0000-000045010000}"/>
    <cellStyle name="20% - Accent1 4 2 2 2 2 2 2" xfId="327" xr:uid="{00000000-0005-0000-0000-000046010000}"/>
    <cellStyle name="20% - Accent1 4 2 2 2 2 3" xfId="328" xr:uid="{00000000-0005-0000-0000-000047010000}"/>
    <cellStyle name="20% - Accent1 4 2 2 2 2 3 2" xfId="329" xr:uid="{00000000-0005-0000-0000-000048010000}"/>
    <cellStyle name="20% - Accent1 4 2 2 2 2 4" xfId="330" xr:uid="{00000000-0005-0000-0000-000049010000}"/>
    <cellStyle name="20% - Accent1 4 2 2 2 2 5" xfId="331" xr:uid="{00000000-0005-0000-0000-00004A010000}"/>
    <cellStyle name="20% - Accent1 4 2 2 2 3" xfId="332" xr:uid="{00000000-0005-0000-0000-00004B010000}"/>
    <cellStyle name="20% - Accent1 4 2 2 2 3 2" xfId="333" xr:uid="{00000000-0005-0000-0000-00004C010000}"/>
    <cellStyle name="20% - Accent1 4 2 2 2 4" xfId="334" xr:uid="{00000000-0005-0000-0000-00004D010000}"/>
    <cellStyle name="20% - Accent1 4 2 2 2 4 2" xfId="335" xr:uid="{00000000-0005-0000-0000-00004E010000}"/>
    <cellStyle name="20% - Accent1 4 2 2 2 5" xfId="336" xr:uid="{00000000-0005-0000-0000-00004F010000}"/>
    <cellStyle name="20% - Accent1 4 2 2 2 6" xfId="337" xr:uid="{00000000-0005-0000-0000-000050010000}"/>
    <cellStyle name="20% - Accent1 4 2 2 3" xfId="338" xr:uid="{00000000-0005-0000-0000-000051010000}"/>
    <cellStyle name="20% - Accent1 4 2 2 3 2" xfId="339" xr:uid="{00000000-0005-0000-0000-000052010000}"/>
    <cellStyle name="20% - Accent1 4 2 2 3 2 2" xfId="340" xr:uid="{00000000-0005-0000-0000-000053010000}"/>
    <cellStyle name="20% - Accent1 4 2 2 3 3" xfId="341" xr:uid="{00000000-0005-0000-0000-000054010000}"/>
    <cellStyle name="20% - Accent1 4 2 2 3 3 2" xfId="342" xr:uid="{00000000-0005-0000-0000-000055010000}"/>
    <cellStyle name="20% - Accent1 4 2 2 3 4" xfId="343" xr:uid="{00000000-0005-0000-0000-000056010000}"/>
    <cellStyle name="20% - Accent1 4 2 2 3 5" xfId="344" xr:uid="{00000000-0005-0000-0000-000057010000}"/>
    <cellStyle name="20% - Accent1 4 2 2 4" xfId="345" xr:uid="{00000000-0005-0000-0000-000058010000}"/>
    <cellStyle name="20% - Accent1 4 2 2 4 2" xfId="346" xr:uid="{00000000-0005-0000-0000-000059010000}"/>
    <cellStyle name="20% - Accent1 4 2 2 5" xfId="347" xr:uid="{00000000-0005-0000-0000-00005A010000}"/>
    <cellStyle name="20% - Accent1 4 2 2 5 2" xfId="348" xr:uid="{00000000-0005-0000-0000-00005B010000}"/>
    <cellStyle name="20% - Accent1 4 2 2 6" xfId="349" xr:uid="{00000000-0005-0000-0000-00005C010000}"/>
    <cellStyle name="20% - Accent1 4 2 2 7" xfId="350" xr:uid="{00000000-0005-0000-0000-00005D010000}"/>
    <cellStyle name="20% - Accent1 4 2 3" xfId="351" xr:uid="{00000000-0005-0000-0000-00005E010000}"/>
    <cellStyle name="20% - Accent1 4 2 3 2" xfId="352" xr:uid="{00000000-0005-0000-0000-00005F010000}"/>
    <cellStyle name="20% - Accent1 4 2 3 2 2" xfId="353" xr:uid="{00000000-0005-0000-0000-000060010000}"/>
    <cellStyle name="20% - Accent1 4 2 3 2 2 2" xfId="354" xr:uid="{00000000-0005-0000-0000-000061010000}"/>
    <cellStyle name="20% - Accent1 4 2 3 2 3" xfId="355" xr:uid="{00000000-0005-0000-0000-000062010000}"/>
    <cellStyle name="20% - Accent1 4 2 3 2 3 2" xfId="356" xr:uid="{00000000-0005-0000-0000-000063010000}"/>
    <cellStyle name="20% - Accent1 4 2 3 2 4" xfId="357" xr:uid="{00000000-0005-0000-0000-000064010000}"/>
    <cellStyle name="20% - Accent1 4 2 3 2 5" xfId="358" xr:uid="{00000000-0005-0000-0000-000065010000}"/>
    <cellStyle name="20% - Accent1 4 2 3 3" xfId="359" xr:uid="{00000000-0005-0000-0000-000066010000}"/>
    <cellStyle name="20% - Accent1 4 2 3 3 2" xfId="360" xr:uid="{00000000-0005-0000-0000-000067010000}"/>
    <cellStyle name="20% - Accent1 4 2 3 4" xfId="361" xr:uid="{00000000-0005-0000-0000-000068010000}"/>
    <cellStyle name="20% - Accent1 4 2 3 4 2" xfId="362" xr:uid="{00000000-0005-0000-0000-000069010000}"/>
    <cellStyle name="20% - Accent1 4 2 3 5" xfId="363" xr:uid="{00000000-0005-0000-0000-00006A010000}"/>
    <cellStyle name="20% - Accent1 4 2 3 6" xfId="364" xr:uid="{00000000-0005-0000-0000-00006B010000}"/>
    <cellStyle name="20% - Accent1 4 2 4" xfId="365" xr:uid="{00000000-0005-0000-0000-00006C010000}"/>
    <cellStyle name="20% - Accent1 4 2 4 2" xfId="366" xr:uid="{00000000-0005-0000-0000-00006D010000}"/>
    <cellStyle name="20% - Accent1 4 2 4 2 2" xfId="367" xr:uid="{00000000-0005-0000-0000-00006E010000}"/>
    <cellStyle name="20% - Accent1 4 2 4 3" xfId="368" xr:uid="{00000000-0005-0000-0000-00006F010000}"/>
    <cellStyle name="20% - Accent1 4 2 4 3 2" xfId="369" xr:uid="{00000000-0005-0000-0000-000070010000}"/>
    <cellStyle name="20% - Accent1 4 2 4 4" xfId="370" xr:uid="{00000000-0005-0000-0000-000071010000}"/>
    <cellStyle name="20% - Accent1 4 2 4 5" xfId="371" xr:uid="{00000000-0005-0000-0000-000072010000}"/>
    <cellStyle name="20% - Accent1 4 2 5" xfId="372" xr:uid="{00000000-0005-0000-0000-000073010000}"/>
    <cellStyle name="20% - Accent1 4 2 5 2" xfId="373" xr:uid="{00000000-0005-0000-0000-000074010000}"/>
    <cellStyle name="20% - Accent1 4 2 6" xfId="374" xr:uid="{00000000-0005-0000-0000-000075010000}"/>
    <cellStyle name="20% - Accent1 4 2 6 2" xfId="375" xr:uid="{00000000-0005-0000-0000-000076010000}"/>
    <cellStyle name="20% - Accent1 4 2 7" xfId="376" xr:uid="{00000000-0005-0000-0000-000077010000}"/>
    <cellStyle name="20% - Accent1 4 2 8" xfId="377" xr:uid="{00000000-0005-0000-0000-000078010000}"/>
    <cellStyle name="20% - Accent1 4 2 9" xfId="378" xr:uid="{00000000-0005-0000-0000-000079010000}"/>
    <cellStyle name="20% - Accent1 4 3" xfId="379" xr:uid="{00000000-0005-0000-0000-00007A010000}"/>
    <cellStyle name="20% - Accent1 4 3 2" xfId="380" xr:uid="{00000000-0005-0000-0000-00007B010000}"/>
    <cellStyle name="20% - Accent1 4 3 2 2" xfId="381" xr:uid="{00000000-0005-0000-0000-00007C010000}"/>
    <cellStyle name="20% - Accent1 4 3 2 2 2" xfId="382" xr:uid="{00000000-0005-0000-0000-00007D010000}"/>
    <cellStyle name="20% - Accent1 4 3 2 2 2 2" xfId="383" xr:uid="{00000000-0005-0000-0000-00007E010000}"/>
    <cellStyle name="20% - Accent1 4 3 2 2 3" xfId="384" xr:uid="{00000000-0005-0000-0000-00007F010000}"/>
    <cellStyle name="20% - Accent1 4 3 2 2 3 2" xfId="385" xr:uid="{00000000-0005-0000-0000-000080010000}"/>
    <cellStyle name="20% - Accent1 4 3 2 2 4" xfId="386" xr:uid="{00000000-0005-0000-0000-000081010000}"/>
    <cellStyle name="20% - Accent1 4 3 2 2 5" xfId="387" xr:uid="{00000000-0005-0000-0000-000082010000}"/>
    <cellStyle name="20% - Accent1 4 3 2 3" xfId="388" xr:uid="{00000000-0005-0000-0000-000083010000}"/>
    <cellStyle name="20% - Accent1 4 3 2 3 2" xfId="389" xr:uid="{00000000-0005-0000-0000-000084010000}"/>
    <cellStyle name="20% - Accent1 4 3 2 4" xfId="390" xr:uid="{00000000-0005-0000-0000-000085010000}"/>
    <cellStyle name="20% - Accent1 4 3 2 4 2" xfId="391" xr:uid="{00000000-0005-0000-0000-000086010000}"/>
    <cellStyle name="20% - Accent1 4 3 2 5" xfId="392" xr:uid="{00000000-0005-0000-0000-000087010000}"/>
    <cellStyle name="20% - Accent1 4 3 2 6" xfId="393" xr:uid="{00000000-0005-0000-0000-000088010000}"/>
    <cellStyle name="20% - Accent1 4 3 3" xfId="394" xr:uid="{00000000-0005-0000-0000-000089010000}"/>
    <cellStyle name="20% - Accent1 4 3 3 2" xfId="395" xr:uid="{00000000-0005-0000-0000-00008A010000}"/>
    <cellStyle name="20% - Accent1 4 3 3 2 2" xfId="396" xr:uid="{00000000-0005-0000-0000-00008B010000}"/>
    <cellStyle name="20% - Accent1 4 3 3 3" xfId="397" xr:uid="{00000000-0005-0000-0000-00008C010000}"/>
    <cellStyle name="20% - Accent1 4 3 3 3 2" xfId="398" xr:uid="{00000000-0005-0000-0000-00008D010000}"/>
    <cellStyle name="20% - Accent1 4 3 3 4" xfId="399" xr:uid="{00000000-0005-0000-0000-00008E010000}"/>
    <cellStyle name="20% - Accent1 4 3 3 5" xfId="400" xr:uid="{00000000-0005-0000-0000-00008F010000}"/>
    <cellStyle name="20% - Accent1 4 3 4" xfId="401" xr:uid="{00000000-0005-0000-0000-000090010000}"/>
    <cellStyle name="20% - Accent1 4 3 4 2" xfId="402" xr:uid="{00000000-0005-0000-0000-000091010000}"/>
    <cellStyle name="20% - Accent1 4 3 5" xfId="403" xr:uid="{00000000-0005-0000-0000-000092010000}"/>
    <cellStyle name="20% - Accent1 4 3 5 2" xfId="404" xr:uid="{00000000-0005-0000-0000-000093010000}"/>
    <cellStyle name="20% - Accent1 4 3 6" xfId="405" xr:uid="{00000000-0005-0000-0000-000094010000}"/>
    <cellStyle name="20% - Accent1 4 3 7" xfId="406" xr:uid="{00000000-0005-0000-0000-000095010000}"/>
    <cellStyle name="20% - Accent1 4 3 8" xfId="407" xr:uid="{00000000-0005-0000-0000-000096010000}"/>
    <cellStyle name="20% - Accent1 4 4" xfId="408" xr:uid="{00000000-0005-0000-0000-000097010000}"/>
    <cellStyle name="20% - Accent1 4 4 2" xfId="409" xr:uid="{00000000-0005-0000-0000-000098010000}"/>
    <cellStyle name="20% - Accent1 4 4 2 2" xfId="410" xr:uid="{00000000-0005-0000-0000-000099010000}"/>
    <cellStyle name="20% - Accent1 4 4 2 2 2" xfId="411" xr:uid="{00000000-0005-0000-0000-00009A010000}"/>
    <cellStyle name="20% - Accent1 4 4 2 3" xfId="412" xr:uid="{00000000-0005-0000-0000-00009B010000}"/>
    <cellStyle name="20% - Accent1 4 4 2 3 2" xfId="413" xr:uid="{00000000-0005-0000-0000-00009C010000}"/>
    <cellStyle name="20% - Accent1 4 4 2 4" xfId="414" xr:uid="{00000000-0005-0000-0000-00009D010000}"/>
    <cellStyle name="20% - Accent1 4 4 2 5" xfId="415" xr:uid="{00000000-0005-0000-0000-00009E010000}"/>
    <cellStyle name="20% - Accent1 4 4 3" xfId="416" xr:uid="{00000000-0005-0000-0000-00009F010000}"/>
    <cellStyle name="20% - Accent1 4 4 3 2" xfId="417" xr:uid="{00000000-0005-0000-0000-0000A0010000}"/>
    <cellStyle name="20% - Accent1 4 4 4" xfId="418" xr:uid="{00000000-0005-0000-0000-0000A1010000}"/>
    <cellStyle name="20% - Accent1 4 4 4 2" xfId="419" xr:uid="{00000000-0005-0000-0000-0000A2010000}"/>
    <cellStyle name="20% - Accent1 4 4 5" xfId="420" xr:uid="{00000000-0005-0000-0000-0000A3010000}"/>
    <cellStyle name="20% - Accent1 4 4 6" xfId="421" xr:uid="{00000000-0005-0000-0000-0000A4010000}"/>
    <cellStyle name="20% - Accent1 4 4 7" xfId="422" xr:uid="{00000000-0005-0000-0000-0000A5010000}"/>
    <cellStyle name="20% - Accent1 4 5" xfId="423" xr:uid="{00000000-0005-0000-0000-0000A6010000}"/>
    <cellStyle name="20% - Accent1 4 5 2" xfId="424" xr:uid="{00000000-0005-0000-0000-0000A7010000}"/>
    <cellStyle name="20% - Accent1 4 5 2 2" xfId="425" xr:uid="{00000000-0005-0000-0000-0000A8010000}"/>
    <cellStyle name="20% - Accent1 4 5 2 2 2" xfId="426" xr:uid="{00000000-0005-0000-0000-0000A9010000}"/>
    <cellStyle name="20% - Accent1 4 5 2 3" xfId="427" xr:uid="{00000000-0005-0000-0000-0000AA010000}"/>
    <cellStyle name="20% - Accent1 4 5 3" xfId="428" xr:uid="{00000000-0005-0000-0000-0000AB010000}"/>
    <cellStyle name="20% - Accent1 4 5 3 2" xfId="429" xr:uid="{00000000-0005-0000-0000-0000AC010000}"/>
    <cellStyle name="20% - Accent1 4 5 4" xfId="430" xr:uid="{00000000-0005-0000-0000-0000AD010000}"/>
    <cellStyle name="20% - Accent1 4 5 4 2" xfId="431" xr:uid="{00000000-0005-0000-0000-0000AE010000}"/>
    <cellStyle name="20% - Accent1 4 5 5" xfId="432" xr:uid="{00000000-0005-0000-0000-0000AF010000}"/>
    <cellStyle name="20% - Accent1 4 5 6" xfId="433" xr:uid="{00000000-0005-0000-0000-0000B0010000}"/>
    <cellStyle name="20% - Accent1 4 6" xfId="434" xr:uid="{00000000-0005-0000-0000-0000B1010000}"/>
    <cellStyle name="20% - Accent1 4 6 2" xfId="435" xr:uid="{00000000-0005-0000-0000-0000B2010000}"/>
    <cellStyle name="20% - Accent1 4 6 2 2" xfId="436" xr:uid="{00000000-0005-0000-0000-0000B3010000}"/>
    <cellStyle name="20% - Accent1 4 6 3" xfId="437" xr:uid="{00000000-0005-0000-0000-0000B4010000}"/>
    <cellStyle name="20% - Accent1 4 7" xfId="438" xr:uid="{00000000-0005-0000-0000-0000B5010000}"/>
    <cellStyle name="20% - Accent1 4 7 2" xfId="439" xr:uid="{00000000-0005-0000-0000-0000B6010000}"/>
    <cellStyle name="20% - Accent1 4 8" xfId="440" xr:uid="{00000000-0005-0000-0000-0000B7010000}"/>
    <cellStyle name="20% - Accent1 4 8 2" xfId="441" xr:uid="{00000000-0005-0000-0000-0000B8010000}"/>
    <cellStyle name="20% - Accent1 4 9" xfId="442" xr:uid="{00000000-0005-0000-0000-0000B9010000}"/>
    <cellStyle name="20% - Accent1 5" xfId="443" xr:uid="{00000000-0005-0000-0000-0000BA010000}"/>
    <cellStyle name="20% - Accent1 5 2" xfId="444" xr:uid="{00000000-0005-0000-0000-0000BB010000}"/>
    <cellStyle name="20% - Accent1 5 2 2" xfId="445" xr:uid="{00000000-0005-0000-0000-0000BC010000}"/>
    <cellStyle name="20% - Accent1 5 2 2 2" xfId="446" xr:uid="{00000000-0005-0000-0000-0000BD010000}"/>
    <cellStyle name="20% - Accent1 5 2 2 2 2" xfId="447" xr:uid="{00000000-0005-0000-0000-0000BE010000}"/>
    <cellStyle name="20% - Accent1 5 2 2 2 2 2" xfId="448" xr:uid="{00000000-0005-0000-0000-0000BF010000}"/>
    <cellStyle name="20% - Accent1 5 2 2 2 2 2 2" xfId="449" xr:uid="{00000000-0005-0000-0000-0000C0010000}"/>
    <cellStyle name="20% - Accent1 5 2 2 2 2 3" xfId="450" xr:uid="{00000000-0005-0000-0000-0000C1010000}"/>
    <cellStyle name="20% - Accent1 5 2 2 2 2 3 2" xfId="451" xr:uid="{00000000-0005-0000-0000-0000C2010000}"/>
    <cellStyle name="20% - Accent1 5 2 2 2 2 4" xfId="452" xr:uid="{00000000-0005-0000-0000-0000C3010000}"/>
    <cellStyle name="20% - Accent1 5 2 2 2 2 5" xfId="453" xr:uid="{00000000-0005-0000-0000-0000C4010000}"/>
    <cellStyle name="20% - Accent1 5 2 2 2 3" xfId="454" xr:uid="{00000000-0005-0000-0000-0000C5010000}"/>
    <cellStyle name="20% - Accent1 5 2 2 2 3 2" xfId="455" xr:uid="{00000000-0005-0000-0000-0000C6010000}"/>
    <cellStyle name="20% - Accent1 5 2 2 2 4" xfId="456" xr:uid="{00000000-0005-0000-0000-0000C7010000}"/>
    <cellStyle name="20% - Accent1 5 2 2 2 4 2" xfId="457" xr:uid="{00000000-0005-0000-0000-0000C8010000}"/>
    <cellStyle name="20% - Accent1 5 2 2 2 5" xfId="458" xr:uid="{00000000-0005-0000-0000-0000C9010000}"/>
    <cellStyle name="20% - Accent1 5 2 2 2 6" xfId="459" xr:uid="{00000000-0005-0000-0000-0000CA010000}"/>
    <cellStyle name="20% - Accent1 5 2 2 3" xfId="460" xr:uid="{00000000-0005-0000-0000-0000CB010000}"/>
    <cellStyle name="20% - Accent1 5 2 2 3 2" xfId="461" xr:uid="{00000000-0005-0000-0000-0000CC010000}"/>
    <cellStyle name="20% - Accent1 5 2 2 3 2 2" xfId="462" xr:uid="{00000000-0005-0000-0000-0000CD010000}"/>
    <cellStyle name="20% - Accent1 5 2 2 3 3" xfId="463" xr:uid="{00000000-0005-0000-0000-0000CE010000}"/>
    <cellStyle name="20% - Accent1 5 2 2 3 3 2" xfId="464" xr:uid="{00000000-0005-0000-0000-0000CF010000}"/>
    <cellStyle name="20% - Accent1 5 2 2 3 4" xfId="465" xr:uid="{00000000-0005-0000-0000-0000D0010000}"/>
    <cellStyle name="20% - Accent1 5 2 2 3 5" xfId="466" xr:uid="{00000000-0005-0000-0000-0000D1010000}"/>
    <cellStyle name="20% - Accent1 5 2 2 4" xfId="467" xr:uid="{00000000-0005-0000-0000-0000D2010000}"/>
    <cellStyle name="20% - Accent1 5 2 2 4 2" xfId="468" xr:uid="{00000000-0005-0000-0000-0000D3010000}"/>
    <cellStyle name="20% - Accent1 5 2 2 5" xfId="469" xr:uid="{00000000-0005-0000-0000-0000D4010000}"/>
    <cellStyle name="20% - Accent1 5 2 2 5 2" xfId="470" xr:uid="{00000000-0005-0000-0000-0000D5010000}"/>
    <cellStyle name="20% - Accent1 5 2 2 6" xfId="471" xr:uid="{00000000-0005-0000-0000-0000D6010000}"/>
    <cellStyle name="20% - Accent1 5 2 2 7" xfId="472" xr:uid="{00000000-0005-0000-0000-0000D7010000}"/>
    <cellStyle name="20% - Accent1 5 2 3" xfId="473" xr:uid="{00000000-0005-0000-0000-0000D8010000}"/>
    <cellStyle name="20% - Accent1 5 2 3 2" xfId="474" xr:uid="{00000000-0005-0000-0000-0000D9010000}"/>
    <cellStyle name="20% - Accent1 5 2 3 2 2" xfId="475" xr:uid="{00000000-0005-0000-0000-0000DA010000}"/>
    <cellStyle name="20% - Accent1 5 2 3 2 2 2" xfId="476" xr:uid="{00000000-0005-0000-0000-0000DB010000}"/>
    <cellStyle name="20% - Accent1 5 2 3 2 3" xfId="477" xr:uid="{00000000-0005-0000-0000-0000DC010000}"/>
    <cellStyle name="20% - Accent1 5 2 3 2 3 2" xfId="478" xr:uid="{00000000-0005-0000-0000-0000DD010000}"/>
    <cellStyle name="20% - Accent1 5 2 3 2 4" xfId="479" xr:uid="{00000000-0005-0000-0000-0000DE010000}"/>
    <cellStyle name="20% - Accent1 5 2 3 2 5" xfId="480" xr:uid="{00000000-0005-0000-0000-0000DF010000}"/>
    <cellStyle name="20% - Accent1 5 2 3 3" xfId="481" xr:uid="{00000000-0005-0000-0000-0000E0010000}"/>
    <cellStyle name="20% - Accent1 5 2 3 3 2" xfId="482" xr:uid="{00000000-0005-0000-0000-0000E1010000}"/>
    <cellStyle name="20% - Accent1 5 2 3 4" xfId="483" xr:uid="{00000000-0005-0000-0000-0000E2010000}"/>
    <cellStyle name="20% - Accent1 5 2 3 4 2" xfId="484" xr:uid="{00000000-0005-0000-0000-0000E3010000}"/>
    <cellStyle name="20% - Accent1 5 2 3 5" xfId="485" xr:uid="{00000000-0005-0000-0000-0000E4010000}"/>
    <cellStyle name="20% - Accent1 5 2 3 6" xfId="486" xr:uid="{00000000-0005-0000-0000-0000E5010000}"/>
    <cellStyle name="20% - Accent1 5 2 4" xfId="487" xr:uid="{00000000-0005-0000-0000-0000E6010000}"/>
    <cellStyle name="20% - Accent1 5 2 4 2" xfId="488" xr:uid="{00000000-0005-0000-0000-0000E7010000}"/>
    <cellStyle name="20% - Accent1 5 2 4 2 2" xfId="489" xr:uid="{00000000-0005-0000-0000-0000E8010000}"/>
    <cellStyle name="20% - Accent1 5 2 4 3" xfId="490" xr:uid="{00000000-0005-0000-0000-0000E9010000}"/>
    <cellStyle name="20% - Accent1 5 2 4 3 2" xfId="491" xr:uid="{00000000-0005-0000-0000-0000EA010000}"/>
    <cellStyle name="20% - Accent1 5 2 4 4" xfId="492" xr:uid="{00000000-0005-0000-0000-0000EB010000}"/>
    <cellStyle name="20% - Accent1 5 2 4 5" xfId="493" xr:uid="{00000000-0005-0000-0000-0000EC010000}"/>
    <cellStyle name="20% - Accent1 5 2 5" xfId="494" xr:uid="{00000000-0005-0000-0000-0000ED010000}"/>
    <cellStyle name="20% - Accent1 5 2 5 2" xfId="495" xr:uid="{00000000-0005-0000-0000-0000EE010000}"/>
    <cellStyle name="20% - Accent1 5 2 6" xfId="496" xr:uid="{00000000-0005-0000-0000-0000EF010000}"/>
    <cellStyle name="20% - Accent1 5 2 6 2" xfId="497" xr:uid="{00000000-0005-0000-0000-0000F0010000}"/>
    <cellStyle name="20% - Accent1 5 2 7" xfId="498" xr:uid="{00000000-0005-0000-0000-0000F1010000}"/>
    <cellStyle name="20% - Accent1 5 2 8" xfId="499" xr:uid="{00000000-0005-0000-0000-0000F2010000}"/>
    <cellStyle name="20% - Accent1 5 3" xfId="500" xr:uid="{00000000-0005-0000-0000-0000F3010000}"/>
    <cellStyle name="20% - Accent1 5 3 2" xfId="501" xr:uid="{00000000-0005-0000-0000-0000F4010000}"/>
    <cellStyle name="20% - Accent1 5 3 2 2" xfId="502" xr:uid="{00000000-0005-0000-0000-0000F5010000}"/>
    <cellStyle name="20% - Accent1 5 3 2 2 2" xfId="503" xr:uid="{00000000-0005-0000-0000-0000F6010000}"/>
    <cellStyle name="20% - Accent1 5 3 2 2 2 2" xfId="504" xr:uid="{00000000-0005-0000-0000-0000F7010000}"/>
    <cellStyle name="20% - Accent1 5 3 2 2 3" xfId="505" xr:uid="{00000000-0005-0000-0000-0000F8010000}"/>
    <cellStyle name="20% - Accent1 5 3 2 2 3 2" xfId="506" xr:uid="{00000000-0005-0000-0000-0000F9010000}"/>
    <cellStyle name="20% - Accent1 5 3 2 2 4" xfId="507" xr:uid="{00000000-0005-0000-0000-0000FA010000}"/>
    <cellStyle name="20% - Accent1 5 3 2 2 5" xfId="508" xr:uid="{00000000-0005-0000-0000-0000FB010000}"/>
    <cellStyle name="20% - Accent1 5 3 2 3" xfId="509" xr:uid="{00000000-0005-0000-0000-0000FC010000}"/>
    <cellStyle name="20% - Accent1 5 3 2 3 2" xfId="510" xr:uid="{00000000-0005-0000-0000-0000FD010000}"/>
    <cellStyle name="20% - Accent1 5 3 2 4" xfId="511" xr:uid="{00000000-0005-0000-0000-0000FE010000}"/>
    <cellStyle name="20% - Accent1 5 3 2 4 2" xfId="512" xr:uid="{00000000-0005-0000-0000-0000FF010000}"/>
    <cellStyle name="20% - Accent1 5 3 2 5" xfId="513" xr:uid="{00000000-0005-0000-0000-000000020000}"/>
    <cellStyle name="20% - Accent1 5 3 2 6" xfId="514" xr:uid="{00000000-0005-0000-0000-000001020000}"/>
    <cellStyle name="20% - Accent1 5 3 3" xfId="515" xr:uid="{00000000-0005-0000-0000-000002020000}"/>
    <cellStyle name="20% - Accent1 5 3 3 2" xfId="516" xr:uid="{00000000-0005-0000-0000-000003020000}"/>
    <cellStyle name="20% - Accent1 5 3 3 2 2" xfId="517" xr:uid="{00000000-0005-0000-0000-000004020000}"/>
    <cellStyle name="20% - Accent1 5 3 3 3" xfId="518" xr:uid="{00000000-0005-0000-0000-000005020000}"/>
    <cellStyle name="20% - Accent1 5 3 3 3 2" xfId="519" xr:uid="{00000000-0005-0000-0000-000006020000}"/>
    <cellStyle name="20% - Accent1 5 3 3 4" xfId="520" xr:uid="{00000000-0005-0000-0000-000007020000}"/>
    <cellStyle name="20% - Accent1 5 3 3 5" xfId="521" xr:uid="{00000000-0005-0000-0000-000008020000}"/>
    <cellStyle name="20% - Accent1 5 3 4" xfId="522" xr:uid="{00000000-0005-0000-0000-000009020000}"/>
    <cellStyle name="20% - Accent1 5 3 4 2" xfId="523" xr:uid="{00000000-0005-0000-0000-00000A020000}"/>
    <cellStyle name="20% - Accent1 5 3 5" xfId="524" xr:uid="{00000000-0005-0000-0000-00000B020000}"/>
    <cellStyle name="20% - Accent1 5 3 5 2" xfId="525" xr:uid="{00000000-0005-0000-0000-00000C020000}"/>
    <cellStyle name="20% - Accent1 5 3 6" xfId="526" xr:uid="{00000000-0005-0000-0000-00000D020000}"/>
    <cellStyle name="20% - Accent1 5 3 7" xfId="527" xr:uid="{00000000-0005-0000-0000-00000E020000}"/>
    <cellStyle name="20% - Accent1 5 4" xfId="528" xr:uid="{00000000-0005-0000-0000-00000F020000}"/>
    <cellStyle name="20% - Accent1 5 4 2" xfId="529" xr:uid="{00000000-0005-0000-0000-000010020000}"/>
    <cellStyle name="20% - Accent1 5 4 2 2" xfId="530" xr:uid="{00000000-0005-0000-0000-000011020000}"/>
    <cellStyle name="20% - Accent1 5 4 2 2 2" xfId="531" xr:uid="{00000000-0005-0000-0000-000012020000}"/>
    <cellStyle name="20% - Accent1 5 4 2 3" xfId="532" xr:uid="{00000000-0005-0000-0000-000013020000}"/>
    <cellStyle name="20% - Accent1 5 4 2 3 2" xfId="533" xr:uid="{00000000-0005-0000-0000-000014020000}"/>
    <cellStyle name="20% - Accent1 5 4 2 4" xfId="534" xr:uid="{00000000-0005-0000-0000-000015020000}"/>
    <cellStyle name="20% - Accent1 5 4 2 5" xfId="535" xr:uid="{00000000-0005-0000-0000-000016020000}"/>
    <cellStyle name="20% - Accent1 5 4 3" xfId="536" xr:uid="{00000000-0005-0000-0000-000017020000}"/>
    <cellStyle name="20% - Accent1 5 4 3 2" xfId="537" xr:uid="{00000000-0005-0000-0000-000018020000}"/>
    <cellStyle name="20% - Accent1 5 4 4" xfId="538" xr:uid="{00000000-0005-0000-0000-000019020000}"/>
    <cellStyle name="20% - Accent1 5 4 4 2" xfId="539" xr:uid="{00000000-0005-0000-0000-00001A020000}"/>
    <cellStyle name="20% - Accent1 5 4 5" xfId="540" xr:uid="{00000000-0005-0000-0000-00001B020000}"/>
    <cellStyle name="20% - Accent1 5 4 6" xfId="541" xr:uid="{00000000-0005-0000-0000-00001C020000}"/>
    <cellStyle name="20% - Accent1 5 5" xfId="542" xr:uid="{00000000-0005-0000-0000-00001D020000}"/>
    <cellStyle name="20% - Accent1 5 5 2" xfId="543" xr:uid="{00000000-0005-0000-0000-00001E020000}"/>
    <cellStyle name="20% - Accent1 5 5 2 2" xfId="544" xr:uid="{00000000-0005-0000-0000-00001F020000}"/>
    <cellStyle name="20% - Accent1 5 5 2 2 2" xfId="545" xr:uid="{00000000-0005-0000-0000-000020020000}"/>
    <cellStyle name="20% - Accent1 5 5 2 3" xfId="546" xr:uid="{00000000-0005-0000-0000-000021020000}"/>
    <cellStyle name="20% - Accent1 5 5 3" xfId="547" xr:uid="{00000000-0005-0000-0000-000022020000}"/>
    <cellStyle name="20% - Accent1 5 5 3 2" xfId="548" xr:uid="{00000000-0005-0000-0000-000023020000}"/>
    <cellStyle name="20% - Accent1 5 5 4" xfId="549" xr:uid="{00000000-0005-0000-0000-000024020000}"/>
    <cellStyle name="20% - Accent1 5 5 4 2" xfId="550" xr:uid="{00000000-0005-0000-0000-000025020000}"/>
    <cellStyle name="20% - Accent1 5 5 5" xfId="551" xr:uid="{00000000-0005-0000-0000-000026020000}"/>
    <cellStyle name="20% - Accent1 5 5 6" xfId="552" xr:uid="{00000000-0005-0000-0000-000027020000}"/>
    <cellStyle name="20% - Accent1 5 6" xfId="553" xr:uid="{00000000-0005-0000-0000-000028020000}"/>
    <cellStyle name="20% - Accent1 5 6 2" xfId="554" xr:uid="{00000000-0005-0000-0000-000029020000}"/>
    <cellStyle name="20% - Accent1 5 7" xfId="555" xr:uid="{00000000-0005-0000-0000-00002A020000}"/>
    <cellStyle name="20% - Accent1 5 8" xfId="556" xr:uid="{00000000-0005-0000-0000-00002B020000}"/>
    <cellStyle name="20% - Accent1 6" xfId="557" xr:uid="{00000000-0005-0000-0000-00002C020000}"/>
    <cellStyle name="20% - Accent1 6 2" xfId="558" xr:uid="{00000000-0005-0000-0000-00002D020000}"/>
    <cellStyle name="20% - Accent1 6 2 2" xfId="559" xr:uid="{00000000-0005-0000-0000-00002E020000}"/>
    <cellStyle name="20% - Accent1 6 2 2 2" xfId="560" xr:uid="{00000000-0005-0000-0000-00002F020000}"/>
    <cellStyle name="20% - Accent1 6 2 2 2 2" xfId="561" xr:uid="{00000000-0005-0000-0000-000030020000}"/>
    <cellStyle name="20% - Accent1 6 2 2 2 2 2" xfId="562" xr:uid="{00000000-0005-0000-0000-000031020000}"/>
    <cellStyle name="20% - Accent1 6 2 2 2 3" xfId="563" xr:uid="{00000000-0005-0000-0000-000032020000}"/>
    <cellStyle name="20% - Accent1 6 2 2 2 3 2" xfId="564" xr:uid="{00000000-0005-0000-0000-000033020000}"/>
    <cellStyle name="20% - Accent1 6 2 2 2 4" xfId="565" xr:uid="{00000000-0005-0000-0000-000034020000}"/>
    <cellStyle name="20% - Accent1 6 2 2 2 5" xfId="566" xr:uid="{00000000-0005-0000-0000-000035020000}"/>
    <cellStyle name="20% - Accent1 6 2 2 3" xfId="567" xr:uid="{00000000-0005-0000-0000-000036020000}"/>
    <cellStyle name="20% - Accent1 6 2 2 3 2" xfId="568" xr:uid="{00000000-0005-0000-0000-000037020000}"/>
    <cellStyle name="20% - Accent1 6 2 2 4" xfId="569" xr:uid="{00000000-0005-0000-0000-000038020000}"/>
    <cellStyle name="20% - Accent1 6 2 2 4 2" xfId="570" xr:uid="{00000000-0005-0000-0000-000039020000}"/>
    <cellStyle name="20% - Accent1 6 2 2 5" xfId="571" xr:uid="{00000000-0005-0000-0000-00003A020000}"/>
    <cellStyle name="20% - Accent1 6 2 2 6" xfId="572" xr:uid="{00000000-0005-0000-0000-00003B020000}"/>
    <cellStyle name="20% - Accent1 6 2 3" xfId="573" xr:uid="{00000000-0005-0000-0000-00003C020000}"/>
    <cellStyle name="20% - Accent1 6 2 3 2" xfId="574" xr:uid="{00000000-0005-0000-0000-00003D020000}"/>
    <cellStyle name="20% - Accent1 6 2 3 2 2" xfId="575" xr:uid="{00000000-0005-0000-0000-00003E020000}"/>
    <cellStyle name="20% - Accent1 6 2 3 3" xfId="576" xr:uid="{00000000-0005-0000-0000-00003F020000}"/>
    <cellStyle name="20% - Accent1 6 2 3 3 2" xfId="577" xr:uid="{00000000-0005-0000-0000-000040020000}"/>
    <cellStyle name="20% - Accent1 6 2 3 4" xfId="578" xr:uid="{00000000-0005-0000-0000-000041020000}"/>
    <cellStyle name="20% - Accent1 6 2 3 5" xfId="579" xr:uid="{00000000-0005-0000-0000-000042020000}"/>
    <cellStyle name="20% - Accent1 6 2 4" xfId="580" xr:uid="{00000000-0005-0000-0000-000043020000}"/>
    <cellStyle name="20% - Accent1 6 2 4 2" xfId="581" xr:uid="{00000000-0005-0000-0000-000044020000}"/>
    <cellStyle name="20% - Accent1 6 2 5" xfId="582" xr:uid="{00000000-0005-0000-0000-000045020000}"/>
    <cellStyle name="20% - Accent1 6 2 5 2" xfId="583" xr:uid="{00000000-0005-0000-0000-000046020000}"/>
    <cellStyle name="20% - Accent1 6 2 6" xfId="584" xr:uid="{00000000-0005-0000-0000-000047020000}"/>
    <cellStyle name="20% - Accent1 6 2 7" xfId="585" xr:uid="{00000000-0005-0000-0000-000048020000}"/>
    <cellStyle name="20% - Accent1 6 3" xfId="586" xr:uid="{00000000-0005-0000-0000-000049020000}"/>
    <cellStyle name="20% - Accent1 6 3 2" xfId="587" xr:uid="{00000000-0005-0000-0000-00004A020000}"/>
    <cellStyle name="20% - Accent1 6 3 2 2" xfId="588" xr:uid="{00000000-0005-0000-0000-00004B020000}"/>
    <cellStyle name="20% - Accent1 6 3 2 2 2" xfId="589" xr:uid="{00000000-0005-0000-0000-00004C020000}"/>
    <cellStyle name="20% - Accent1 6 3 2 3" xfId="590" xr:uid="{00000000-0005-0000-0000-00004D020000}"/>
    <cellStyle name="20% - Accent1 6 3 2 3 2" xfId="591" xr:uid="{00000000-0005-0000-0000-00004E020000}"/>
    <cellStyle name="20% - Accent1 6 3 2 4" xfId="592" xr:uid="{00000000-0005-0000-0000-00004F020000}"/>
    <cellStyle name="20% - Accent1 6 3 2 5" xfId="593" xr:uid="{00000000-0005-0000-0000-000050020000}"/>
    <cellStyle name="20% - Accent1 6 3 3" xfId="594" xr:uid="{00000000-0005-0000-0000-000051020000}"/>
    <cellStyle name="20% - Accent1 6 3 3 2" xfId="595" xr:uid="{00000000-0005-0000-0000-000052020000}"/>
    <cellStyle name="20% - Accent1 6 3 4" xfId="596" xr:uid="{00000000-0005-0000-0000-000053020000}"/>
    <cellStyle name="20% - Accent1 6 3 4 2" xfId="597" xr:uid="{00000000-0005-0000-0000-000054020000}"/>
    <cellStyle name="20% - Accent1 6 3 5" xfId="598" xr:uid="{00000000-0005-0000-0000-000055020000}"/>
    <cellStyle name="20% - Accent1 6 3 6" xfId="599" xr:uid="{00000000-0005-0000-0000-000056020000}"/>
    <cellStyle name="20% - Accent1 6 4" xfId="600" xr:uid="{00000000-0005-0000-0000-000057020000}"/>
    <cellStyle name="20% - Accent1 6 4 2" xfId="601" xr:uid="{00000000-0005-0000-0000-000058020000}"/>
    <cellStyle name="20% - Accent1 6 4 2 2" xfId="602" xr:uid="{00000000-0005-0000-0000-000059020000}"/>
    <cellStyle name="20% - Accent1 6 4 3" xfId="603" xr:uid="{00000000-0005-0000-0000-00005A020000}"/>
    <cellStyle name="20% - Accent1 6 4 3 2" xfId="604" xr:uid="{00000000-0005-0000-0000-00005B020000}"/>
    <cellStyle name="20% - Accent1 6 4 4" xfId="605" xr:uid="{00000000-0005-0000-0000-00005C020000}"/>
    <cellStyle name="20% - Accent1 6 4 5" xfId="606" xr:uid="{00000000-0005-0000-0000-00005D020000}"/>
    <cellStyle name="20% - Accent1 6 5" xfId="607" xr:uid="{00000000-0005-0000-0000-00005E020000}"/>
    <cellStyle name="20% - Accent1 6 5 2" xfId="608" xr:uid="{00000000-0005-0000-0000-00005F020000}"/>
    <cellStyle name="20% - Accent1 6 6" xfId="609" xr:uid="{00000000-0005-0000-0000-000060020000}"/>
    <cellStyle name="20% - Accent1 6 6 2" xfId="610" xr:uid="{00000000-0005-0000-0000-000061020000}"/>
    <cellStyle name="20% - Accent1 6 7" xfId="611" xr:uid="{00000000-0005-0000-0000-000062020000}"/>
    <cellStyle name="20% - Accent1 6 8" xfId="612" xr:uid="{00000000-0005-0000-0000-000063020000}"/>
    <cellStyle name="20% - Accent1 6 9" xfId="613" xr:uid="{00000000-0005-0000-0000-000064020000}"/>
    <cellStyle name="20% - Accent1 7" xfId="614" xr:uid="{00000000-0005-0000-0000-000065020000}"/>
    <cellStyle name="20% - Accent1 7 2" xfId="615" xr:uid="{00000000-0005-0000-0000-000066020000}"/>
    <cellStyle name="20% - Accent1 7 2 2" xfId="616" xr:uid="{00000000-0005-0000-0000-000067020000}"/>
    <cellStyle name="20% - Accent1 7 2 2 2" xfId="617" xr:uid="{00000000-0005-0000-0000-000068020000}"/>
    <cellStyle name="20% - Accent1 7 2 2 2 2" xfId="618" xr:uid="{00000000-0005-0000-0000-000069020000}"/>
    <cellStyle name="20% - Accent1 7 2 2 2 2 2" xfId="619" xr:uid="{00000000-0005-0000-0000-00006A020000}"/>
    <cellStyle name="20% - Accent1 7 2 2 2 3" xfId="620" xr:uid="{00000000-0005-0000-0000-00006B020000}"/>
    <cellStyle name="20% - Accent1 7 2 2 2 3 2" xfId="621" xr:uid="{00000000-0005-0000-0000-00006C020000}"/>
    <cellStyle name="20% - Accent1 7 2 2 2 4" xfId="622" xr:uid="{00000000-0005-0000-0000-00006D020000}"/>
    <cellStyle name="20% - Accent1 7 2 2 2 5" xfId="623" xr:uid="{00000000-0005-0000-0000-00006E020000}"/>
    <cellStyle name="20% - Accent1 7 2 2 3" xfId="624" xr:uid="{00000000-0005-0000-0000-00006F020000}"/>
    <cellStyle name="20% - Accent1 7 2 2 3 2" xfId="625" xr:uid="{00000000-0005-0000-0000-000070020000}"/>
    <cellStyle name="20% - Accent1 7 2 2 4" xfId="626" xr:uid="{00000000-0005-0000-0000-000071020000}"/>
    <cellStyle name="20% - Accent1 7 2 2 4 2" xfId="627" xr:uid="{00000000-0005-0000-0000-000072020000}"/>
    <cellStyle name="20% - Accent1 7 2 2 5" xfId="628" xr:uid="{00000000-0005-0000-0000-000073020000}"/>
    <cellStyle name="20% - Accent1 7 2 2 6" xfId="629" xr:uid="{00000000-0005-0000-0000-000074020000}"/>
    <cellStyle name="20% - Accent1 7 2 3" xfId="630" xr:uid="{00000000-0005-0000-0000-000075020000}"/>
    <cellStyle name="20% - Accent1 7 2 3 2" xfId="631" xr:uid="{00000000-0005-0000-0000-000076020000}"/>
    <cellStyle name="20% - Accent1 7 2 3 2 2" xfId="632" xr:uid="{00000000-0005-0000-0000-000077020000}"/>
    <cellStyle name="20% - Accent1 7 2 3 3" xfId="633" xr:uid="{00000000-0005-0000-0000-000078020000}"/>
    <cellStyle name="20% - Accent1 7 2 3 3 2" xfId="634" xr:uid="{00000000-0005-0000-0000-000079020000}"/>
    <cellStyle name="20% - Accent1 7 2 3 4" xfId="635" xr:uid="{00000000-0005-0000-0000-00007A020000}"/>
    <cellStyle name="20% - Accent1 7 2 3 5" xfId="636" xr:uid="{00000000-0005-0000-0000-00007B020000}"/>
    <cellStyle name="20% - Accent1 7 2 4" xfId="637" xr:uid="{00000000-0005-0000-0000-00007C020000}"/>
    <cellStyle name="20% - Accent1 7 2 4 2" xfId="638" xr:uid="{00000000-0005-0000-0000-00007D020000}"/>
    <cellStyle name="20% - Accent1 7 2 5" xfId="639" xr:uid="{00000000-0005-0000-0000-00007E020000}"/>
    <cellStyle name="20% - Accent1 7 2 5 2" xfId="640" xr:uid="{00000000-0005-0000-0000-00007F020000}"/>
    <cellStyle name="20% - Accent1 7 2 6" xfId="641" xr:uid="{00000000-0005-0000-0000-000080020000}"/>
    <cellStyle name="20% - Accent1 7 2 7" xfId="642" xr:uid="{00000000-0005-0000-0000-000081020000}"/>
    <cellStyle name="20% - Accent1 7 3" xfId="643" xr:uid="{00000000-0005-0000-0000-000082020000}"/>
    <cellStyle name="20% - Accent1 7 3 2" xfId="644" xr:uid="{00000000-0005-0000-0000-000083020000}"/>
    <cellStyle name="20% - Accent1 7 3 2 2" xfId="645" xr:uid="{00000000-0005-0000-0000-000084020000}"/>
    <cellStyle name="20% - Accent1 7 3 2 2 2" xfId="646" xr:uid="{00000000-0005-0000-0000-000085020000}"/>
    <cellStyle name="20% - Accent1 7 3 2 3" xfId="647" xr:uid="{00000000-0005-0000-0000-000086020000}"/>
    <cellStyle name="20% - Accent1 7 3 2 3 2" xfId="648" xr:uid="{00000000-0005-0000-0000-000087020000}"/>
    <cellStyle name="20% - Accent1 7 3 2 4" xfId="649" xr:uid="{00000000-0005-0000-0000-000088020000}"/>
    <cellStyle name="20% - Accent1 7 3 2 5" xfId="650" xr:uid="{00000000-0005-0000-0000-000089020000}"/>
    <cellStyle name="20% - Accent1 7 3 3" xfId="651" xr:uid="{00000000-0005-0000-0000-00008A020000}"/>
    <cellStyle name="20% - Accent1 7 3 3 2" xfId="652" xr:uid="{00000000-0005-0000-0000-00008B020000}"/>
    <cellStyle name="20% - Accent1 7 3 4" xfId="653" xr:uid="{00000000-0005-0000-0000-00008C020000}"/>
    <cellStyle name="20% - Accent1 7 3 4 2" xfId="654" xr:uid="{00000000-0005-0000-0000-00008D020000}"/>
    <cellStyle name="20% - Accent1 7 3 5" xfId="655" xr:uid="{00000000-0005-0000-0000-00008E020000}"/>
    <cellStyle name="20% - Accent1 7 3 6" xfId="656" xr:uid="{00000000-0005-0000-0000-00008F020000}"/>
    <cellStyle name="20% - Accent1 7 4" xfId="657" xr:uid="{00000000-0005-0000-0000-000090020000}"/>
    <cellStyle name="20% - Accent1 7 4 2" xfId="658" xr:uid="{00000000-0005-0000-0000-000091020000}"/>
    <cellStyle name="20% - Accent1 7 4 2 2" xfId="659" xr:uid="{00000000-0005-0000-0000-000092020000}"/>
    <cellStyle name="20% - Accent1 7 4 3" xfId="660" xr:uid="{00000000-0005-0000-0000-000093020000}"/>
    <cellStyle name="20% - Accent1 7 4 3 2" xfId="661" xr:uid="{00000000-0005-0000-0000-000094020000}"/>
    <cellStyle name="20% - Accent1 7 4 4" xfId="662" xr:uid="{00000000-0005-0000-0000-000095020000}"/>
    <cellStyle name="20% - Accent1 7 4 5" xfId="663" xr:uid="{00000000-0005-0000-0000-000096020000}"/>
    <cellStyle name="20% - Accent1 7 5" xfId="664" xr:uid="{00000000-0005-0000-0000-000097020000}"/>
    <cellStyle name="20% - Accent1 7 5 2" xfId="665" xr:uid="{00000000-0005-0000-0000-000098020000}"/>
    <cellStyle name="20% - Accent1 7 6" xfId="666" xr:uid="{00000000-0005-0000-0000-000099020000}"/>
    <cellStyle name="20% - Accent1 7 6 2" xfId="667" xr:uid="{00000000-0005-0000-0000-00009A020000}"/>
    <cellStyle name="20% - Accent1 7 7" xfId="668" xr:uid="{00000000-0005-0000-0000-00009B020000}"/>
    <cellStyle name="20% - Accent1 7 8" xfId="669" xr:uid="{00000000-0005-0000-0000-00009C020000}"/>
    <cellStyle name="20% - Accent1 7 9" xfId="670" xr:uid="{00000000-0005-0000-0000-00009D020000}"/>
    <cellStyle name="20% - Accent1 8" xfId="671" xr:uid="{00000000-0005-0000-0000-00009E020000}"/>
    <cellStyle name="20% - Accent1 8 2" xfId="672" xr:uid="{00000000-0005-0000-0000-00009F020000}"/>
    <cellStyle name="20% - Accent1 8 2 2" xfId="673" xr:uid="{00000000-0005-0000-0000-0000A0020000}"/>
    <cellStyle name="20% - Accent1 8 2 2 2" xfId="674" xr:uid="{00000000-0005-0000-0000-0000A1020000}"/>
    <cellStyle name="20% - Accent1 8 2 2 2 2" xfId="675" xr:uid="{00000000-0005-0000-0000-0000A2020000}"/>
    <cellStyle name="20% - Accent1 8 2 2 2 2 2" xfId="676" xr:uid="{00000000-0005-0000-0000-0000A3020000}"/>
    <cellStyle name="20% - Accent1 8 2 2 2 3" xfId="677" xr:uid="{00000000-0005-0000-0000-0000A4020000}"/>
    <cellStyle name="20% - Accent1 8 2 2 2 3 2" xfId="678" xr:uid="{00000000-0005-0000-0000-0000A5020000}"/>
    <cellStyle name="20% - Accent1 8 2 2 2 4" xfId="679" xr:uid="{00000000-0005-0000-0000-0000A6020000}"/>
    <cellStyle name="20% - Accent1 8 2 2 2 5" xfId="680" xr:uid="{00000000-0005-0000-0000-0000A7020000}"/>
    <cellStyle name="20% - Accent1 8 2 2 3" xfId="681" xr:uid="{00000000-0005-0000-0000-0000A8020000}"/>
    <cellStyle name="20% - Accent1 8 2 2 3 2" xfId="682" xr:uid="{00000000-0005-0000-0000-0000A9020000}"/>
    <cellStyle name="20% - Accent1 8 2 2 4" xfId="683" xr:uid="{00000000-0005-0000-0000-0000AA020000}"/>
    <cellStyle name="20% - Accent1 8 2 2 4 2" xfId="684" xr:uid="{00000000-0005-0000-0000-0000AB020000}"/>
    <cellStyle name="20% - Accent1 8 2 2 5" xfId="685" xr:uid="{00000000-0005-0000-0000-0000AC020000}"/>
    <cellStyle name="20% - Accent1 8 2 2 6" xfId="686" xr:uid="{00000000-0005-0000-0000-0000AD020000}"/>
    <cellStyle name="20% - Accent1 8 2 3" xfId="687" xr:uid="{00000000-0005-0000-0000-0000AE020000}"/>
    <cellStyle name="20% - Accent1 8 2 3 2" xfId="688" xr:uid="{00000000-0005-0000-0000-0000AF020000}"/>
    <cellStyle name="20% - Accent1 8 2 3 2 2" xfId="689" xr:uid="{00000000-0005-0000-0000-0000B0020000}"/>
    <cellStyle name="20% - Accent1 8 2 3 3" xfId="690" xr:uid="{00000000-0005-0000-0000-0000B1020000}"/>
    <cellStyle name="20% - Accent1 8 2 3 3 2" xfId="691" xr:uid="{00000000-0005-0000-0000-0000B2020000}"/>
    <cellStyle name="20% - Accent1 8 2 3 4" xfId="692" xr:uid="{00000000-0005-0000-0000-0000B3020000}"/>
    <cellStyle name="20% - Accent1 8 2 3 5" xfId="693" xr:uid="{00000000-0005-0000-0000-0000B4020000}"/>
    <cellStyle name="20% - Accent1 8 2 4" xfId="694" xr:uid="{00000000-0005-0000-0000-0000B5020000}"/>
    <cellStyle name="20% - Accent1 8 2 4 2" xfId="695" xr:uid="{00000000-0005-0000-0000-0000B6020000}"/>
    <cellStyle name="20% - Accent1 8 2 5" xfId="696" xr:uid="{00000000-0005-0000-0000-0000B7020000}"/>
    <cellStyle name="20% - Accent1 8 2 5 2" xfId="697" xr:uid="{00000000-0005-0000-0000-0000B8020000}"/>
    <cellStyle name="20% - Accent1 8 2 6" xfId="698" xr:uid="{00000000-0005-0000-0000-0000B9020000}"/>
    <cellStyle name="20% - Accent1 8 2 7" xfId="699" xr:uid="{00000000-0005-0000-0000-0000BA020000}"/>
    <cellStyle name="20% - Accent1 8 3" xfId="700" xr:uid="{00000000-0005-0000-0000-0000BB020000}"/>
    <cellStyle name="20% - Accent1 8 3 2" xfId="701" xr:uid="{00000000-0005-0000-0000-0000BC020000}"/>
    <cellStyle name="20% - Accent1 8 3 2 2" xfId="702" xr:uid="{00000000-0005-0000-0000-0000BD020000}"/>
    <cellStyle name="20% - Accent1 8 3 2 2 2" xfId="703" xr:uid="{00000000-0005-0000-0000-0000BE020000}"/>
    <cellStyle name="20% - Accent1 8 3 2 3" xfId="704" xr:uid="{00000000-0005-0000-0000-0000BF020000}"/>
    <cellStyle name="20% - Accent1 8 3 2 3 2" xfId="705" xr:uid="{00000000-0005-0000-0000-0000C0020000}"/>
    <cellStyle name="20% - Accent1 8 3 2 4" xfId="706" xr:uid="{00000000-0005-0000-0000-0000C1020000}"/>
    <cellStyle name="20% - Accent1 8 3 2 5" xfId="707" xr:uid="{00000000-0005-0000-0000-0000C2020000}"/>
    <cellStyle name="20% - Accent1 8 3 3" xfId="708" xr:uid="{00000000-0005-0000-0000-0000C3020000}"/>
    <cellStyle name="20% - Accent1 8 3 3 2" xfId="709" xr:uid="{00000000-0005-0000-0000-0000C4020000}"/>
    <cellStyle name="20% - Accent1 8 3 4" xfId="710" xr:uid="{00000000-0005-0000-0000-0000C5020000}"/>
    <cellStyle name="20% - Accent1 8 3 4 2" xfId="711" xr:uid="{00000000-0005-0000-0000-0000C6020000}"/>
    <cellStyle name="20% - Accent1 8 3 5" xfId="712" xr:uid="{00000000-0005-0000-0000-0000C7020000}"/>
    <cellStyle name="20% - Accent1 8 3 6" xfId="713" xr:uid="{00000000-0005-0000-0000-0000C8020000}"/>
    <cellStyle name="20% - Accent1 8 4" xfId="714" xr:uid="{00000000-0005-0000-0000-0000C9020000}"/>
    <cellStyle name="20% - Accent1 8 4 2" xfId="715" xr:uid="{00000000-0005-0000-0000-0000CA020000}"/>
    <cellStyle name="20% - Accent1 8 4 2 2" xfId="716" xr:uid="{00000000-0005-0000-0000-0000CB020000}"/>
    <cellStyle name="20% - Accent1 8 4 3" xfId="717" xr:uid="{00000000-0005-0000-0000-0000CC020000}"/>
    <cellStyle name="20% - Accent1 8 4 3 2" xfId="718" xr:uid="{00000000-0005-0000-0000-0000CD020000}"/>
    <cellStyle name="20% - Accent1 8 4 4" xfId="719" xr:uid="{00000000-0005-0000-0000-0000CE020000}"/>
    <cellStyle name="20% - Accent1 8 4 5" xfId="720" xr:uid="{00000000-0005-0000-0000-0000CF020000}"/>
    <cellStyle name="20% - Accent1 8 5" xfId="721" xr:uid="{00000000-0005-0000-0000-0000D0020000}"/>
    <cellStyle name="20% - Accent1 8 5 2" xfId="722" xr:uid="{00000000-0005-0000-0000-0000D1020000}"/>
    <cellStyle name="20% - Accent1 8 6" xfId="723" xr:uid="{00000000-0005-0000-0000-0000D2020000}"/>
    <cellStyle name="20% - Accent1 8 6 2" xfId="724" xr:uid="{00000000-0005-0000-0000-0000D3020000}"/>
    <cellStyle name="20% - Accent1 8 7" xfId="725" xr:uid="{00000000-0005-0000-0000-0000D4020000}"/>
    <cellStyle name="20% - Accent1 8 8" xfId="726" xr:uid="{00000000-0005-0000-0000-0000D5020000}"/>
    <cellStyle name="20% - Accent1 9" xfId="727" xr:uid="{00000000-0005-0000-0000-0000D6020000}"/>
    <cellStyle name="20% - Accent1 9 2" xfId="728" xr:uid="{00000000-0005-0000-0000-0000D7020000}"/>
    <cellStyle name="20% - Accent1 9 2 2" xfId="729" xr:uid="{00000000-0005-0000-0000-0000D8020000}"/>
    <cellStyle name="20% - Accent1 9 2 2 2" xfId="730" xr:uid="{00000000-0005-0000-0000-0000D9020000}"/>
    <cellStyle name="20% - Accent1 9 2 2 2 2" xfId="731" xr:uid="{00000000-0005-0000-0000-0000DA020000}"/>
    <cellStyle name="20% - Accent1 9 2 2 2 2 2" xfId="732" xr:uid="{00000000-0005-0000-0000-0000DB020000}"/>
    <cellStyle name="20% - Accent1 9 2 2 2 3" xfId="733" xr:uid="{00000000-0005-0000-0000-0000DC020000}"/>
    <cellStyle name="20% - Accent1 9 2 2 2 3 2" xfId="734" xr:uid="{00000000-0005-0000-0000-0000DD020000}"/>
    <cellStyle name="20% - Accent1 9 2 2 2 4" xfId="735" xr:uid="{00000000-0005-0000-0000-0000DE020000}"/>
    <cellStyle name="20% - Accent1 9 2 2 2 5" xfId="736" xr:uid="{00000000-0005-0000-0000-0000DF020000}"/>
    <cellStyle name="20% - Accent1 9 2 2 3" xfId="737" xr:uid="{00000000-0005-0000-0000-0000E0020000}"/>
    <cellStyle name="20% - Accent1 9 2 2 3 2" xfId="738" xr:uid="{00000000-0005-0000-0000-0000E1020000}"/>
    <cellStyle name="20% - Accent1 9 2 2 4" xfId="739" xr:uid="{00000000-0005-0000-0000-0000E2020000}"/>
    <cellStyle name="20% - Accent1 9 2 2 4 2" xfId="740" xr:uid="{00000000-0005-0000-0000-0000E3020000}"/>
    <cellStyle name="20% - Accent1 9 2 2 5" xfId="741" xr:uid="{00000000-0005-0000-0000-0000E4020000}"/>
    <cellStyle name="20% - Accent1 9 2 2 6" xfId="742" xr:uid="{00000000-0005-0000-0000-0000E5020000}"/>
    <cellStyle name="20% - Accent1 9 2 3" xfId="743" xr:uid="{00000000-0005-0000-0000-0000E6020000}"/>
    <cellStyle name="20% - Accent1 9 2 3 2" xfId="744" xr:uid="{00000000-0005-0000-0000-0000E7020000}"/>
    <cellStyle name="20% - Accent1 9 2 3 2 2" xfId="745" xr:uid="{00000000-0005-0000-0000-0000E8020000}"/>
    <cellStyle name="20% - Accent1 9 2 3 3" xfId="746" xr:uid="{00000000-0005-0000-0000-0000E9020000}"/>
    <cellStyle name="20% - Accent1 9 2 3 3 2" xfId="747" xr:uid="{00000000-0005-0000-0000-0000EA020000}"/>
    <cellStyle name="20% - Accent1 9 2 3 4" xfId="748" xr:uid="{00000000-0005-0000-0000-0000EB020000}"/>
    <cellStyle name="20% - Accent1 9 2 3 5" xfId="749" xr:uid="{00000000-0005-0000-0000-0000EC020000}"/>
    <cellStyle name="20% - Accent1 9 2 4" xfId="750" xr:uid="{00000000-0005-0000-0000-0000ED020000}"/>
    <cellStyle name="20% - Accent1 9 2 4 2" xfId="751" xr:uid="{00000000-0005-0000-0000-0000EE020000}"/>
    <cellStyle name="20% - Accent1 9 2 5" xfId="752" xr:uid="{00000000-0005-0000-0000-0000EF020000}"/>
    <cellStyle name="20% - Accent1 9 2 5 2" xfId="753" xr:uid="{00000000-0005-0000-0000-0000F0020000}"/>
    <cellStyle name="20% - Accent1 9 2 6" xfId="754" xr:uid="{00000000-0005-0000-0000-0000F1020000}"/>
    <cellStyle name="20% - Accent1 9 2 7" xfId="755" xr:uid="{00000000-0005-0000-0000-0000F2020000}"/>
    <cellStyle name="20% - Accent1 9 3" xfId="756" xr:uid="{00000000-0005-0000-0000-0000F3020000}"/>
    <cellStyle name="20% - Accent1 9 3 2" xfId="757" xr:uid="{00000000-0005-0000-0000-0000F4020000}"/>
    <cellStyle name="20% - Accent1 9 3 2 2" xfId="758" xr:uid="{00000000-0005-0000-0000-0000F5020000}"/>
    <cellStyle name="20% - Accent1 9 3 2 2 2" xfId="759" xr:uid="{00000000-0005-0000-0000-0000F6020000}"/>
    <cellStyle name="20% - Accent1 9 3 2 3" xfId="760" xr:uid="{00000000-0005-0000-0000-0000F7020000}"/>
    <cellStyle name="20% - Accent1 9 3 2 3 2" xfId="761" xr:uid="{00000000-0005-0000-0000-0000F8020000}"/>
    <cellStyle name="20% - Accent1 9 3 2 4" xfId="762" xr:uid="{00000000-0005-0000-0000-0000F9020000}"/>
    <cellStyle name="20% - Accent1 9 3 2 5" xfId="763" xr:uid="{00000000-0005-0000-0000-0000FA020000}"/>
    <cellStyle name="20% - Accent1 9 3 3" xfId="764" xr:uid="{00000000-0005-0000-0000-0000FB020000}"/>
    <cellStyle name="20% - Accent1 9 3 3 2" xfId="765" xr:uid="{00000000-0005-0000-0000-0000FC020000}"/>
    <cellStyle name="20% - Accent1 9 3 4" xfId="766" xr:uid="{00000000-0005-0000-0000-0000FD020000}"/>
    <cellStyle name="20% - Accent1 9 3 4 2" xfId="767" xr:uid="{00000000-0005-0000-0000-0000FE020000}"/>
    <cellStyle name="20% - Accent1 9 3 5" xfId="768" xr:uid="{00000000-0005-0000-0000-0000FF020000}"/>
    <cellStyle name="20% - Accent1 9 3 6" xfId="769" xr:uid="{00000000-0005-0000-0000-000000030000}"/>
    <cellStyle name="20% - Accent1 9 4" xfId="770" xr:uid="{00000000-0005-0000-0000-000001030000}"/>
    <cellStyle name="20% - Accent1 9 4 2" xfId="771" xr:uid="{00000000-0005-0000-0000-000002030000}"/>
    <cellStyle name="20% - Accent1 9 4 2 2" xfId="772" xr:uid="{00000000-0005-0000-0000-000003030000}"/>
    <cellStyle name="20% - Accent1 9 4 3" xfId="773" xr:uid="{00000000-0005-0000-0000-000004030000}"/>
    <cellStyle name="20% - Accent1 9 4 3 2" xfId="774" xr:uid="{00000000-0005-0000-0000-000005030000}"/>
    <cellStyle name="20% - Accent1 9 4 4" xfId="775" xr:uid="{00000000-0005-0000-0000-000006030000}"/>
    <cellStyle name="20% - Accent1 9 4 5" xfId="776" xr:uid="{00000000-0005-0000-0000-000007030000}"/>
    <cellStyle name="20% - Accent1 9 5" xfId="777" xr:uid="{00000000-0005-0000-0000-000008030000}"/>
    <cellStyle name="20% - Accent1 9 5 2" xfId="778" xr:uid="{00000000-0005-0000-0000-000009030000}"/>
    <cellStyle name="20% - Accent1 9 6" xfId="779" xr:uid="{00000000-0005-0000-0000-00000A030000}"/>
    <cellStyle name="20% - Accent1 9 6 2" xfId="780" xr:uid="{00000000-0005-0000-0000-00000B030000}"/>
    <cellStyle name="20% - Accent1 9 7" xfId="781" xr:uid="{00000000-0005-0000-0000-00000C030000}"/>
    <cellStyle name="20% - Accent1 9 8" xfId="782" xr:uid="{00000000-0005-0000-0000-00000D030000}"/>
    <cellStyle name="20% - Accent2 10" xfId="783" xr:uid="{00000000-0005-0000-0000-00000E030000}"/>
    <cellStyle name="20% - Accent2 10 2" xfId="784" xr:uid="{00000000-0005-0000-0000-00000F030000}"/>
    <cellStyle name="20% - Accent2 10 2 2" xfId="785" xr:uid="{00000000-0005-0000-0000-000010030000}"/>
    <cellStyle name="20% - Accent2 10 2 2 2" xfId="786" xr:uid="{00000000-0005-0000-0000-000011030000}"/>
    <cellStyle name="20% - Accent2 10 2 2 2 2" xfId="787" xr:uid="{00000000-0005-0000-0000-000012030000}"/>
    <cellStyle name="20% - Accent2 10 2 2 2 2 2" xfId="788" xr:uid="{00000000-0005-0000-0000-000013030000}"/>
    <cellStyle name="20% - Accent2 10 2 2 2 3" xfId="789" xr:uid="{00000000-0005-0000-0000-000014030000}"/>
    <cellStyle name="20% - Accent2 10 2 2 2 3 2" xfId="790" xr:uid="{00000000-0005-0000-0000-000015030000}"/>
    <cellStyle name="20% - Accent2 10 2 2 2 4" xfId="791" xr:uid="{00000000-0005-0000-0000-000016030000}"/>
    <cellStyle name="20% - Accent2 10 2 2 2 5" xfId="792" xr:uid="{00000000-0005-0000-0000-000017030000}"/>
    <cellStyle name="20% - Accent2 10 2 2 3" xfId="793" xr:uid="{00000000-0005-0000-0000-000018030000}"/>
    <cellStyle name="20% - Accent2 10 2 2 3 2" xfId="794" xr:uid="{00000000-0005-0000-0000-000019030000}"/>
    <cellStyle name="20% - Accent2 10 2 2 4" xfId="795" xr:uid="{00000000-0005-0000-0000-00001A030000}"/>
    <cellStyle name="20% - Accent2 10 2 2 4 2" xfId="796" xr:uid="{00000000-0005-0000-0000-00001B030000}"/>
    <cellStyle name="20% - Accent2 10 2 2 5" xfId="797" xr:uid="{00000000-0005-0000-0000-00001C030000}"/>
    <cellStyle name="20% - Accent2 10 2 2 6" xfId="798" xr:uid="{00000000-0005-0000-0000-00001D030000}"/>
    <cellStyle name="20% - Accent2 10 2 3" xfId="799" xr:uid="{00000000-0005-0000-0000-00001E030000}"/>
    <cellStyle name="20% - Accent2 10 2 3 2" xfId="800" xr:uid="{00000000-0005-0000-0000-00001F030000}"/>
    <cellStyle name="20% - Accent2 10 2 3 2 2" xfId="801" xr:uid="{00000000-0005-0000-0000-000020030000}"/>
    <cellStyle name="20% - Accent2 10 2 3 3" xfId="802" xr:uid="{00000000-0005-0000-0000-000021030000}"/>
    <cellStyle name="20% - Accent2 10 2 3 3 2" xfId="803" xr:uid="{00000000-0005-0000-0000-000022030000}"/>
    <cellStyle name="20% - Accent2 10 2 3 4" xfId="804" xr:uid="{00000000-0005-0000-0000-000023030000}"/>
    <cellStyle name="20% - Accent2 10 2 3 5" xfId="805" xr:uid="{00000000-0005-0000-0000-000024030000}"/>
    <cellStyle name="20% - Accent2 10 2 4" xfId="806" xr:uid="{00000000-0005-0000-0000-000025030000}"/>
    <cellStyle name="20% - Accent2 10 2 4 2" xfId="807" xr:uid="{00000000-0005-0000-0000-000026030000}"/>
    <cellStyle name="20% - Accent2 10 2 5" xfId="808" xr:uid="{00000000-0005-0000-0000-000027030000}"/>
    <cellStyle name="20% - Accent2 10 2 5 2" xfId="809" xr:uid="{00000000-0005-0000-0000-000028030000}"/>
    <cellStyle name="20% - Accent2 10 2 6" xfId="810" xr:uid="{00000000-0005-0000-0000-000029030000}"/>
    <cellStyle name="20% - Accent2 10 2 7" xfId="811" xr:uid="{00000000-0005-0000-0000-00002A030000}"/>
    <cellStyle name="20% - Accent2 10 3" xfId="812" xr:uid="{00000000-0005-0000-0000-00002B030000}"/>
    <cellStyle name="20% - Accent2 10 3 2" xfId="813" xr:uid="{00000000-0005-0000-0000-00002C030000}"/>
    <cellStyle name="20% - Accent2 10 3 2 2" xfId="814" xr:uid="{00000000-0005-0000-0000-00002D030000}"/>
    <cellStyle name="20% - Accent2 10 3 2 2 2" xfId="815" xr:uid="{00000000-0005-0000-0000-00002E030000}"/>
    <cellStyle name="20% - Accent2 10 3 2 3" xfId="816" xr:uid="{00000000-0005-0000-0000-00002F030000}"/>
    <cellStyle name="20% - Accent2 10 3 2 3 2" xfId="817" xr:uid="{00000000-0005-0000-0000-000030030000}"/>
    <cellStyle name="20% - Accent2 10 3 2 4" xfId="818" xr:uid="{00000000-0005-0000-0000-000031030000}"/>
    <cellStyle name="20% - Accent2 10 3 2 5" xfId="819" xr:uid="{00000000-0005-0000-0000-000032030000}"/>
    <cellStyle name="20% - Accent2 10 3 3" xfId="820" xr:uid="{00000000-0005-0000-0000-000033030000}"/>
    <cellStyle name="20% - Accent2 10 3 3 2" xfId="821" xr:uid="{00000000-0005-0000-0000-000034030000}"/>
    <cellStyle name="20% - Accent2 10 3 4" xfId="822" xr:uid="{00000000-0005-0000-0000-000035030000}"/>
    <cellStyle name="20% - Accent2 10 3 4 2" xfId="823" xr:uid="{00000000-0005-0000-0000-000036030000}"/>
    <cellStyle name="20% - Accent2 10 3 5" xfId="824" xr:uid="{00000000-0005-0000-0000-000037030000}"/>
    <cellStyle name="20% - Accent2 10 3 6" xfId="825" xr:uid="{00000000-0005-0000-0000-000038030000}"/>
    <cellStyle name="20% - Accent2 10 4" xfId="826" xr:uid="{00000000-0005-0000-0000-000039030000}"/>
    <cellStyle name="20% - Accent2 10 4 2" xfId="827" xr:uid="{00000000-0005-0000-0000-00003A030000}"/>
    <cellStyle name="20% - Accent2 10 4 2 2" xfId="828" xr:uid="{00000000-0005-0000-0000-00003B030000}"/>
    <cellStyle name="20% - Accent2 10 4 3" xfId="829" xr:uid="{00000000-0005-0000-0000-00003C030000}"/>
    <cellStyle name="20% - Accent2 10 4 3 2" xfId="830" xr:uid="{00000000-0005-0000-0000-00003D030000}"/>
    <cellStyle name="20% - Accent2 10 4 4" xfId="831" xr:uid="{00000000-0005-0000-0000-00003E030000}"/>
    <cellStyle name="20% - Accent2 10 4 5" xfId="832" xr:uid="{00000000-0005-0000-0000-00003F030000}"/>
    <cellStyle name="20% - Accent2 10 5" xfId="833" xr:uid="{00000000-0005-0000-0000-000040030000}"/>
    <cellStyle name="20% - Accent2 10 5 2" xfId="834" xr:uid="{00000000-0005-0000-0000-000041030000}"/>
    <cellStyle name="20% - Accent2 10 6" xfId="835" xr:uid="{00000000-0005-0000-0000-000042030000}"/>
    <cellStyle name="20% - Accent2 10 6 2" xfId="836" xr:uid="{00000000-0005-0000-0000-000043030000}"/>
    <cellStyle name="20% - Accent2 10 7" xfId="837" xr:uid="{00000000-0005-0000-0000-000044030000}"/>
    <cellStyle name="20% - Accent2 10 8" xfId="838" xr:uid="{00000000-0005-0000-0000-000045030000}"/>
    <cellStyle name="20% - Accent2 11" xfId="839" xr:uid="{00000000-0005-0000-0000-000046030000}"/>
    <cellStyle name="20% - Accent2 11 2" xfId="840" xr:uid="{00000000-0005-0000-0000-000047030000}"/>
    <cellStyle name="20% - Accent2 11 2 2" xfId="841" xr:uid="{00000000-0005-0000-0000-000048030000}"/>
    <cellStyle name="20% - Accent2 11 2 2 2" xfId="842" xr:uid="{00000000-0005-0000-0000-000049030000}"/>
    <cellStyle name="20% - Accent2 11 2 2 2 2" xfId="843" xr:uid="{00000000-0005-0000-0000-00004A030000}"/>
    <cellStyle name="20% - Accent2 11 2 2 3" xfId="844" xr:uid="{00000000-0005-0000-0000-00004B030000}"/>
    <cellStyle name="20% - Accent2 11 2 2 3 2" xfId="845" xr:uid="{00000000-0005-0000-0000-00004C030000}"/>
    <cellStyle name="20% - Accent2 11 2 2 4" xfId="846" xr:uid="{00000000-0005-0000-0000-00004D030000}"/>
    <cellStyle name="20% - Accent2 11 2 2 5" xfId="847" xr:uid="{00000000-0005-0000-0000-00004E030000}"/>
    <cellStyle name="20% - Accent2 11 2 3" xfId="848" xr:uid="{00000000-0005-0000-0000-00004F030000}"/>
    <cellStyle name="20% - Accent2 11 2 3 2" xfId="849" xr:uid="{00000000-0005-0000-0000-000050030000}"/>
    <cellStyle name="20% - Accent2 11 2 4" xfId="850" xr:uid="{00000000-0005-0000-0000-000051030000}"/>
    <cellStyle name="20% - Accent2 11 2 4 2" xfId="851" xr:uid="{00000000-0005-0000-0000-000052030000}"/>
    <cellStyle name="20% - Accent2 11 2 5" xfId="852" xr:uid="{00000000-0005-0000-0000-000053030000}"/>
    <cellStyle name="20% - Accent2 11 2 6" xfId="853" xr:uid="{00000000-0005-0000-0000-000054030000}"/>
    <cellStyle name="20% - Accent2 11 3" xfId="854" xr:uid="{00000000-0005-0000-0000-000055030000}"/>
    <cellStyle name="20% - Accent2 11 3 2" xfId="855" xr:uid="{00000000-0005-0000-0000-000056030000}"/>
    <cellStyle name="20% - Accent2 11 3 2 2" xfId="856" xr:uid="{00000000-0005-0000-0000-000057030000}"/>
    <cellStyle name="20% - Accent2 11 3 3" xfId="857" xr:uid="{00000000-0005-0000-0000-000058030000}"/>
    <cellStyle name="20% - Accent2 11 3 3 2" xfId="858" xr:uid="{00000000-0005-0000-0000-000059030000}"/>
    <cellStyle name="20% - Accent2 11 3 4" xfId="859" xr:uid="{00000000-0005-0000-0000-00005A030000}"/>
    <cellStyle name="20% - Accent2 11 3 5" xfId="860" xr:uid="{00000000-0005-0000-0000-00005B030000}"/>
    <cellStyle name="20% - Accent2 11 4" xfId="861" xr:uid="{00000000-0005-0000-0000-00005C030000}"/>
    <cellStyle name="20% - Accent2 11 4 2" xfId="862" xr:uid="{00000000-0005-0000-0000-00005D030000}"/>
    <cellStyle name="20% - Accent2 11 5" xfId="863" xr:uid="{00000000-0005-0000-0000-00005E030000}"/>
    <cellStyle name="20% - Accent2 11 5 2" xfId="864" xr:uid="{00000000-0005-0000-0000-00005F030000}"/>
    <cellStyle name="20% - Accent2 11 6" xfId="865" xr:uid="{00000000-0005-0000-0000-000060030000}"/>
    <cellStyle name="20% - Accent2 11 7" xfId="866" xr:uid="{00000000-0005-0000-0000-000061030000}"/>
    <cellStyle name="20% - Accent2 12" xfId="867" xr:uid="{00000000-0005-0000-0000-000062030000}"/>
    <cellStyle name="20% - Accent2 12 2" xfId="868" xr:uid="{00000000-0005-0000-0000-000063030000}"/>
    <cellStyle name="20% - Accent2 12 2 2" xfId="869" xr:uid="{00000000-0005-0000-0000-000064030000}"/>
    <cellStyle name="20% - Accent2 12 2 2 2" xfId="870" xr:uid="{00000000-0005-0000-0000-000065030000}"/>
    <cellStyle name="20% - Accent2 12 2 3" xfId="871" xr:uid="{00000000-0005-0000-0000-000066030000}"/>
    <cellStyle name="20% - Accent2 12 2 3 2" xfId="872" xr:uid="{00000000-0005-0000-0000-000067030000}"/>
    <cellStyle name="20% - Accent2 12 2 4" xfId="873" xr:uid="{00000000-0005-0000-0000-000068030000}"/>
    <cellStyle name="20% - Accent2 12 2 5" xfId="874" xr:uid="{00000000-0005-0000-0000-000069030000}"/>
    <cellStyle name="20% - Accent2 12 3" xfId="875" xr:uid="{00000000-0005-0000-0000-00006A030000}"/>
    <cellStyle name="20% - Accent2 12 3 2" xfId="876" xr:uid="{00000000-0005-0000-0000-00006B030000}"/>
    <cellStyle name="20% - Accent2 12 4" xfId="877" xr:uid="{00000000-0005-0000-0000-00006C030000}"/>
    <cellStyle name="20% - Accent2 12 4 2" xfId="878" xr:uid="{00000000-0005-0000-0000-00006D030000}"/>
    <cellStyle name="20% - Accent2 12 5" xfId="879" xr:uid="{00000000-0005-0000-0000-00006E030000}"/>
    <cellStyle name="20% - Accent2 12 6" xfId="880" xr:uid="{00000000-0005-0000-0000-00006F030000}"/>
    <cellStyle name="20% - Accent2 13" xfId="881" xr:uid="{00000000-0005-0000-0000-000070030000}"/>
    <cellStyle name="20% - Accent2 13 2" xfId="882" xr:uid="{00000000-0005-0000-0000-000071030000}"/>
    <cellStyle name="20% - Accent2 13 2 2" xfId="883" xr:uid="{00000000-0005-0000-0000-000072030000}"/>
    <cellStyle name="20% - Accent2 13 2 2 2" xfId="884" xr:uid="{00000000-0005-0000-0000-000073030000}"/>
    <cellStyle name="20% - Accent2 13 2 3" xfId="885" xr:uid="{00000000-0005-0000-0000-000074030000}"/>
    <cellStyle name="20% - Accent2 13 2 3 2" xfId="886" xr:uid="{00000000-0005-0000-0000-000075030000}"/>
    <cellStyle name="20% - Accent2 13 2 4" xfId="887" xr:uid="{00000000-0005-0000-0000-000076030000}"/>
    <cellStyle name="20% - Accent2 13 2 5" xfId="888" xr:uid="{00000000-0005-0000-0000-000077030000}"/>
    <cellStyle name="20% - Accent2 13 3" xfId="889" xr:uid="{00000000-0005-0000-0000-000078030000}"/>
    <cellStyle name="20% - Accent2 13 3 2" xfId="890" xr:uid="{00000000-0005-0000-0000-000079030000}"/>
    <cellStyle name="20% - Accent2 13 4" xfId="891" xr:uid="{00000000-0005-0000-0000-00007A030000}"/>
    <cellStyle name="20% - Accent2 13 4 2" xfId="892" xr:uid="{00000000-0005-0000-0000-00007B030000}"/>
    <cellStyle name="20% - Accent2 13 5" xfId="893" xr:uid="{00000000-0005-0000-0000-00007C030000}"/>
    <cellStyle name="20% - Accent2 13 6" xfId="894" xr:uid="{00000000-0005-0000-0000-00007D030000}"/>
    <cellStyle name="20% - Accent2 14" xfId="895" xr:uid="{00000000-0005-0000-0000-00007E030000}"/>
    <cellStyle name="20% - Accent2 14 2" xfId="896" xr:uid="{00000000-0005-0000-0000-00007F030000}"/>
    <cellStyle name="20% - Accent2 14 2 2" xfId="897" xr:uid="{00000000-0005-0000-0000-000080030000}"/>
    <cellStyle name="20% - Accent2 14 2 2 2" xfId="898" xr:uid="{00000000-0005-0000-0000-000081030000}"/>
    <cellStyle name="20% - Accent2 14 2 3" xfId="899" xr:uid="{00000000-0005-0000-0000-000082030000}"/>
    <cellStyle name="20% - Accent2 14 2 3 2" xfId="900" xr:uid="{00000000-0005-0000-0000-000083030000}"/>
    <cellStyle name="20% - Accent2 14 2 4" xfId="901" xr:uid="{00000000-0005-0000-0000-000084030000}"/>
    <cellStyle name="20% - Accent2 14 2 5" xfId="902" xr:uid="{00000000-0005-0000-0000-000085030000}"/>
    <cellStyle name="20% - Accent2 14 3" xfId="903" xr:uid="{00000000-0005-0000-0000-000086030000}"/>
    <cellStyle name="20% - Accent2 14 3 2" xfId="904" xr:uid="{00000000-0005-0000-0000-000087030000}"/>
    <cellStyle name="20% - Accent2 14 4" xfId="905" xr:uid="{00000000-0005-0000-0000-000088030000}"/>
    <cellStyle name="20% - Accent2 14 4 2" xfId="906" xr:uid="{00000000-0005-0000-0000-000089030000}"/>
    <cellStyle name="20% - Accent2 14 5" xfId="907" xr:uid="{00000000-0005-0000-0000-00008A030000}"/>
    <cellStyle name="20% - Accent2 14 6" xfId="908" xr:uid="{00000000-0005-0000-0000-00008B030000}"/>
    <cellStyle name="20% - Accent2 15" xfId="909" xr:uid="{00000000-0005-0000-0000-00008C030000}"/>
    <cellStyle name="20% - Accent2 15 2" xfId="910" xr:uid="{00000000-0005-0000-0000-00008D030000}"/>
    <cellStyle name="20% - Accent2 15 2 2" xfId="911" xr:uid="{00000000-0005-0000-0000-00008E030000}"/>
    <cellStyle name="20% - Accent2 15 2 2 2" xfId="912" xr:uid="{00000000-0005-0000-0000-00008F030000}"/>
    <cellStyle name="20% - Accent2 15 2 3" xfId="913" xr:uid="{00000000-0005-0000-0000-000090030000}"/>
    <cellStyle name="20% - Accent2 15 2 3 2" xfId="914" xr:uid="{00000000-0005-0000-0000-000091030000}"/>
    <cellStyle name="20% - Accent2 15 2 4" xfId="915" xr:uid="{00000000-0005-0000-0000-000092030000}"/>
    <cellStyle name="20% - Accent2 15 2 5" xfId="916" xr:uid="{00000000-0005-0000-0000-000093030000}"/>
    <cellStyle name="20% - Accent2 15 3" xfId="917" xr:uid="{00000000-0005-0000-0000-000094030000}"/>
    <cellStyle name="20% - Accent2 15 3 2" xfId="918" xr:uid="{00000000-0005-0000-0000-000095030000}"/>
    <cellStyle name="20% - Accent2 15 4" xfId="919" xr:uid="{00000000-0005-0000-0000-000096030000}"/>
    <cellStyle name="20% - Accent2 15 4 2" xfId="920" xr:uid="{00000000-0005-0000-0000-000097030000}"/>
    <cellStyle name="20% - Accent2 15 5" xfId="921" xr:uid="{00000000-0005-0000-0000-000098030000}"/>
    <cellStyle name="20% - Accent2 15 6" xfId="922" xr:uid="{00000000-0005-0000-0000-000099030000}"/>
    <cellStyle name="20% - Accent2 16" xfId="923" xr:uid="{00000000-0005-0000-0000-00009A030000}"/>
    <cellStyle name="20% - Accent2 16 2" xfId="924" xr:uid="{00000000-0005-0000-0000-00009B030000}"/>
    <cellStyle name="20% - Accent2 16 2 2" xfId="925" xr:uid="{00000000-0005-0000-0000-00009C030000}"/>
    <cellStyle name="20% - Accent2 16 2 3" xfId="926" xr:uid="{00000000-0005-0000-0000-00009D030000}"/>
    <cellStyle name="20% - Accent2 16 3" xfId="927" xr:uid="{00000000-0005-0000-0000-00009E030000}"/>
    <cellStyle name="20% - Accent2 16 4" xfId="928" xr:uid="{00000000-0005-0000-0000-00009F030000}"/>
    <cellStyle name="20% - Accent2 17" xfId="929" xr:uid="{00000000-0005-0000-0000-0000A0030000}"/>
    <cellStyle name="20% - Accent2 17 2" xfId="930" xr:uid="{00000000-0005-0000-0000-0000A1030000}"/>
    <cellStyle name="20% - Accent2 17 2 2" xfId="931" xr:uid="{00000000-0005-0000-0000-0000A2030000}"/>
    <cellStyle name="20% - Accent2 17 2 3" xfId="932" xr:uid="{00000000-0005-0000-0000-0000A3030000}"/>
    <cellStyle name="20% - Accent2 17 3" xfId="933" xr:uid="{00000000-0005-0000-0000-0000A4030000}"/>
    <cellStyle name="20% - Accent2 17 4" xfId="934" xr:uid="{00000000-0005-0000-0000-0000A5030000}"/>
    <cellStyle name="20% - Accent2 18" xfId="935" xr:uid="{00000000-0005-0000-0000-0000A6030000}"/>
    <cellStyle name="20% - Accent2 18 2" xfId="936" xr:uid="{00000000-0005-0000-0000-0000A7030000}"/>
    <cellStyle name="20% - Accent2 18 2 2" xfId="937" xr:uid="{00000000-0005-0000-0000-0000A8030000}"/>
    <cellStyle name="20% - Accent2 18 2 3" xfId="938" xr:uid="{00000000-0005-0000-0000-0000A9030000}"/>
    <cellStyle name="20% - Accent2 18 3" xfId="939" xr:uid="{00000000-0005-0000-0000-0000AA030000}"/>
    <cellStyle name="20% - Accent2 18 4" xfId="940" xr:uid="{00000000-0005-0000-0000-0000AB030000}"/>
    <cellStyle name="20% - Accent2 19" xfId="941" xr:uid="{00000000-0005-0000-0000-0000AC030000}"/>
    <cellStyle name="20% - Accent2 19 2" xfId="942" xr:uid="{00000000-0005-0000-0000-0000AD030000}"/>
    <cellStyle name="20% - Accent2 19 2 2" xfId="943" xr:uid="{00000000-0005-0000-0000-0000AE030000}"/>
    <cellStyle name="20% - Accent2 19 2 3" xfId="944" xr:uid="{00000000-0005-0000-0000-0000AF030000}"/>
    <cellStyle name="20% - Accent2 19 3" xfId="945" xr:uid="{00000000-0005-0000-0000-0000B0030000}"/>
    <cellStyle name="20% - Accent2 19 4" xfId="946" xr:uid="{00000000-0005-0000-0000-0000B1030000}"/>
    <cellStyle name="20% - Accent2 2" xfId="947" xr:uid="{00000000-0005-0000-0000-0000B2030000}"/>
    <cellStyle name="20% - Accent2 2 2" xfId="948" xr:uid="{00000000-0005-0000-0000-0000B3030000}"/>
    <cellStyle name="20% - Accent2 2 2 2" xfId="949" xr:uid="{00000000-0005-0000-0000-0000B4030000}"/>
    <cellStyle name="20% - Accent2 2 2 3" xfId="950" xr:uid="{00000000-0005-0000-0000-0000B5030000}"/>
    <cellStyle name="20% - Accent2 2 2 4" xfId="951" xr:uid="{00000000-0005-0000-0000-0000B6030000}"/>
    <cellStyle name="20% - Accent2 2 2 5" xfId="952" xr:uid="{00000000-0005-0000-0000-0000B7030000}"/>
    <cellStyle name="20% - Accent2 2 3" xfId="953" xr:uid="{00000000-0005-0000-0000-0000B8030000}"/>
    <cellStyle name="20% - Accent2 2 3 2" xfId="954" xr:uid="{00000000-0005-0000-0000-0000B9030000}"/>
    <cellStyle name="20% - Accent2 2 4" xfId="955" xr:uid="{00000000-0005-0000-0000-0000BA030000}"/>
    <cellStyle name="20% - Accent2 2 4 2" xfId="956" xr:uid="{00000000-0005-0000-0000-0000BB030000}"/>
    <cellStyle name="20% - Accent2 2 4 2 2" xfId="957" xr:uid="{00000000-0005-0000-0000-0000BC030000}"/>
    <cellStyle name="20% - Accent2 2 4 3" xfId="958" xr:uid="{00000000-0005-0000-0000-0000BD030000}"/>
    <cellStyle name="20% - Accent2 2 4 4" xfId="959" xr:uid="{00000000-0005-0000-0000-0000BE030000}"/>
    <cellStyle name="20% - Accent2 2 5" xfId="960" xr:uid="{00000000-0005-0000-0000-0000BF030000}"/>
    <cellStyle name="20% - Accent2 2 5 2" xfId="961" xr:uid="{00000000-0005-0000-0000-0000C0030000}"/>
    <cellStyle name="20% - Accent2 2 5 3" xfId="962" xr:uid="{00000000-0005-0000-0000-0000C1030000}"/>
    <cellStyle name="20% - Accent2 2 6" xfId="963" xr:uid="{00000000-0005-0000-0000-0000C2030000}"/>
    <cellStyle name="20% - Accent2 2 7" xfId="964" xr:uid="{00000000-0005-0000-0000-0000C3030000}"/>
    <cellStyle name="20% - Accent2 20" xfId="965" xr:uid="{00000000-0005-0000-0000-0000C4030000}"/>
    <cellStyle name="20% - Accent2 20 2" xfId="966" xr:uid="{00000000-0005-0000-0000-0000C5030000}"/>
    <cellStyle name="20% - Accent2 20 3" xfId="967" xr:uid="{00000000-0005-0000-0000-0000C6030000}"/>
    <cellStyle name="20% - Accent2 21" xfId="968" xr:uid="{00000000-0005-0000-0000-0000C7030000}"/>
    <cellStyle name="20% - Accent2 21 2" xfId="969" xr:uid="{00000000-0005-0000-0000-0000C8030000}"/>
    <cellStyle name="20% - Accent2 22" xfId="970" xr:uid="{00000000-0005-0000-0000-0000C9030000}"/>
    <cellStyle name="20% - Accent2 23" xfId="971" xr:uid="{00000000-0005-0000-0000-0000CA030000}"/>
    <cellStyle name="20% - Accent2 24" xfId="972" xr:uid="{00000000-0005-0000-0000-0000CB030000}"/>
    <cellStyle name="20% - Accent2 3" xfId="973" xr:uid="{00000000-0005-0000-0000-0000CC030000}"/>
    <cellStyle name="20% - Accent2 3 10" xfId="974" xr:uid="{00000000-0005-0000-0000-0000CD030000}"/>
    <cellStyle name="20% - Accent2 3 11" xfId="975" xr:uid="{00000000-0005-0000-0000-0000CE030000}"/>
    <cellStyle name="20% - Accent2 3 2" xfId="976" xr:uid="{00000000-0005-0000-0000-0000CF030000}"/>
    <cellStyle name="20% - Accent2 3 2 2" xfId="977" xr:uid="{00000000-0005-0000-0000-0000D0030000}"/>
    <cellStyle name="20% - Accent2 3 2 2 2" xfId="978" xr:uid="{00000000-0005-0000-0000-0000D1030000}"/>
    <cellStyle name="20% - Accent2 3 2 2 2 2" xfId="979" xr:uid="{00000000-0005-0000-0000-0000D2030000}"/>
    <cellStyle name="20% - Accent2 3 2 2 2 2 2" xfId="980" xr:uid="{00000000-0005-0000-0000-0000D3030000}"/>
    <cellStyle name="20% - Accent2 3 2 2 2 2 2 2" xfId="981" xr:uid="{00000000-0005-0000-0000-0000D4030000}"/>
    <cellStyle name="20% - Accent2 3 2 2 2 2 3" xfId="982" xr:uid="{00000000-0005-0000-0000-0000D5030000}"/>
    <cellStyle name="20% - Accent2 3 2 2 2 2 3 2" xfId="983" xr:uid="{00000000-0005-0000-0000-0000D6030000}"/>
    <cellStyle name="20% - Accent2 3 2 2 2 2 4" xfId="984" xr:uid="{00000000-0005-0000-0000-0000D7030000}"/>
    <cellStyle name="20% - Accent2 3 2 2 2 2 5" xfId="985" xr:uid="{00000000-0005-0000-0000-0000D8030000}"/>
    <cellStyle name="20% - Accent2 3 2 2 2 3" xfId="986" xr:uid="{00000000-0005-0000-0000-0000D9030000}"/>
    <cellStyle name="20% - Accent2 3 2 2 2 3 2" xfId="987" xr:uid="{00000000-0005-0000-0000-0000DA030000}"/>
    <cellStyle name="20% - Accent2 3 2 2 2 4" xfId="988" xr:uid="{00000000-0005-0000-0000-0000DB030000}"/>
    <cellStyle name="20% - Accent2 3 2 2 2 4 2" xfId="989" xr:uid="{00000000-0005-0000-0000-0000DC030000}"/>
    <cellStyle name="20% - Accent2 3 2 2 2 5" xfId="990" xr:uid="{00000000-0005-0000-0000-0000DD030000}"/>
    <cellStyle name="20% - Accent2 3 2 2 2 6" xfId="991" xr:uid="{00000000-0005-0000-0000-0000DE030000}"/>
    <cellStyle name="20% - Accent2 3 2 2 3" xfId="992" xr:uid="{00000000-0005-0000-0000-0000DF030000}"/>
    <cellStyle name="20% - Accent2 3 2 2 3 2" xfId="993" xr:uid="{00000000-0005-0000-0000-0000E0030000}"/>
    <cellStyle name="20% - Accent2 3 2 2 3 2 2" xfId="994" xr:uid="{00000000-0005-0000-0000-0000E1030000}"/>
    <cellStyle name="20% - Accent2 3 2 2 3 3" xfId="995" xr:uid="{00000000-0005-0000-0000-0000E2030000}"/>
    <cellStyle name="20% - Accent2 3 2 2 3 3 2" xfId="996" xr:uid="{00000000-0005-0000-0000-0000E3030000}"/>
    <cellStyle name="20% - Accent2 3 2 2 3 4" xfId="997" xr:uid="{00000000-0005-0000-0000-0000E4030000}"/>
    <cellStyle name="20% - Accent2 3 2 2 3 5" xfId="998" xr:uid="{00000000-0005-0000-0000-0000E5030000}"/>
    <cellStyle name="20% - Accent2 3 2 2 4" xfId="999" xr:uid="{00000000-0005-0000-0000-0000E6030000}"/>
    <cellStyle name="20% - Accent2 3 2 2 4 2" xfId="1000" xr:uid="{00000000-0005-0000-0000-0000E7030000}"/>
    <cellStyle name="20% - Accent2 3 2 2 5" xfId="1001" xr:uid="{00000000-0005-0000-0000-0000E8030000}"/>
    <cellStyle name="20% - Accent2 3 2 2 5 2" xfId="1002" xr:uid="{00000000-0005-0000-0000-0000E9030000}"/>
    <cellStyle name="20% - Accent2 3 2 2 6" xfId="1003" xr:uid="{00000000-0005-0000-0000-0000EA030000}"/>
    <cellStyle name="20% - Accent2 3 2 2 7" xfId="1004" xr:uid="{00000000-0005-0000-0000-0000EB030000}"/>
    <cellStyle name="20% - Accent2 3 2 2 8" xfId="1005" xr:uid="{00000000-0005-0000-0000-0000EC030000}"/>
    <cellStyle name="20% - Accent2 3 2 3" xfId="1006" xr:uid="{00000000-0005-0000-0000-0000ED030000}"/>
    <cellStyle name="20% - Accent2 3 2 3 2" xfId="1007" xr:uid="{00000000-0005-0000-0000-0000EE030000}"/>
    <cellStyle name="20% - Accent2 3 2 3 2 2" xfId="1008" xr:uid="{00000000-0005-0000-0000-0000EF030000}"/>
    <cellStyle name="20% - Accent2 3 2 3 2 2 2" xfId="1009" xr:uid="{00000000-0005-0000-0000-0000F0030000}"/>
    <cellStyle name="20% - Accent2 3 2 3 2 3" xfId="1010" xr:uid="{00000000-0005-0000-0000-0000F1030000}"/>
    <cellStyle name="20% - Accent2 3 2 3 2 3 2" xfId="1011" xr:uid="{00000000-0005-0000-0000-0000F2030000}"/>
    <cellStyle name="20% - Accent2 3 2 3 2 4" xfId="1012" xr:uid="{00000000-0005-0000-0000-0000F3030000}"/>
    <cellStyle name="20% - Accent2 3 2 3 2 5" xfId="1013" xr:uid="{00000000-0005-0000-0000-0000F4030000}"/>
    <cellStyle name="20% - Accent2 3 2 3 3" xfId="1014" xr:uid="{00000000-0005-0000-0000-0000F5030000}"/>
    <cellStyle name="20% - Accent2 3 2 3 3 2" xfId="1015" xr:uid="{00000000-0005-0000-0000-0000F6030000}"/>
    <cellStyle name="20% - Accent2 3 2 3 4" xfId="1016" xr:uid="{00000000-0005-0000-0000-0000F7030000}"/>
    <cellStyle name="20% - Accent2 3 2 3 4 2" xfId="1017" xr:uid="{00000000-0005-0000-0000-0000F8030000}"/>
    <cellStyle name="20% - Accent2 3 2 3 5" xfId="1018" xr:uid="{00000000-0005-0000-0000-0000F9030000}"/>
    <cellStyle name="20% - Accent2 3 2 3 6" xfId="1019" xr:uid="{00000000-0005-0000-0000-0000FA030000}"/>
    <cellStyle name="20% - Accent2 3 2 3 7" xfId="1020" xr:uid="{00000000-0005-0000-0000-0000FB030000}"/>
    <cellStyle name="20% - Accent2 3 2 4" xfId="1021" xr:uid="{00000000-0005-0000-0000-0000FC030000}"/>
    <cellStyle name="20% - Accent2 3 2 4 2" xfId="1022" xr:uid="{00000000-0005-0000-0000-0000FD030000}"/>
    <cellStyle name="20% - Accent2 3 2 4 2 2" xfId="1023" xr:uid="{00000000-0005-0000-0000-0000FE030000}"/>
    <cellStyle name="20% - Accent2 3 2 4 3" xfId="1024" xr:uid="{00000000-0005-0000-0000-0000FF030000}"/>
    <cellStyle name="20% - Accent2 3 2 4 3 2" xfId="1025" xr:uid="{00000000-0005-0000-0000-000000040000}"/>
    <cellStyle name="20% - Accent2 3 2 4 4" xfId="1026" xr:uid="{00000000-0005-0000-0000-000001040000}"/>
    <cellStyle name="20% - Accent2 3 2 4 5" xfId="1027" xr:uid="{00000000-0005-0000-0000-000002040000}"/>
    <cellStyle name="20% - Accent2 3 2 4 6" xfId="1028" xr:uid="{00000000-0005-0000-0000-000003040000}"/>
    <cellStyle name="20% - Accent2 3 2 5" xfId="1029" xr:uid="{00000000-0005-0000-0000-000004040000}"/>
    <cellStyle name="20% - Accent2 3 2 5 2" xfId="1030" xr:uid="{00000000-0005-0000-0000-000005040000}"/>
    <cellStyle name="20% - Accent2 3 2 6" xfId="1031" xr:uid="{00000000-0005-0000-0000-000006040000}"/>
    <cellStyle name="20% - Accent2 3 2 6 2" xfId="1032" xr:uid="{00000000-0005-0000-0000-000007040000}"/>
    <cellStyle name="20% - Accent2 3 2 7" xfId="1033" xr:uid="{00000000-0005-0000-0000-000008040000}"/>
    <cellStyle name="20% - Accent2 3 2 8" xfId="1034" xr:uid="{00000000-0005-0000-0000-000009040000}"/>
    <cellStyle name="20% - Accent2 3 2 9" xfId="1035" xr:uid="{00000000-0005-0000-0000-00000A040000}"/>
    <cellStyle name="20% - Accent2 3 3" xfId="1036" xr:uid="{00000000-0005-0000-0000-00000B040000}"/>
    <cellStyle name="20% - Accent2 3 3 2" xfId="1037" xr:uid="{00000000-0005-0000-0000-00000C040000}"/>
    <cellStyle name="20% - Accent2 3 3 2 2" xfId="1038" xr:uid="{00000000-0005-0000-0000-00000D040000}"/>
    <cellStyle name="20% - Accent2 3 3 2 2 2" xfId="1039" xr:uid="{00000000-0005-0000-0000-00000E040000}"/>
    <cellStyle name="20% - Accent2 3 3 2 2 2 2" xfId="1040" xr:uid="{00000000-0005-0000-0000-00000F040000}"/>
    <cellStyle name="20% - Accent2 3 3 2 2 3" xfId="1041" xr:uid="{00000000-0005-0000-0000-000010040000}"/>
    <cellStyle name="20% - Accent2 3 3 2 2 3 2" xfId="1042" xr:uid="{00000000-0005-0000-0000-000011040000}"/>
    <cellStyle name="20% - Accent2 3 3 2 2 4" xfId="1043" xr:uid="{00000000-0005-0000-0000-000012040000}"/>
    <cellStyle name="20% - Accent2 3 3 2 2 5" xfId="1044" xr:uid="{00000000-0005-0000-0000-000013040000}"/>
    <cellStyle name="20% - Accent2 3 3 2 3" xfId="1045" xr:uid="{00000000-0005-0000-0000-000014040000}"/>
    <cellStyle name="20% - Accent2 3 3 2 3 2" xfId="1046" xr:uid="{00000000-0005-0000-0000-000015040000}"/>
    <cellStyle name="20% - Accent2 3 3 2 4" xfId="1047" xr:uid="{00000000-0005-0000-0000-000016040000}"/>
    <cellStyle name="20% - Accent2 3 3 2 4 2" xfId="1048" xr:uid="{00000000-0005-0000-0000-000017040000}"/>
    <cellStyle name="20% - Accent2 3 3 2 5" xfId="1049" xr:uid="{00000000-0005-0000-0000-000018040000}"/>
    <cellStyle name="20% - Accent2 3 3 2 6" xfId="1050" xr:uid="{00000000-0005-0000-0000-000019040000}"/>
    <cellStyle name="20% - Accent2 3 3 3" xfId="1051" xr:uid="{00000000-0005-0000-0000-00001A040000}"/>
    <cellStyle name="20% - Accent2 3 3 3 2" xfId="1052" xr:uid="{00000000-0005-0000-0000-00001B040000}"/>
    <cellStyle name="20% - Accent2 3 3 3 2 2" xfId="1053" xr:uid="{00000000-0005-0000-0000-00001C040000}"/>
    <cellStyle name="20% - Accent2 3 3 3 3" xfId="1054" xr:uid="{00000000-0005-0000-0000-00001D040000}"/>
    <cellStyle name="20% - Accent2 3 3 3 3 2" xfId="1055" xr:uid="{00000000-0005-0000-0000-00001E040000}"/>
    <cellStyle name="20% - Accent2 3 3 3 4" xfId="1056" xr:uid="{00000000-0005-0000-0000-00001F040000}"/>
    <cellStyle name="20% - Accent2 3 3 3 5" xfId="1057" xr:uid="{00000000-0005-0000-0000-000020040000}"/>
    <cellStyle name="20% - Accent2 3 3 4" xfId="1058" xr:uid="{00000000-0005-0000-0000-000021040000}"/>
    <cellStyle name="20% - Accent2 3 3 4 2" xfId="1059" xr:uid="{00000000-0005-0000-0000-000022040000}"/>
    <cellStyle name="20% - Accent2 3 3 5" xfId="1060" xr:uid="{00000000-0005-0000-0000-000023040000}"/>
    <cellStyle name="20% - Accent2 3 3 5 2" xfId="1061" xr:uid="{00000000-0005-0000-0000-000024040000}"/>
    <cellStyle name="20% - Accent2 3 3 6" xfId="1062" xr:uid="{00000000-0005-0000-0000-000025040000}"/>
    <cellStyle name="20% - Accent2 3 3 7" xfId="1063" xr:uid="{00000000-0005-0000-0000-000026040000}"/>
    <cellStyle name="20% - Accent2 3 3 8" xfId="1064" xr:uid="{00000000-0005-0000-0000-000027040000}"/>
    <cellStyle name="20% - Accent2 3 4" xfId="1065" xr:uid="{00000000-0005-0000-0000-000028040000}"/>
    <cellStyle name="20% - Accent2 3 4 2" xfId="1066" xr:uid="{00000000-0005-0000-0000-000029040000}"/>
    <cellStyle name="20% - Accent2 3 4 2 2" xfId="1067" xr:uid="{00000000-0005-0000-0000-00002A040000}"/>
    <cellStyle name="20% - Accent2 3 4 2 2 2" xfId="1068" xr:uid="{00000000-0005-0000-0000-00002B040000}"/>
    <cellStyle name="20% - Accent2 3 4 2 3" xfId="1069" xr:uid="{00000000-0005-0000-0000-00002C040000}"/>
    <cellStyle name="20% - Accent2 3 4 2 3 2" xfId="1070" xr:uid="{00000000-0005-0000-0000-00002D040000}"/>
    <cellStyle name="20% - Accent2 3 4 2 4" xfId="1071" xr:uid="{00000000-0005-0000-0000-00002E040000}"/>
    <cellStyle name="20% - Accent2 3 4 2 5" xfId="1072" xr:uid="{00000000-0005-0000-0000-00002F040000}"/>
    <cellStyle name="20% - Accent2 3 4 3" xfId="1073" xr:uid="{00000000-0005-0000-0000-000030040000}"/>
    <cellStyle name="20% - Accent2 3 4 3 2" xfId="1074" xr:uid="{00000000-0005-0000-0000-000031040000}"/>
    <cellStyle name="20% - Accent2 3 4 4" xfId="1075" xr:uid="{00000000-0005-0000-0000-000032040000}"/>
    <cellStyle name="20% - Accent2 3 4 4 2" xfId="1076" xr:uid="{00000000-0005-0000-0000-000033040000}"/>
    <cellStyle name="20% - Accent2 3 4 5" xfId="1077" xr:uid="{00000000-0005-0000-0000-000034040000}"/>
    <cellStyle name="20% - Accent2 3 4 6" xfId="1078" xr:uid="{00000000-0005-0000-0000-000035040000}"/>
    <cellStyle name="20% - Accent2 3 4 7" xfId="1079" xr:uid="{00000000-0005-0000-0000-000036040000}"/>
    <cellStyle name="20% - Accent2 3 5" xfId="1080" xr:uid="{00000000-0005-0000-0000-000037040000}"/>
    <cellStyle name="20% - Accent2 3 5 2" xfId="1081" xr:uid="{00000000-0005-0000-0000-000038040000}"/>
    <cellStyle name="20% - Accent2 3 5 2 2" xfId="1082" xr:uid="{00000000-0005-0000-0000-000039040000}"/>
    <cellStyle name="20% - Accent2 3 5 2 2 2" xfId="1083" xr:uid="{00000000-0005-0000-0000-00003A040000}"/>
    <cellStyle name="20% - Accent2 3 5 2 3" xfId="1084" xr:uid="{00000000-0005-0000-0000-00003B040000}"/>
    <cellStyle name="20% - Accent2 3 5 3" xfId="1085" xr:uid="{00000000-0005-0000-0000-00003C040000}"/>
    <cellStyle name="20% - Accent2 3 5 3 2" xfId="1086" xr:uid="{00000000-0005-0000-0000-00003D040000}"/>
    <cellStyle name="20% - Accent2 3 5 4" xfId="1087" xr:uid="{00000000-0005-0000-0000-00003E040000}"/>
    <cellStyle name="20% - Accent2 3 5 4 2" xfId="1088" xr:uid="{00000000-0005-0000-0000-00003F040000}"/>
    <cellStyle name="20% - Accent2 3 5 5" xfId="1089" xr:uid="{00000000-0005-0000-0000-000040040000}"/>
    <cellStyle name="20% - Accent2 3 5 6" xfId="1090" xr:uid="{00000000-0005-0000-0000-000041040000}"/>
    <cellStyle name="20% - Accent2 3 5 7" xfId="1091" xr:uid="{00000000-0005-0000-0000-000042040000}"/>
    <cellStyle name="20% - Accent2 3 6" xfId="1092" xr:uid="{00000000-0005-0000-0000-000043040000}"/>
    <cellStyle name="20% - Accent2 3 6 2" xfId="1093" xr:uid="{00000000-0005-0000-0000-000044040000}"/>
    <cellStyle name="20% - Accent2 3 6 2 2" xfId="1094" xr:uid="{00000000-0005-0000-0000-000045040000}"/>
    <cellStyle name="20% - Accent2 3 6 3" xfId="1095" xr:uid="{00000000-0005-0000-0000-000046040000}"/>
    <cellStyle name="20% - Accent2 3 7" xfId="1096" xr:uid="{00000000-0005-0000-0000-000047040000}"/>
    <cellStyle name="20% - Accent2 3 7 2" xfId="1097" xr:uid="{00000000-0005-0000-0000-000048040000}"/>
    <cellStyle name="20% - Accent2 3 8" xfId="1098" xr:uid="{00000000-0005-0000-0000-000049040000}"/>
    <cellStyle name="20% - Accent2 3 8 2" xfId="1099" xr:uid="{00000000-0005-0000-0000-00004A040000}"/>
    <cellStyle name="20% - Accent2 3 9" xfId="1100" xr:uid="{00000000-0005-0000-0000-00004B040000}"/>
    <cellStyle name="20% - Accent2 4" xfId="1101" xr:uid="{00000000-0005-0000-0000-00004C040000}"/>
    <cellStyle name="20% - Accent2 4 10" xfId="1102" xr:uid="{00000000-0005-0000-0000-00004D040000}"/>
    <cellStyle name="20% - Accent2 4 11" xfId="1103" xr:uid="{00000000-0005-0000-0000-00004E040000}"/>
    <cellStyle name="20% - Accent2 4 2" xfId="1104" xr:uid="{00000000-0005-0000-0000-00004F040000}"/>
    <cellStyle name="20% - Accent2 4 2 2" xfId="1105" xr:uid="{00000000-0005-0000-0000-000050040000}"/>
    <cellStyle name="20% - Accent2 4 2 2 2" xfId="1106" xr:uid="{00000000-0005-0000-0000-000051040000}"/>
    <cellStyle name="20% - Accent2 4 2 2 2 2" xfId="1107" xr:uid="{00000000-0005-0000-0000-000052040000}"/>
    <cellStyle name="20% - Accent2 4 2 2 2 2 2" xfId="1108" xr:uid="{00000000-0005-0000-0000-000053040000}"/>
    <cellStyle name="20% - Accent2 4 2 2 2 2 2 2" xfId="1109" xr:uid="{00000000-0005-0000-0000-000054040000}"/>
    <cellStyle name="20% - Accent2 4 2 2 2 2 3" xfId="1110" xr:uid="{00000000-0005-0000-0000-000055040000}"/>
    <cellStyle name="20% - Accent2 4 2 2 2 2 3 2" xfId="1111" xr:uid="{00000000-0005-0000-0000-000056040000}"/>
    <cellStyle name="20% - Accent2 4 2 2 2 2 4" xfId="1112" xr:uid="{00000000-0005-0000-0000-000057040000}"/>
    <cellStyle name="20% - Accent2 4 2 2 2 2 5" xfId="1113" xr:uid="{00000000-0005-0000-0000-000058040000}"/>
    <cellStyle name="20% - Accent2 4 2 2 2 3" xfId="1114" xr:uid="{00000000-0005-0000-0000-000059040000}"/>
    <cellStyle name="20% - Accent2 4 2 2 2 3 2" xfId="1115" xr:uid="{00000000-0005-0000-0000-00005A040000}"/>
    <cellStyle name="20% - Accent2 4 2 2 2 4" xfId="1116" xr:uid="{00000000-0005-0000-0000-00005B040000}"/>
    <cellStyle name="20% - Accent2 4 2 2 2 4 2" xfId="1117" xr:uid="{00000000-0005-0000-0000-00005C040000}"/>
    <cellStyle name="20% - Accent2 4 2 2 2 5" xfId="1118" xr:uid="{00000000-0005-0000-0000-00005D040000}"/>
    <cellStyle name="20% - Accent2 4 2 2 2 6" xfId="1119" xr:uid="{00000000-0005-0000-0000-00005E040000}"/>
    <cellStyle name="20% - Accent2 4 2 2 3" xfId="1120" xr:uid="{00000000-0005-0000-0000-00005F040000}"/>
    <cellStyle name="20% - Accent2 4 2 2 3 2" xfId="1121" xr:uid="{00000000-0005-0000-0000-000060040000}"/>
    <cellStyle name="20% - Accent2 4 2 2 3 2 2" xfId="1122" xr:uid="{00000000-0005-0000-0000-000061040000}"/>
    <cellStyle name="20% - Accent2 4 2 2 3 3" xfId="1123" xr:uid="{00000000-0005-0000-0000-000062040000}"/>
    <cellStyle name="20% - Accent2 4 2 2 3 3 2" xfId="1124" xr:uid="{00000000-0005-0000-0000-000063040000}"/>
    <cellStyle name="20% - Accent2 4 2 2 3 4" xfId="1125" xr:uid="{00000000-0005-0000-0000-000064040000}"/>
    <cellStyle name="20% - Accent2 4 2 2 3 5" xfId="1126" xr:uid="{00000000-0005-0000-0000-000065040000}"/>
    <cellStyle name="20% - Accent2 4 2 2 4" xfId="1127" xr:uid="{00000000-0005-0000-0000-000066040000}"/>
    <cellStyle name="20% - Accent2 4 2 2 4 2" xfId="1128" xr:uid="{00000000-0005-0000-0000-000067040000}"/>
    <cellStyle name="20% - Accent2 4 2 2 5" xfId="1129" xr:uid="{00000000-0005-0000-0000-000068040000}"/>
    <cellStyle name="20% - Accent2 4 2 2 5 2" xfId="1130" xr:uid="{00000000-0005-0000-0000-000069040000}"/>
    <cellStyle name="20% - Accent2 4 2 2 6" xfId="1131" xr:uid="{00000000-0005-0000-0000-00006A040000}"/>
    <cellStyle name="20% - Accent2 4 2 2 7" xfId="1132" xr:uid="{00000000-0005-0000-0000-00006B040000}"/>
    <cellStyle name="20% - Accent2 4 2 3" xfId="1133" xr:uid="{00000000-0005-0000-0000-00006C040000}"/>
    <cellStyle name="20% - Accent2 4 2 3 2" xfId="1134" xr:uid="{00000000-0005-0000-0000-00006D040000}"/>
    <cellStyle name="20% - Accent2 4 2 3 2 2" xfId="1135" xr:uid="{00000000-0005-0000-0000-00006E040000}"/>
    <cellStyle name="20% - Accent2 4 2 3 2 2 2" xfId="1136" xr:uid="{00000000-0005-0000-0000-00006F040000}"/>
    <cellStyle name="20% - Accent2 4 2 3 2 3" xfId="1137" xr:uid="{00000000-0005-0000-0000-000070040000}"/>
    <cellStyle name="20% - Accent2 4 2 3 2 3 2" xfId="1138" xr:uid="{00000000-0005-0000-0000-000071040000}"/>
    <cellStyle name="20% - Accent2 4 2 3 2 4" xfId="1139" xr:uid="{00000000-0005-0000-0000-000072040000}"/>
    <cellStyle name="20% - Accent2 4 2 3 2 5" xfId="1140" xr:uid="{00000000-0005-0000-0000-000073040000}"/>
    <cellStyle name="20% - Accent2 4 2 3 3" xfId="1141" xr:uid="{00000000-0005-0000-0000-000074040000}"/>
    <cellStyle name="20% - Accent2 4 2 3 3 2" xfId="1142" xr:uid="{00000000-0005-0000-0000-000075040000}"/>
    <cellStyle name="20% - Accent2 4 2 3 4" xfId="1143" xr:uid="{00000000-0005-0000-0000-000076040000}"/>
    <cellStyle name="20% - Accent2 4 2 3 4 2" xfId="1144" xr:uid="{00000000-0005-0000-0000-000077040000}"/>
    <cellStyle name="20% - Accent2 4 2 3 5" xfId="1145" xr:uid="{00000000-0005-0000-0000-000078040000}"/>
    <cellStyle name="20% - Accent2 4 2 3 6" xfId="1146" xr:uid="{00000000-0005-0000-0000-000079040000}"/>
    <cellStyle name="20% - Accent2 4 2 4" xfId="1147" xr:uid="{00000000-0005-0000-0000-00007A040000}"/>
    <cellStyle name="20% - Accent2 4 2 4 2" xfId="1148" xr:uid="{00000000-0005-0000-0000-00007B040000}"/>
    <cellStyle name="20% - Accent2 4 2 4 2 2" xfId="1149" xr:uid="{00000000-0005-0000-0000-00007C040000}"/>
    <cellStyle name="20% - Accent2 4 2 4 3" xfId="1150" xr:uid="{00000000-0005-0000-0000-00007D040000}"/>
    <cellStyle name="20% - Accent2 4 2 4 3 2" xfId="1151" xr:uid="{00000000-0005-0000-0000-00007E040000}"/>
    <cellStyle name="20% - Accent2 4 2 4 4" xfId="1152" xr:uid="{00000000-0005-0000-0000-00007F040000}"/>
    <cellStyle name="20% - Accent2 4 2 4 5" xfId="1153" xr:uid="{00000000-0005-0000-0000-000080040000}"/>
    <cellStyle name="20% - Accent2 4 2 5" xfId="1154" xr:uid="{00000000-0005-0000-0000-000081040000}"/>
    <cellStyle name="20% - Accent2 4 2 5 2" xfId="1155" xr:uid="{00000000-0005-0000-0000-000082040000}"/>
    <cellStyle name="20% - Accent2 4 2 6" xfId="1156" xr:uid="{00000000-0005-0000-0000-000083040000}"/>
    <cellStyle name="20% - Accent2 4 2 6 2" xfId="1157" xr:uid="{00000000-0005-0000-0000-000084040000}"/>
    <cellStyle name="20% - Accent2 4 2 7" xfId="1158" xr:uid="{00000000-0005-0000-0000-000085040000}"/>
    <cellStyle name="20% - Accent2 4 2 8" xfId="1159" xr:uid="{00000000-0005-0000-0000-000086040000}"/>
    <cellStyle name="20% - Accent2 4 2 9" xfId="1160" xr:uid="{00000000-0005-0000-0000-000087040000}"/>
    <cellStyle name="20% - Accent2 4 3" xfId="1161" xr:uid="{00000000-0005-0000-0000-000088040000}"/>
    <cellStyle name="20% - Accent2 4 3 2" xfId="1162" xr:uid="{00000000-0005-0000-0000-000089040000}"/>
    <cellStyle name="20% - Accent2 4 3 2 2" xfId="1163" xr:uid="{00000000-0005-0000-0000-00008A040000}"/>
    <cellStyle name="20% - Accent2 4 3 2 2 2" xfId="1164" xr:uid="{00000000-0005-0000-0000-00008B040000}"/>
    <cellStyle name="20% - Accent2 4 3 2 2 2 2" xfId="1165" xr:uid="{00000000-0005-0000-0000-00008C040000}"/>
    <cellStyle name="20% - Accent2 4 3 2 2 3" xfId="1166" xr:uid="{00000000-0005-0000-0000-00008D040000}"/>
    <cellStyle name="20% - Accent2 4 3 2 2 3 2" xfId="1167" xr:uid="{00000000-0005-0000-0000-00008E040000}"/>
    <cellStyle name="20% - Accent2 4 3 2 2 4" xfId="1168" xr:uid="{00000000-0005-0000-0000-00008F040000}"/>
    <cellStyle name="20% - Accent2 4 3 2 2 5" xfId="1169" xr:uid="{00000000-0005-0000-0000-000090040000}"/>
    <cellStyle name="20% - Accent2 4 3 2 3" xfId="1170" xr:uid="{00000000-0005-0000-0000-000091040000}"/>
    <cellStyle name="20% - Accent2 4 3 2 3 2" xfId="1171" xr:uid="{00000000-0005-0000-0000-000092040000}"/>
    <cellStyle name="20% - Accent2 4 3 2 4" xfId="1172" xr:uid="{00000000-0005-0000-0000-000093040000}"/>
    <cellStyle name="20% - Accent2 4 3 2 4 2" xfId="1173" xr:uid="{00000000-0005-0000-0000-000094040000}"/>
    <cellStyle name="20% - Accent2 4 3 2 5" xfId="1174" xr:uid="{00000000-0005-0000-0000-000095040000}"/>
    <cellStyle name="20% - Accent2 4 3 2 6" xfId="1175" xr:uid="{00000000-0005-0000-0000-000096040000}"/>
    <cellStyle name="20% - Accent2 4 3 3" xfId="1176" xr:uid="{00000000-0005-0000-0000-000097040000}"/>
    <cellStyle name="20% - Accent2 4 3 3 2" xfId="1177" xr:uid="{00000000-0005-0000-0000-000098040000}"/>
    <cellStyle name="20% - Accent2 4 3 3 2 2" xfId="1178" xr:uid="{00000000-0005-0000-0000-000099040000}"/>
    <cellStyle name="20% - Accent2 4 3 3 3" xfId="1179" xr:uid="{00000000-0005-0000-0000-00009A040000}"/>
    <cellStyle name="20% - Accent2 4 3 3 3 2" xfId="1180" xr:uid="{00000000-0005-0000-0000-00009B040000}"/>
    <cellStyle name="20% - Accent2 4 3 3 4" xfId="1181" xr:uid="{00000000-0005-0000-0000-00009C040000}"/>
    <cellStyle name="20% - Accent2 4 3 3 5" xfId="1182" xr:uid="{00000000-0005-0000-0000-00009D040000}"/>
    <cellStyle name="20% - Accent2 4 3 4" xfId="1183" xr:uid="{00000000-0005-0000-0000-00009E040000}"/>
    <cellStyle name="20% - Accent2 4 3 4 2" xfId="1184" xr:uid="{00000000-0005-0000-0000-00009F040000}"/>
    <cellStyle name="20% - Accent2 4 3 5" xfId="1185" xr:uid="{00000000-0005-0000-0000-0000A0040000}"/>
    <cellStyle name="20% - Accent2 4 3 5 2" xfId="1186" xr:uid="{00000000-0005-0000-0000-0000A1040000}"/>
    <cellStyle name="20% - Accent2 4 3 6" xfId="1187" xr:uid="{00000000-0005-0000-0000-0000A2040000}"/>
    <cellStyle name="20% - Accent2 4 3 7" xfId="1188" xr:uid="{00000000-0005-0000-0000-0000A3040000}"/>
    <cellStyle name="20% - Accent2 4 3 8" xfId="1189" xr:uid="{00000000-0005-0000-0000-0000A4040000}"/>
    <cellStyle name="20% - Accent2 4 4" xfId="1190" xr:uid="{00000000-0005-0000-0000-0000A5040000}"/>
    <cellStyle name="20% - Accent2 4 4 2" xfId="1191" xr:uid="{00000000-0005-0000-0000-0000A6040000}"/>
    <cellStyle name="20% - Accent2 4 4 2 2" xfId="1192" xr:uid="{00000000-0005-0000-0000-0000A7040000}"/>
    <cellStyle name="20% - Accent2 4 4 2 2 2" xfId="1193" xr:uid="{00000000-0005-0000-0000-0000A8040000}"/>
    <cellStyle name="20% - Accent2 4 4 2 3" xfId="1194" xr:uid="{00000000-0005-0000-0000-0000A9040000}"/>
    <cellStyle name="20% - Accent2 4 4 2 3 2" xfId="1195" xr:uid="{00000000-0005-0000-0000-0000AA040000}"/>
    <cellStyle name="20% - Accent2 4 4 2 4" xfId="1196" xr:uid="{00000000-0005-0000-0000-0000AB040000}"/>
    <cellStyle name="20% - Accent2 4 4 2 5" xfId="1197" xr:uid="{00000000-0005-0000-0000-0000AC040000}"/>
    <cellStyle name="20% - Accent2 4 4 3" xfId="1198" xr:uid="{00000000-0005-0000-0000-0000AD040000}"/>
    <cellStyle name="20% - Accent2 4 4 3 2" xfId="1199" xr:uid="{00000000-0005-0000-0000-0000AE040000}"/>
    <cellStyle name="20% - Accent2 4 4 4" xfId="1200" xr:uid="{00000000-0005-0000-0000-0000AF040000}"/>
    <cellStyle name="20% - Accent2 4 4 4 2" xfId="1201" xr:uid="{00000000-0005-0000-0000-0000B0040000}"/>
    <cellStyle name="20% - Accent2 4 4 5" xfId="1202" xr:uid="{00000000-0005-0000-0000-0000B1040000}"/>
    <cellStyle name="20% - Accent2 4 4 6" xfId="1203" xr:uid="{00000000-0005-0000-0000-0000B2040000}"/>
    <cellStyle name="20% - Accent2 4 4 7" xfId="1204" xr:uid="{00000000-0005-0000-0000-0000B3040000}"/>
    <cellStyle name="20% - Accent2 4 5" xfId="1205" xr:uid="{00000000-0005-0000-0000-0000B4040000}"/>
    <cellStyle name="20% - Accent2 4 5 2" xfId="1206" xr:uid="{00000000-0005-0000-0000-0000B5040000}"/>
    <cellStyle name="20% - Accent2 4 5 2 2" xfId="1207" xr:uid="{00000000-0005-0000-0000-0000B6040000}"/>
    <cellStyle name="20% - Accent2 4 5 2 2 2" xfId="1208" xr:uid="{00000000-0005-0000-0000-0000B7040000}"/>
    <cellStyle name="20% - Accent2 4 5 2 3" xfId="1209" xr:uid="{00000000-0005-0000-0000-0000B8040000}"/>
    <cellStyle name="20% - Accent2 4 5 3" xfId="1210" xr:uid="{00000000-0005-0000-0000-0000B9040000}"/>
    <cellStyle name="20% - Accent2 4 5 3 2" xfId="1211" xr:uid="{00000000-0005-0000-0000-0000BA040000}"/>
    <cellStyle name="20% - Accent2 4 5 4" xfId="1212" xr:uid="{00000000-0005-0000-0000-0000BB040000}"/>
    <cellStyle name="20% - Accent2 4 5 4 2" xfId="1213" xr:uid="{00000000-0005-0000-0000-0000BC040000}"/>
    <cellStyle name="20% - Accent2 4 5 5" xfId="1214" xr:uid="{00000000-0005-0000-0000-0000BD040000}"/>
    <cellStyle name="20% - Accent2 4 5 6" xfId="1215" xr:uid="{00000000-0005-0000-0000-0000BE040000}"/>
    <cellStyle name="20% - Accent2 4 6" xfId="1216" xr:uid="{00000000-0005-0000-0000-0000BF040000}"/>
    <cellStyle name="20% - Accent2 4 6 2" xfId="1217" xr:uid="{00000000-0005-0000-0000-0000C0040000}"/>
    <cellStyle name="20% - Accent2 4 6 2 2" xfId="1218" xr:uid="{00000000-0005-0000-0000-0000C1040000}"/>
    <cellStyle name="20% - Accent2 4 6 3" xfId="1219" xr:uid="{00000000-0005-0000-0000-0000C2040000}"/>
    <cellStyle name="20% - Accent2 4 7" xfId="1220" xr:uid="{00000000-0005-0000-0000-0000C3040000}"/>
    <cellStyle name="20% - Accent2 4 7 2" xfId="1221" xr:uid="{00000000-0005-0000-0000-0000C4040000}"/>
    <cellStyle name="20% - Accent2 4 8" xfId="1222" xr:uid="{00000000-0005-0000-0000-0000C5040000}"/>
    <cellStyle name="20% - Accent2 4 8 2" xfId="1223" xr:uid="{00000000-0005-0000-0000-0000C6040000}"/>
    <cellStyle name="20% - Accent2 4 9" xfId="1224" xr:uid="{00000000-0005-0000-0000-0000C7040000}"/>
    <cellStyle name="20% - Accent2 5" xfId="1225" xr:uid="{00000000-0005-0000-0000-0000C8040000}"/>
    <cellStyle name="20% - Accent2 5 2" xfId="1226" xr:uid="{00000000-0005-0000-0000-0000C9040000}"/>
    <cellStyle name="20% - Accent2 5 2 2" xfId="1227" xr:uid="{00000000-0005-0000-0000-0000CA040000}"/>
    <cellStyle name="20% - Accent2 5 2 2 2" xfId="1228" xr:uid="{00000000-0005-0000-0000-0000CB040000}"/>
    <cellStyle name="20% - Accent2 5 2 2 2 2" xfId="1229" xr:uid="{00000000-0005-0000-0000-0000CC040000}"/>
    <cellStyle name="20% - Accent2 5 2 2 2 2 2" xfId="1230" xr:uid="{00000000-0005-0000-0000-0000CD040000}"/>
    <cellStyle name="20% - Accent2 5 2 2 2 2 2 2" xfId="1231" xr:uid="{00000000-0005-0000-0000-0000CE040000}"/>
    <cellStyle name="20% - Accent2 5 2 2 2 2 3" xfId="1232" xr:uid="{00000000-0005-0000-0000-0000CF040000}"/>
    <cellStyle name="20% - Accent2 5 2 2 2 2 3 2" xfId="1233" xr:uid="{00000000-0005-0000-0000-0000D0040000}"/>
    <cellStyle name="20% - Accent2 5 2 2 2 2 4" xfId="1234" xr:uid="{00000000-0005-0000-0000-0000D1040000}"/>
    <cellStyle name="20% - Accent2 5 2 2 2 2 5" xfId="1235" xr:uid="{00000000-0005-0000-0000-0000D2040000}"/>
    <cellStyle name="20% - Accent2 5 2 2 2 3" xfId="1236" xr:uid="{00000000-0005-0000-0000-0000D3040000}"/>
    <cellStyle name="20% - Accent2 5 2 2 2 3 2" xfId="1237" xr:uid="{00000000-0005-0000-0000-0000D4040000}"/>
    <cellStyle name="20% - Accent2 5 2 2 2 4" xfId="1238" xr:uid="{00000000-0005-0000-0000-0000D5040000}"/>
    <cellStyle name="20% - Accent2 5 2 2 2 4 2" xfId="1239" xr:uid="{00000000-0005-0000-0000-0000D6040000}"/>
    <cellStyle name="20% - Accent2 5 2 2 2 5" xfId="1240" xr:uid="{00000000-0005-0000-0000-0000D7040000}"/>
    <cellStyle name="20% - Accent2 5 2 2 2 6" xfId="1241" xr:uid="{00000000-0005-0000-0000-0000D8040000}"/>
    <cellStyle name="20% - Accent2 5 2 2 3" xfId="1242" xr:uid="{00000000-0005-0000-0000-0000D9040000}"/>
    <cellStyle name="20% - Accent2 5 2 2 3 2" xfId="1243" xr:uid="{00000000-0005-0000-0000-0000DA040000}"/>
    <cellStyle name="20% - Accent2 5 2 2 3 2 2" xfId="1244" xr:uid="{00000000-0005-0000-0000-0000DB040000}"/>
    <cellStyle name="20% - Accent2 5 2 2 3 3" xfId="1245" xr:uid="{00000000-0005-0000-0000-0000DC040000}"/>
    <cellStyle name="20% - Accent2 5 2 2 3 3 2" xfId="1246" xr:uid="{00000000-0005-0000-0000-0000DD040000}"/>
    <cellStyle name="20% - Accent2 5 2 2 3 4" xfId="1247" xr:uid="{00000000-0005-0000-0000-0000DE040000}"/>
    <cellStyle name="20% - Accent2 5 2 2 3 5" xfId="1248" xr:uid="{00000000-0005-0000-0000-0000DF040000}"/>
    <cellStyle name="20% - Accent2 5 2 2 4" xfId="1249" xr:uid="{00000000-0005-0000-0000-0000E0040000}"/>
    <cellStyle name="20% - Accent2 5 2 2 4 2" xfId="1250" xr:uid="{00000000-0005-0000-0000-0000E1040000}"/>
    <cellStyle name="20% - Accent2 5 2 2 5" xfId="1251" xr:uid="{00000000-0005-0000-0000-0000E2040000}"/>
    <cellStyle name="20% - Accent2 5 2 2 5 2" xfId="1252" xr:uid="{00000000-0005-0000-0000-0000E3040000}"/>
    <cellStyle name="20% - Accent2 5 2 2 6" xfId="1253" xr:uid="{00000000-0005-0000-0000-0000E4040000}"/>
    <cellStyle name="20% - Accent2 5 2 2 7" xfId="1254" xr:uid="{00000000-0005-0000-0000-0000E5040000}"/>
    <cellStyle name="20% - Accent2 5 2 3" xfId="1255" xr:uid="{00000000-0005-0000-0000-0000E6040000}"/>
    <cellStyle name="20% - Accent2 5 2 3 2" xfId="1256" xr:uid="{00000000-0005-0000-0000-0000E7040000}"/>
    <cellStyle name="20% - Accent2 5 2 3 2 2" xfId="1257" xr:uid="{00000000-0005-0000-0000-0000E8040000}"/>
    <cellStyle name="20% - Accent2 5 2 3 2 2 2" xfId="1258" xr:uid="{00000000-0005-0000-0000-0000E9040000}"/>
    <cellStyle name="20% - Accent2 5 2 3 2 3" xfId="1259" xr:uid="{00000000-0005-0000-0000-0000EA040000}"/>
    <cellStyle name="20% - Accent2 5 2 3 2 3 2" xfId="1260" xr:uid="{00000000-0005-0000-0000-0000EB040000}"/>
    <cellStyle name="20% - Accent2 5 2 3 2 4" xfId="1261" xr:uid="{00000000-0005-0000-0000-0000EC040000}"/>
    <cellStyle name="20% - Accent2 5 2 3 2 5" xfId="1262" xr:uid="{00000000-0005-0000-0000-0000ED040000}"/>
    <cellStyle name="20% - Accent2 5 2 3 3" xfId="1263" xr:uid="{00000000-0005-0000-0000-0000EE040000}"/>
    <cellStyle name="20% - Accent2 5 2 3 3 2" xfId="1264" xr:uid="{00000000-0005-0000-0000-0000EF040000}"/>
    <cellStyle name="20% - Accent2 5 2 3 4" xfId="1265" xr:uid="{00000000-0005-0000-0000-0000F0040000}"/>
    <cellStyle name="20% - Accent2 5 2 3 4 2" xfId="1266" xr:uid="{00000000-0005-0000-0000-0000F1040000}"/>
    <cellStyle name="20% - Accent2 5 2 3 5" xfId="1267" xr:uid="{00000000-0005-0000-0000-0000F2040000}"/>
    <cellStyle name="20% - Accent2 5 2 3 6" xfId="1268" xr:uid="{00000000-0005-0000-0000-0000F3040000}"/>
    <cellStyle name="20% - Accent2 5 2 4" xfId="1269" xr:uid="{00000000-0005-0000-0000-0000F4040000}"/>
    <cellStyle name="20% - Accent2 5 2 4 2" xfId="1270" xr:uid="{00000000-0005-0000-0000-0000F5040000}"/>
    <cellStyle name="20% - Accent2 5 2 4 2 2" xfId="1271" xr:uid="{00000000-0005-0000-0000-0000F6040000}"/>
    <cellStyle name="20% - Accent2 5 2 4 3" xfId="1272" xr:uid="{00000000-0005-0000-0000-0000F7040000}"/>
    <cellStyle name="20% - Accent2 5 2 4 3 2" xfId="1273" xr:uid="{00000000-0005-0000-0000-0000F8040000}"/>
    <cellStyle name="20% - Accent2 5 2 4 4" xfId="1274" xr:uid="{00000000-0005-0000-0000-0000F9040000}"/>
    <cellStyle name="20% - Accent2 5 2 4 5" xfId="1275" xr:uid="{00000000-0005-0000-0000-0000FA040000}"/>
    <cellStyle name="20% - Accent2 5 2 5" xfId="1276" xr:uid="{00000000-0005-0000-0000-0000FB040000}"/>
    <cellStyle name="20% - Accent2 5 2 5 2" xfId="1277" xr:uid="{00000000-0005-0000-0000-0000FC040000}"/>
    <cellStyle name="20% - Accent2 5 2 6" xfId="1278" xr:uid="{00000000-0005-0000-0000-0000FD040000}"/>
    <cellStyle name="20% - Accent2 5 2 6 2" xfId="1279" xr:uid="{00000000-0005-0000-0000-0000FE040000}"/>
    <cellStyle name="20% - Accent2 5 2 7" xfId="1280" xr:uid="{00000000-0005-0000-0000-0000FF040000}"/>
    <cellStyle name="20% - Accent2 5 2 8" xfId="1281" xr:uid="{00000000-0005-0000-0000-000000050000}"/>
    <cellStyle name="20% - Accent2 5 3" xfId="1282" xr:uid="{00000000-0005-0000-0000-000001050000}"/>
    <cellStyle name="20% - Accent2 5 3 2" xfId="1283" xr:uid="{00000000-0005-0000-0000-000002050000}"/>
    <cellStyle name="20% - Accent2 5 3 2 2" xfId="1284" xr:uid="{00000000-0005-0000-0000-000003050000}"/>
    <cellStyle name="20% - Accent2 5 3 2 2 2" xfId="1285" xr:uid="{00000000-0005-0000-0000-000004050000}"/>
    <cellStyle name="20% - Accent2 5 3 2 2 2 2" xfId="1286" xr:uid="{00000000-0005-0000-0000-000005050000}"/>
    <cellStyle name="20% - Accent2 5 3 2 2 3" xfId="1287" xr:uid="{00000000-0005-0000-0000-000006050000}"/>
    <cellStyle name="20% - Accent2 5 3 2 2 3 2" xfId="1288" xr:uid="{00000000-0005-0000-0000-000007050000}"/>
    <cellStyle name="20% - Accent2 5 3 2 2 4" xfId="1289" xr:uid="{00000000-0005-0000-0000-000008050000}"/>
    <cellStyle name="20% - Accent2 5 3 2 2 5" xfId="1290" xr:uid="{00000000-0005-0000-0000-000009050000}"/>
    <cellStyle name="20% - Accent2 5 3 2 3" xfId="1291" xr:uid="{00000000-0005-0000-0000-00000A050000}"/>
    <cellStyle name="20% - Accent2 5 3 2 3 2" xfId="1292" xr:uid="{00000000-0005-0000-0000-00000B050000}"/>
    <cellStyle name="20% - Accent2 5 3 2 4" xfId="1293" xr:uid="{00000000-0005-0000-0000-00000C050000}"/>
    <cellStyle name="20% - Accent2 5 3 2 4 2" xfId="1294" xr:uid="{00000000-0005-0000-0000-00000D050000}"/>
    <cellStyle name="20% - Accent2 5 3 2 5" xfId="1295" xr:uid="{00000000-0005-0000-0000-00000E050000}"/>
    <cellStyle name="20% - Accent2 5 3 2 6" xfId="1296" xr:uid="{00000000-0005-0000-0000-00000F050000}"/>
    <cellStyle name="20% - Accent2 5 3 3" xfId="1297" xr:uid="{00000000-0005-0000-0000-000010050000}"/>
    <cellStyle name="20% - Accent2 5 3 3 2" xfId="1298" xr:uid="{00000000-0005-0000-0000-000011050000}"/>
    <cellStyle name="20% - Accent2 5 3 3 2 2" xfId="1299" xr:uid="{00000000-0005-0000-0000-000012050000}"/>
    <cellStyle name="20% - Accent2 5 3 3 3" xfId="1300" xr:uid="{00000000-0005-0000-0000-000013050000}"/>
    <cellStyle name="20% - Accent2 5 3 3 3 2" xfId="1301" xr:uid="{00000000-0005-0000-0000-000014050000}"/>
    <cellStyle name="20% - Accent2 5 3 3 4" xfId="1302" xr:uid="{00000000-0005-0000-0000-000015050000}"/>
    <cellStyle name="20% - Accent2 5 3 3 5" xfId="1303" xr:uid="{00000000-0005-0000-0000-000016050000}"/>
    <cellStyle name="20% - Accent2 5 3 4" xfId="1304" xr:uid="{00000000-0005-0000-0000-000017050000}"/>
    <cellStyle name="20% - Accent2 5 3 4 2" xfId="1305" xr:uid="{00000000-0005-0000-0000-000018050000}"/>
    <cellStyle name="20% - Accent2 5 3 5" xfId="1306" xr:uid="{00000000-0005-0000-0000-000019050000}"/>
    <cellStyle name="20% - Accent2 5 3 5 2" xfId="1307" xr:uid="{00000000-0005-0000-0000-00001A050000}"/>
    <cellStyle name="20% - Accent2 5 3 6" xfId="1308" xr:uid="{00000000-0005-0000-0000-00001B050000}"/>
    <cellStyle name="20% - Accent2 5 3 7" xfId="1309" xr:uid="{00000000-0005-0000-0000-00001C050000}"/>
    <cellStyle name="20% - Accent2 5 4" xfId="1310" xr:uid="{00000000-0005-0000-0000-00001D050000}"/>
    <cellStyle name="20% - Accent2 5 4 2" xfId="1311" xr:uid="{00000000-0005-0000-0000-00001E050000}"/>
    <cellStyle name="20% - Accent2 5 4 2 2" xfId="1312" xr:uid="{00000000-0005-0000-0000-00001F050000}"/>
    <cellStyle name="20% - Accent2 5 4 2 2 2" xfId="1313" xr:uid="{00000000-0005-0000-0000-000020050000}"/>
    <cellStyle name="20% - Accent2 5 4 2 3" xfId="1314" xr:uid="{00000000-0005-0000-0000-000021050000}"/>
    <cellStyle name="20% - Accent2 5 4 2 3 2" xfId="1315" xr:uid="{00000000-0005-0000-0000-000022050000}"/>
    <cellStyle name="20% - Accent2 5 4 2 4" xfId="1316" xr:uid="{00000000-0005-0000-0000-000023050000}"/>
    <cellStyle name="20% - Accent2 5 4 2 5" xfId="1317" xr:uid="{00000000-0005-0000-0000-000024050000}"/>
    <cellStyle name="20% - Accent2 5 4 3" xfId="1318" xr:uid="{00000000-0005-0000-0000-000025050000}"/>
    <cellStyle name="20% - Accent2 5 4 3 2" xfId="1319" xr:uid="{00000000-0005-0000-0000-000026050000}"/>
    <cellStyle name="20% - Accent2 5 4 4" xfId="1320" xr:uid="{00000000-0005-0000-0000-000027050000}"/>
    <cellStyle name="20% - Accent2 5 4 4 2" xfId="1321" xr:uid="{00000000-0005-0000-0000-000028050000}"/>
    <cellStyle name="20% - Accent2 5 4 5" xfId="1322" xr:uid="{00000000-0005-0000-0000-000029050000}"/>
    <cellStyle name="20% - Accent2 5 4 6" xfId="1323" xr:uid="{00000000-0005-0000-0000-00002A050000}"/>
    <cellStyle name="20% - Accent2 5 5" xfId="1324" xr:uid="{00000000-0005-0000-0000-00002B050000}"/>
    <cellStyle name="20% - Accent2 5 5 2" xfId="1325" xr:uid="{00000000-0005-0000-0000-00002C050000}"/>
    <cellStyle name="20% - Accent2 5 5 2 2" xfId="1326" xr:uid="{00000000-0005-0000-0000-00002D050000}"/>
    <cellStyle name="20% - Accent2 5 5 2 2 2" xfId="1327" xr:uid="{00000000-0005-0000-0000-00002E050000}"/>
    <cellStyle name="20% - Accent2 5 5 2 3" xfId="1328" xr:uid="{00000000-0005-0000-0000-00002F050000}"/>
    <cellStyle name="20% - Accent2 5 5 3" xfId="1329" xr:uid="{00000000-0005-0000-0000-000030050000}"/>
    <cellStyle name="20% - Accent2 5 5 3 2" xfId="1330" xr:uid="{00000000-0005-0000-0000-000031050000}"/>
    <cellStyle name="20% - Accent2 5 5 4" xfId="1331" xr:uid="{00000000-0005-0000-0000-000032050000}"/>
    <cellStyle name="20% - Accent2 5 5 4 2" xfId="1332" xr:uid="{00000000-0005-0000-0000-000033050000}"/>
    <cellStyle name="20% - Accent2 5 5 5" xfId="1333" xr:uid="{00000000-0005-0000-0000-000034050000}"/>
    <cellStyle name="20% - Accent2 5 5 6" xfId="1334" xr:uid="{00000000-0005-0000-0000-000035050000}"/>
    <cellStyle name="20% - Accent2 5 6" xfId="1335" xr:uid="{00000000-0005-0000-0000-000036050000}"/>
    <cellStyle name="20% - Accent2 5 6 2" xfId="1336" xr:uid="{00000000-0005-0000-0000-000037050000}"/>
    <cellStyle name="20% - Accent2 5 7" xfId="1337" xr:uid="{00000000-0005-0000-0000-000038050000}"/>
    <cellStyle name="20% - Accent2 5 8" xfId="1338" xr:uid="{00000000-0005-0000-0000-000039050000}"/>
    <cellStyle name="20% - Accent2 6" xfId="1339" xr:uid="{00000000-0005-0000-0000-00003A050000}"/>
    <cellStyle name="20% - Accent2 6 2" xfId="1340" xr:uid="{00000000-0005-0000-0000-00003B050000}"/>
    <cellStyle name="20% - Accent2 6 2 2" xfId="1341" xr:uid="{00000000-0005-0000-0000-00003C050000}"/>
    <cellStyle name="20% - Accent2 6 2 2 2" xfId="1342" xr:uid="{00000000-0005-0000-0000-00003D050000}"/>
    <cellStyle name="20% - Accent2 6 2 2 2 2" xfId="1343" xr:uid="{00000000-0005-0000-0000-00003E050000}"/>
    <cellStyle name="20% - Accent2 6 2 2 2 2 2" xfId="1344" xr:uid="{00000000-0005-0000-0000-00003F050000}"/>
    <cellStyle name="20% - Accent2 6 2 2 2 3" xfId="1345" xr:uid="{00000000-0005-0000-0000-000040050000}"/>
    <cellStyle name="20% - Accent2 6 2 2 2 3 2" xfId="1346" xr:uid="{00000000-0005-0000-0000-000041050000}"/>
    <cellStyle name="20% - Accent2 6 2 2 2 4" xfId="1347" xr:uid="{00000000-0005-0000-0000-000042050000}"/>
    <cellStyle name="20% - Accent2 6 2 2 2 5" xfId="1348" xr:uid="{00000000-0005-0000-0000-000043050000}"/>
    <cellStyle name="20% - Accent2 6 2 2 3" xfId="1349" xr:uid="{00000000-0005-0000-0000-000044050000}"/>
    <cellStyle name="20% - Accent2 6 2 2 3 2" xfId="1350" xr:uid="{00000000-0005-0000-0000-000045050000}"/>
    <cellStyle name="20% - Accent2 6 2 2 4" xfId="1351" xr:uid="{00000000-0005-0000-0000-000046050000}"/>
    <cellStyle name="20% - Accent2 6 2 2 4 2" xfId="1352" xr:uid="{00000000-0005-0000-0000-000047050000}"/>
    <cellStyle name="20% - Accent2 6 2 2 5" xfId="1353" xr:uid="{00000000-0005-0000-0000-000048050000}"/>
    <cellStyle name="20% - Accent2 6 2 2 6" xfId="1354" xr:uid="{00000000-0005-0000-0000-000049050000}"/>
    <cellStyle name="20% - Accent2 6 2 3" xfId="1355" xr:uid="{00000000-0005-0000-0000-00004A050000}"/>
    <cellStyle name="20% - Accent2 6 2 3 2" xfId="1356" xr:uid="{00000000-0005-0000-0000-00004B050000}"/>
    <cellStyle name="20% - Accent2 6 2 3 2 2" xfId="1357" xr:uid="{00000000-0005-0000-0000-00004C050000}"/>
    <cellStyle name="20% - Accent2 6 2 3 3" xfId="1358" xr:uid="{00000000-0005-0000-0000-00004D050000}"/>
    <cellStyle name="20% - Accent2 6 2 3 3 2" xfId="1359" xr:uid="{00000000-0005-0000-0000-00004E050000}"/>
    <cellStyle name="20% - Accent2 6 2 3 4" xfId="1360" xr:uid="{00000000-0005-0000-0000-00004F050000}"/>
    <cellStyle name="20% - Accent2 6 2 3 5" xfId="1361" xr:uid="{00000000-0005-0000-0000-000050050000}"/>
    <cellStyle name="20% - Accent2 6 2 4" xfId="1362" xr:uid="{00000000-0005-0000-0000-000051050000}"/>
    <cellStyle name="20% - Accent2 6 2 4 2" xfId="1363" xr:uid="{00000000-0005-0000-0000-000052050000}"/>
    <cellStyle name="20% - Accent2 6 2 5" xfId="1364" xr:uid="{00000000-0005-0000-0000-000053050000}"/>
    <cellStyle name="20% - Accent2 6 2 5 2" xfId="1365" xr:uid="{00000000-0005-0000-0000-000054050000}"/>
    <cellStyle name="20% - Accent2 6 2 6" xfId="1366" xr:uid="{00000000-0005-0000-0000-000055050000}"/>
    <cellStyle name="20% - Accent2 6 2 7" xfId="1367" xr:uid="{00000000-0005-0000-0000-000056050000}"/>
    <cellStyle name="20% - Accent2 6 3" xfId="1368" xr:uid="{00000000-0005-0000-0000-000057050000}"/>
    <cellStyle name="20% - Accent2 6 3 2" xfId="1369" xr:uid="{00000000-0005-0000-0000-000058050000}"/>
    <cellStyle name="20% - Accent2 6 3 2 2" xfId="1370" xr:uid="{00000000-0005-0000-0000-000059050000}"/>
    <cellStyle name="20% - Accent2 6 3 2 2 2" xfId="1371" xr:uid="{00000000-0005-0000-0000-00005A050000}"/>
    <cellStyle name="20% - Accent2 6 3 2 3" xfId="1372" xr:uid="{00000000-0005-0000-0000-00005B050000}"/>
    <cellStyle name="20% - Accent2 6 3 2 3 2" xfId="1373" xr:uid="{00000000-0005-0000-0000-00005C050000}"/>
    <cellStyle name="20% - Accent2 6 3 2 4" xfId="1374" xr:uid="{00000000-0005-0000-0000-00005D050000}"/>
    <cellStyle name="20% - Accent2 6 3 2 5" xfId="1375" xr:uid="{00000000-0005-0000-0000-00005E050000}"/>
    <cellStyle name="20% - Accent2 6 3 3" xfId="1376" xr:uid="{00000000-0005-0000-0000-00005F050000}"/>
    <cellStyle name="20% - Accent2 6 3 3 2" xfId="1377" xr:uid="{00000000-0005-0000-0000-000060050000}"/>
    <cellStyle name="20% - Accent2 6 3 4" xfId="1378" xr:uid="{00000000-0005-0000-0000-000061050000}"/>
    <cellStyle name="20% - Accent2 6 3 4 2" xfId="1379" xr:uid="{00000000-0005-0000-0000-000062050000}"/>
    <cellStyle name="20% - Accent2 6 3 5" xfId="1380" xr:uid="{00000000-0005-0000-0000-000063050000}"/>
    <cellStyle name="20% - Accent2 6 3 6" xfId="1381" xr:uid="{00000000-0005-0000-0000-000064050000}"/>
    <cellStyle name="20% - Accent2 6 4" xfId="1382" xr:uid="{00000000-0005-0000-0000-000065050000}"/>
    <cellStyle name="20% - Accent2 6 4 2" xfId="1383" xr:uid="{00000000-0005-0000-0000-000066050000}"/>
    <cellStyle name="20% - Accent2 6 4 2 2" xfId="1384" xr:uid="{00000000-0005-0000-0000-000067050000}"/>
    <cellStyle name="20% - Accent2 6 4 3" xfId="1385" xr:uid="{00000000-0005-0000-0000-000068050000}"/>
    <cellStyle name="20% - Accent2 6 4 3 2" xfId="1386" xr:uid="{00000000-0005-0000-0000-000069050000}"/>
    <cellStyle name="20% - Accent2 6 4 4" xfId="1387" xr:uid="{00000000-0005-0000-0000-00006A050000}"/>
    <cellStyle name="20% - Accent2 6 4 5" xfId="1388" xr:uid="{00000000-0005-0000-0000-00006B050000}"/>
    <cellStyle name="20% - Accent2 6 5" xfId="1389" xr:uid="{00000000-0005-0000-0000-00006C050000}"/>
    <cellStyle name="20% - Accent2 6 5 2" xfId="1390" xr:uid="{00000000-0005-0000-0000-00006D050000}"/>
    <cellStyle name="20% - Accent2 6 6" xfId="1391" xr:uid="{00000000-0005-0000-0000-00006E050000}"/>
    <cellStyle name="20% - Accent2 6 6 2" xfId="1392" xr:uid="{00000000-0005-0000-0000-00006F050000}"/>
    <cellStyle name="20% - Accent2 6 7" xfId="1393" xr:uid="{00000000-0005-0000-0000-000070050000}"/>
    <cellStyle name="20% - Accent2 6 8" xfId="1394" xr:uid="{00000000-0005-0000-0000-000071050000}"/>
    <cellStyle name="20% - Accent2 6 9" xfId="1395" xr:uid="{00000000-0005-0000-0000-000072050000}"/>
    <cellStyle name="20% - Accent2 7" xfId="1396" xr:uid="{00000000-0005-0000-0000-000073050000}"/>
    <cellStyle name="20% - Accent2 7 2" xfId="1397" xr:uid="{00000000-0005-0000-0000-000074050000}"/>
    <cellStyle name="20% - Accent2 7 2 2" xfId="1398" xr:uid="{00000000-0005-0000-0000-000075050000}"/>
    <cellStyle name="20% - Accent2 7 2 2 2" xfId="1399" xr:uid="{00000000-0005-0000-0000-000076050000}"/>
    <cellStyle name="20% - Accent2 7 2 2 2 2" xfId="1400" xr:uid="{00000000-0005-0000-0000-000077050000}"/>
    <cellStyle name="20% - Accent2 7 2 2 2 2 2" xfId="1401" xr:uid="{00000000-0005-0000-0000-000078050000}"/>
    <cellStyle name="20% - Accent2 7 2 2 2 3" xfId="1402" xr:uid="{00000000-0005-0000-0000-000079050000}"/>
    <cellStyle name="20% - Accent2 7 2 2 2 3 2" xfId="1403" xr:uid="{00000000-0005-0000-0000-00007A050000}"/>
    <cellStyle name="20% - Accent2 7 2 2 2 4" xfId="1404" xr:uid="{00000000-0005-0000-0000-00007B050000}"/>
    <cellStyle name="20% - Accent2 7 2 2 2 5" xfId="1405" xr:uid="{00000000-0005-0000-0000-00007C050000}"/>
    <cellStyle name="20% - Accent2 7 2 2 3" xfId="1406" xr:uid="{00000000-0005-0000-0000-00007D050000}"/>
    <cellStyle name="20% - Accent2 7 2 2 3 2" xfId="1407" xr:uid="{00000000-0005-0000-0000-00007E050000}"/>
    <cellStyle name="20% - Accent2 7 2 2 4" xfId="1408" xr:uid="{00000000-0005-0000-0000-00007F050000}"/>
    <cellStyle name="20% - Accent2 7 2 2 4 2" xfId="1409" xr:uid="{00000000-0005-0000-0000-000080050000}"/>
    <cellStyle name="20% - Accent2 7 2 2 5" xfId="1410" xr:uid="{00000000-0005-0000-0000-000081050000}"/>
    <cellStyle name="20% - Accent2 7 2 2 6" xfId="1411" xr:uid="{00000000-0005-0000-0000-000082050000}"/>
    <cellStyle name="20% - Accent2 7 2 3" xfId="1412" xr:uid="{00000000-0005-0000-0000-000083050000}"/>
    <cellStyle name="20% - Accent2 7 2 3 2" xfId="1413" xr:uid="{00000000-0005-0000-0000-000084050000}"/>
    <cellStyle name="20% - Accent2 7 2 3 2 2" xfId="1414" xr:uid="{00000000-0005-0000-0000-000085050000}"/>
    <cellStyle name="20% - Accent2 7 2 3 3" xfId="1415" xr:uid="{00000000-0005-0000-0000-000086050000}"/>
    <cellStyle name="20% - Accent2 7 2 3 3 2" xfId="1416" xr:uid="{00000000-0005-0000-0000-000087050000}"/>
    <cellStyle name="20% - Accent2 7 2 3 4" xfId="1417" xr:uid="{00000000-0005-0000-0000-000088050000}"/>
    <cellStyle name="20% - Accent2 7 2 3 5" xfId="1418" xr:uid="{00000000-0005-0000-0000-000089050000}"/>
    <cellStyle name="20% - Accent2 7 2 4" xfId="1419" xr:uid="{00000000-0005-0000-0000-00008A050000}"/>
    <cellStyle name="20% - Accent2 7 2 4 2" xfId="1420" xr:uid="{00000000-0005-0000-0000-00008B050000}"/>
    <cellStyle name="20% - Accent2 7 2 5" xfId="1421" xr:uid="{00000000-0005-0000-0000-00008C050000}"/>
    <cellStyle name="20% - Accent2 7 2 5 2" xfId="1422" xr:uid="{00000000-0005-0000-0000-00008D050000}"/>
    <cellStyle name="20% - Accent2 7 2 6" xfId="1423" xr:uid="{00000000-0005-0000-0000-00008E050000}"/>
    <cellStyle name="20% - Accent2 7 2 7" xfId="1424" xr:uid="{00000000-0005-0000-0000-00008F050000}"/>
    <cellStyle name="20% - Accent2 7 3" xfId="1425" xr:uid="{00000000-0005-0000-0000-000090050000}"/>
    <cellStyle name="20% - Accent2 7 3 2" xfId="1426" xr:uid="{00000000-0005-0000-0000-000091050000}"/>
    <cellStyle name="20% - Accent2 7 3 2 2" xfId="1427" xr:uid="{00000000-0005-0000-0000-000092050000}"/>
    <cellStyle name="20% - Accent2 7 3 2 2 2" xfId="1428" xr:uid="{00000000-0005-0000-0000-000093050000}"/>
    <cellStyle name="20% - Accent2 7 3 2 3" xfId="1429" xr:uid="{00000000-0005-0000-0000-000094050000}"/>
    <cellStyle name="20% - Accent2 7 3 2 3 2" xfId="1430" xr:uid="{00000000-0005-0000-0000-000095050000}"/>
    <cellStyle name="20% - Accent2 7 3 2 4" xfId="1431" xr:uid="{00000000-0005-0000-0000-000096050000}"/>
    <cellStyle name="20% - Accent2 7 3 2 5" xfId="1432" xr:uid="{00000000-0005-0000-0000-000097050000}"/>
    <cellStyle name="20% - Accent2 7 3 3" xfId="1433" xr:uid="{00000000-0005-0000-0000-000098050000}"/>
    <cellStyle name="20% - Accent2 7 3 3 2" xfId="1434" xr:uid="{00000000-0005-0000-0000-000099050000}"/>
    <cellStyle name="20% - Accent2 7 3 4" xfId="1435" xr:uid="{00000000-0005-0000-0000-00009A050000}"/>
    <cellStyle name="20% - Accent2 7 3 4 2" xfId="1436" xr:uid="{00000000-0005-0000-0000-00009B050000}"/>
    <cellStyle name="20% - Accent2 7 3 5" xfId="1437" xr:uid="{00000000-0005-0000-0000-00009C050000}"/>
    <cellStyle name="20% - Accent2 7 3 6" xfId="1438" xr:uid="{00000000-0005-0000-0000-00009D050000}"/>
    <cellStyle name="20% - Accent2 7 4" xfId="1439" xr:uid="{00000000-0005-0000-0000-00009E050000}"/>
    <cellStyle name="20% - Accent2 7 4 2" xfId="1440" xr:uid="{00000000-0005-0000-0000-00009F050000}"/>
    <cellStyle name="20% - Accent2 7 4 2 2" xfId="1441" xr:uid="{00000000-0005-0000-0000-0000A0050000}"/>
    <cellStyle name="20% - Accent2 7 4 3" xfId="1442" xr:uid="{00000000-0005-0000-0000-0000A1050000}"/>
    <cellStyle name="20% - Accent2 7 4 3 2" xfId="1443" xr:uid="{00000000-0005-0000-0000-0000A2050000}"/>
    <cellStyle name="20% - Accent2 7 4 4" xfId="1444" xr:uid="{00000000-0005-0000-0000-0000A3050000}"/>
    <cellStyle name="20% - Accent2 7 4 5" xfId="1445" xr:uid="{00000000-0005-0000-0000-0000A4050000}"/>
    <cellStyle name="20% - Accent2 7 5" xfId="1446" xr:uid="{00000000-0005-0000-0000-0000A5050000}"/>
    <cellStyle name="20% - Accent2 7 5 2" xfId="1447" xr:uid="{00000000-0005-0000-0000-0000A6050000}"/>
    <cellStyle name="20% - Accent2 7 6" xfId="1448" xr:uid="{00000000-0005-0000-0000-0000A7050000}"/>
    <cellStyle name="20% - Accent2 7 6 2" xfId="1449" xr:uid="{00000000-0005-0000-0000-0000A8050000}"/>
    <cellStyle name="20% - Accent2 7 7" xfId="1450" xr:uid="{00000000-0005-0000-0000-0000A9050000}"/>
    <cellStyle name="20% - Accent2 7 8" xfId="1451" xr:uid="{00000000-0005-0000-0000-0000AA050000}"/>
    <cellStyle name="20% - Accent2 7 9" xfId="1452" xr:uid="{00000000-0005-0000-0000-0000AB050000}"/>
    <cellStyle name="20% - Accent2 8" xfId="1453" xr:uid="{00000000-0005-0000-0000-0000AC050000}"/>
    <cellStyle name="20% - Accent2 8 2" xfId="1454" xr:uid="{00000000-0005-0000-0000-0000AD050000}"/>
    <cellStyle name="20% - Accent2 8 2 2" xfId="1455" xr:uid="{00000000-0005-0000-0000-0000AE050000}"/>
    <cellStyle name="20% - Accent2 8 2 2 2" xfId="1456" xr:uid="{00000000-0005-0000-0000-0000AF050000}"/>
    <cellStyle name="20% - Accent2 8 2 2 2 2" xfId="1457" xr:uid="{00000000-0005-0000-0000-0000B0050000}"/>
    <cellStyle name="20% - Accent2 8 2 2 2 2 2" xfId="1458" xr:uid="{00000000-0005-0000-0000-0000B1050000}"/>
    <cellStyle name="20% - Accent2 8 2 2 2 3" xfId="1459" xr:uid="{00000000-0005-0000-0000-0000B2050000}"/>
    <cellStyle name="20% - Accent2 8 2 2 2 3 2" xfId="1460" xr:uid="{00000000-0005-0000-0000-0000B3050000}"/>
    <cellStyle name="20% - Accent2 8 2 2 2 4" xfId="1461" xr:uid="{00000000-0005-0000-0000-0000B4050000}"/>
    <cellStyle name="20% - Accent2 8 2 2 2 5" xfId="1462" xr:uid="{00000000-0005-0000-0000-0000B5050000}"/>
    <cellStyle name="20% - Accent2 8 2 2 3" xfId="1463" xr:uid="{00000000-0005-0000-0000-0000B6050000}"/>
    <cellStyle name="20% - Accent2 8 2 2 3 2" xfId="1464" xr:uid="{00000000-0005-0000-0000-0000B7050000}"/>
    <cellStyle name="20% - Accent2 8 2 2 4" xfId="1465" xr:uid="{00000000-0005-0000-0000-0000B8050000}"/>
    <cellStyle name="20% - Accent2 8 2 2 4 2" xfId="1466" xr:uid="{00000000-0005-0000-0000-0000B9050000}"/>
    <cellStyle name="20% - Accent2 8 2 2 5" xfId="1467" xr:uid="{00000000-0005-0000-0000-0000BA050000}"/>
    <cellStyle name="20% - Accent2 8 2 2 6" xfId="1468" xr:uid="{00000000-0005-0000-0000-0000BB050000}"/>
    <cellStyle name="20% - Accent2 8 2 3" xfId="1469" xr:uid="{00000000-0005-0000-0000-0000BC050000}"/>
    <cellStyle name="20% - Accent2 8 2 3 2" xfId="1470" xr:uid="{00000000-0005-0000-0000-0000BD050000}"/>
    <cellStyle name="20% - Accent2 8 2 3 2 2" xfId="1471" xr:uid="{00000000-0005-0000-0000-0000BE050000}"/>
    <cellStyle name="20% - Accent2 8 2 3 3" xfId="1472" xr:uid="{00000000-0005-0000-0000-0000BF050000}"/>
    <cellStyle name="20% - Accent2 8 2 3 3 2" xfId="1473" xr:uid="{00000000-0005-0000-0000-0000C0050000}"/>
    <cellStyle name="20% - Accent2 8 2 3 4" xfId="1474" xr:uid="{00000000-0005-0000-0000-0000C1050000}"/>
    <cellStyle name="20% - Accent2 8 2 3 5" xfId="1475" xr:uid="{00000000-0005-0000-0000-0000C2050000}"/>
    <cellStyle name="20% - Accent2 8 2 4" xfId="1476" xr:uid="{00000000-0005-0000-0000-0000C3050000}"/>
    <cellStyle name="20% - Accent2 8 2 4 2" xfId="1477" xr:uid="{00000000-0005-0000-0000-0000C4050000}"/>
    <cellStyle name="20% - Accent2 8 2 5" xfId="1478" xr:uid="{00000000-0005-0000-0000-0000C5050000}"/>
    <cellStyle name="20% - Accent2 8 2 5 2" xfId="1479" xr:uid="{00000000-0005-0000-0000-0000C6050000}"/>
    <cellStyle name="20% - Accent2 8 2 6" xfId="1480" xr:uid="{00000000-0005-0000-0000-0000C7050000}"/>
    <cellStyle name="20% - Accent2 8 2 7" xfId="1481" xr:uid="{00000000-0005-0000-0000-0000C8050000}"/>
    <cellStyle name="20% - Accent2 8 3" xfId="1482" xr:uid="{00000000-0005-0000-0000-0000C9050000}"/>
    <cellStyle name="20% - Accent2 8 3 2" xfId="1483" xr:uid="{00000000-0005-0000-0000-0000CA050000}"/>
    <cellStyle name="20% - Accent2 8 3 2 2" xfId="1484" xr:uid="{00000000-0005-0000-0000-0000CB050000}"/>
    <cellStyle name="20% - Accent2 8 3 2 2 2" xfId="1485" xr:uid="{00000000-0005-0000-0000-0000CC050000}"/>
    <cellStyle name="20% - Accent2 8 3 2 3" xfId="1486" xr:uid="{00000000-0005-0000-0000-0000CD050000}"/>
    <cellStyle name="20% - Accent2 8 3 2 3 2" xfId="1487" xr:uid="{00000000-0005-0000-0000-0000CE050000}"/>
    <cellStyle name="20% - Accent2 8 3 2 4" xfId="1488" xr:uid="{00000000-0005-0000-0000-0000CF050000}"/>
    <cellStyle name="20% - Accent2 8 3 2 5" xfId="1489" xr:uid="{00000000-0005-0000-0000-0000D0050000}"/>
    <cellStyle name="20% - Accent2 8 3 3" xfId="1490" xr:uid="{00000000-0005-0000-0000-0000D1050000}"/>
    <cellStyle name="20% - Accent2 8 3 3 2" xfId="1491" xr:uid="{00000000-0005-0000-0000-0000D2050000}"/>
    <cellStyle name="20% - Accent2 8 3 4" xfId="1492" xr:uid="{00000000-0005-0000-0000-0000D3050000}"/>
    <cellStyle name="20% - Accent2 8 3 4 2" xfId="1493" xr:uid="{00000000-0005-0000-0000-0000D4050000}"/>
    <cellStyle name="20% - Accent2 8 3 5" xfId="1494" xr:uid="{00000000-0005-0000-0000-0000D5050000}"/>
    <cellStyle name="20% - Accent2 8 3 6" xfId="1495" xr:uid="{00000000-0005-0000-0000-0000D6050000}"/>
    <cellStyle name="20% - Accent2 8 4" xfId="1496" xr:uid="{00000000-0005-0000-0000-0000D7050000}"/>
    <cellStyle name="20% - Accent2 8 4 2" xfId="1497" xr:uid="{00000000-0005-0000-0000-0000D8050000}"/>
    <cellStyle name="20% - Accent2 8 4 2 2" xfId="1498" xr:uid="{00000000-0005-0000-0000-0000D9050000}"/>
    <cellStyle name="20% - Accent2 8 4 3" xfId="1499" xr:uid="{00000000-0005-0000-0000-0000DA050000}"/>
    <cellStyle name="20% - Accent2 8 4 3 2" xfId="1500" xr:uid="{00000000-0005-0000-0000-0000DB050000}"/>
    <cellStyle name="20% - Accent2 8 4 4" xfId="1501" xr:uid="{00000000-0005-0000-0000-0000DC050000}"/>
    <cellStyle name="20% - Accent2 8 4 5" xfId="1502" xr:uid="{00000000-0005-0000-0000-0000DD050000}"/>
    <cellStyle name="20% - Accent2 8 5" xfId="1503" xr:uid="{00000000-0005-0000-0000-0000DE050000}"/>
    <cellStyle name="20% - Accent2 8 5 2" xfId="1504" xr:uid="{00000000-0005-0000-0000-0000DF050000}"/>
    <cellStyle name="20% - Accent2 8 6" xfId="1505" xr:uid="{00000000-0005-0000-0000-0000E0050000}"/>
    <cellStyle name="20% - Accent2 8 6 2" xfId="1506" xr:uid="{00000000-0005-0000-0000-0000E1050000}"/>
    <cellStyle name="20% - Accent2 8 7" xfId="1507" xr:uid="{00000000-0005-0000-0000-0000E2050000}"/>
    <cellStyle name="20% - Accent2 8 8" xfId="1508" xr:uid="{00000000-0005-0000-0000-0000E3050000}"/>
    <cellStyle name="20% - Accent2 9" xfId="1509" xr:uid="{00000000-0005-0000-0000-0000E4050000}"/>
    <cellStyle name="20% - Accent2 9 2" xfId="1510" xr:uid="{00000000-0005-0000-0000-0000E5050000}"/>
    <cellStyle name="20% - Accent2 9 2 2" xfId="1511" xr:uid="{00000000-0005-0000-0000-0000E6050000}"/>
    <cellStyle name="20% - Accent2 9 2 2 2" xfId="1512" xr:uid="{00000000-0005-0000-0000-0000E7050000}"/>
    <cellStyle name="20% - Accent2 9 2 2 2 2" xfId="1513" xr:uid="{00000000-0005-0000-0000-0000E8050000}"/>
    <cellStyle name="20% - Accent2 9 2 2 2 2 2" xfId="1514" xr:uid="{00000000-0005-0000-0000-0000E9050000}"/>
    <cellStyle name="20% - Accent2 9 2 2 2 3" xfId="1515" xr:uid="{00000000-0005-0000-0000-0000EA050000}"/>
    <cellStyle name="20% - Accent2 9 2 2 2 3 2" xfId="1516" xr:uid="{00000000-0005-0000-0000-0000EB050000}"/>
    <cellStyle name="20% - Accent2 9 2 2 2 4" xfId="1517" xr:uid="{00000000-0005-0000-0000-0000EC050000}"/>
    <cellStyle name="20% - Accent2 9 2 2 2 5" xfId="1518" xr:uid="{00000000-0005-0000-0000-0000ED050000}"/>
    <cellStyle name="20% - Accent2 9 2 2 3" xfId="1519" xr:uid="{00000000-0005-0000-0000-0000EE050000}"/>
    <cellStyle name="20% - Accent2 9 2 2 3 2" xfId="1520" xr:uid="{00000000-0005-0000-0000-0000EF050000}"/>
    <cellStyle name="20% - Accent2 9 2 2 4" xfId="1521" xr:uid="{00000000-0005-0000-0000-0000F0050000}"/>
    <cellStyle name="20% - Accent2 9 2 2 4 2" xfId="1522" xr:uid="{00000000-0005-0000-0000-0000F1050000}"/>
    <cellStyle name="20% - Accent2 9 2 2 5" xfId="1523" xr:uid="{00000000-0005-0000-0000-0000F2050000}"/>
    <cellStyle name="20% - Accent2 9 2 2 6" xfId="1524" xr:uid="{00000000-0005-0000-0000-0000F3050000}"/>
    <cellStyle name="20% - Accent2 9 2 3" xfId="1525" xr:uid="{00000000-0005-0000-0000-0000F4050000}"/>
    <cellStyle name="20% - Accent2 9 2 3 2" xfId="1526" xr:uid="{00000000-0005-0000-0000-0000F5050000}"/>
    <cellStyle name="20% - Accent2 9 2 3 2 2" xfId="1527" xr:uid="{00000000-0005-0000-0000-0000F6050000}"/>
    <cellStyle name="20% - Accent2 9 2 3 3" xfId="1528" xr:uid="{00000000-0005-0000-0000-0000F7050000}"/>
    <cellStyle name="20% - Accent2 9 2 3 3 2" xfId="1529" xr:uid="{00000000-0005-0000-0000-0000F8050000}"/>
    <cellStyle name="20% - Accent2 9 2 3 4" xfId="1530" xr:uid="{00000000-0005-0000-0000-0000F9050000}"/>
    <cellStyle name="20% - Accent2 9 2 3 5" xfId="1531" xr:uid="{00000000-0005-0000-0000-0000FA050000}"/>
    <cellStyle name="20% - Accent2 9 2 4" xfId="1532" xr:uid="{00000000-0005-0000-0000-0000FB050000}"/>
    <cellStyle name="20% - Accent2 9 2 4 2" xfId="1533" xr:uid="{00000000-0005-0000-0000-0000FC050000}"/>
    <cellStyle name="20% - Accent2 9 2 5" xfId="1534" xr:uid="{00000000-0005-0000-0000-0000FD050000}"/>
    <cellStyle name="20% - Accent2 9 2 5 2" xfId="1535" xr:uid="{00000000-0005-0000-0000-0000FE050000}"/>
    <cellStyle name="20% - Accent2 9 2 6" xfId="1536" xr:uid="{00000000-0005-0000-0000-0000FF050000}"/>
    <cellStyle name="20% - Accent2 9 2 7" xfId="1537" xr:uid="{00000000-0005-0000-0000-000000060000}"/>
    <cellStyle name="20% - Accent2 9 3" xfId="1538" xr:uid="{00000000-0005-0000-0000-000001060000}"/>
    <cellStyle name="20% - Accent2 9 3 2" xfId="1539" xr:uid="{00000000-0005-0000-0000-000002060000}"/>
    <cellStyle name="20% - Accent2 9 3 2 2" xfId="1540" xr:uid="{00000000-0005-0000-0000-000003060000}"/>
    <cellStyle name="20% - Accent2 9 3 2 2 2" xfId="1541" xr:uid="{00000000-0005-0000-0000-000004060000}"/>
    <cellStyle name="20% - Accent2 9 3 2 3" xfId="1542" xr:uid="{00000000-0005-0000-0000-000005060000}"/>
    <cellStyle name="20% - Accent2 9 3 2 3 2" xfId="1543" xr:uid="{00000000-0005-0000-0000-000006060000}"/>
    <cellStyle name="20% - Accent2 9 3 2 4" xfId="1544" xr:uid="{00000000-0005-0000-0000-000007060000}"/>
    <cellStyle name="20% - Accent2 9 3 2 5" xfId="1545" xr:uid="{00000000-0005-0000-0000-000008060000}"/>
    <cellStyle name="20% - Accent2 9 3 3" xfId="1546" xr:uid="{00000000-0005-0000-0000-000009060000}"/>
    <cellStyle name="20% - Accent2 9 3 3 2" xfId="1547" xr:uid="{00000000-0005-0000-0000-00000A060000}"/>
    <cellStyle name="20% - Accent2 9 3 4" xfId="1548" xr:uid="{00000000-0005-0000-0000-00000B060000}"/>
    <cellStyle name="20% - Accent2 9 3 4 2" xfId="1549" xr:uid="{00000000-0005-0000-0000-00000C060000}"/>
    <cellStyle name="20% - Accent2 9 3 5" xfId="1550" xr:uid="{00000000-0005-0000-0000-00000D060000}"/>
    <cellStyle name="20% - Accent2 9 3 6" xfId="1551" xr:uid="{00000000-0005-0000-0000-00000E060000}"/>
    <cellStyle name="20% - Accent2 9 4" xfId="1552" xr:uid="{00000000-0005-0000-0000-00000F060000}"/>
    <cellStyle name="20% - Accent2 9 4 2" xfId="1553" xr:uid="{00000000-0005-0000-0000-000010060000}"/>
    <cellStyle name="20% - Accent2 9 4 2 2" xfId="1554" xr:uid="{00000000-0005-0000-0000-000011060000}"/>
    <cellStyle name="20% - Accent2 9 4 3" xfId="1555" xr:uid="{00000000-0005-0000-0000-000012060000}"/>
    <cellStyle name="20% - Accent2 9 4 3 2" xfId="1556" xr:uid="{00000000-0005-0000-0000-000013060000}"/>
    <cellStyle name="20% - Accent2 9 4 4" xfId="1557" xr:uid="{00000000-0005-0000-0000-000014060000}"/>
    <cellStyle name="20% - Accent2 9 4 5" xfId="1558" xr:uid="{00000000-0005-0000-0000-000015060000}"/>
    <cellStyle name="20% - Accent2 9 5" xfId="1559" xr:uid="{00000000-0005-0000-0000-000016060000}"/>
    <cellStyle name="20% - Accent2 9 5 2" xfId="1560" xr:uid="{00000000-0005-0000-0000-000017060000}"/>
    <cellStyle name="20% - Accent2 9 6" xfId="1561" xr:uid="{00000000-0005-0000-0000-000018060000}"/>
    <cellStyle name="20% - Accent2 9 6 2" xfId="1562" xr:uid="{00000000-0005-0000-0000-000019060000}"/>
    <cellStyle name="20% - Accent2 9 7" xfId="1563" xr:uid="{00000000-0005-0000-0000-00001A060000}"/>
    <cellStyle name="20% - Accent2 9 8" xfId="1564" xr:uid="{00000000-0005-0000-0000-00001B060000}"/>
    <cellStyle name="20% - Accent3 10" xfId="1565" xr:uid="{00000000-0005-0000-0000-00001C060000}"/>
    <cellStyle name="20% - Accent3 10 2" xfId="1566" xr:uid="{00000000-0005-0000-0000-00001D060000}"/>
    <cellStyle name="20% - Accent3 10 2 2" xfId="1567" xr:uid="{00000000-0005-0000-0000-00001E060000}"/>
    <cellStyle name="20% - Accent3 10 2 2 2" xfId="1568" xr:uid="{00000000-0005-0000-0000-00001F060000}"/>
    <cellStyle name="20% - Accent3 10 2 2 2 2" xfId="1569" xr:uid="{00000000-0005-0000-0000-000020060000}"/>
    <cellStyle name="20% - Accent3 10 2 2 2 2 2" xfId="1570" xr:uid="{00000000-0005-0000-0000-000021060000}"/>
    <cellStyle name="20% - Accent3 10 2 2 2 3" xfId="1571" xr:uid="{00000000-0005-0000-0000-000022060000}"/>
    <cellStyle name="20% - Accent3 10 2 2 2 3 2" xfId="1572" xr:uid="{00000000-0005-0000-0000-000023060000}"/>
    <cellStyle name="20% - Accent3 10 2 2 2 4" xfId="1573" xr:uid="{00000000-0005-0000-0000-000024060000}"/>
    <cellStyle name="20% - Accent3 10 2 2 2 5" xfId="1574" xr:uid="{00000000-0005-0000-0000-000025060000}"/>
    <cellStyle name="20% - Accent3 10 2 2 3" xfId="1575" xr:uid="{00000000-0005-0000-0000-000026060000}"/>
    <cellStyle name="20% - Accent3 10 2 2 3 2" xfId="1576" xr:uid="{00000000-0005-0000-0000-000027060000}"/>
    <cellStyle name="20% - Accent3 10 2 2 4" xfId="1577" xr:uid="{00000000-0005-0000-0000-000028060000}"/>
    <cellStyle name="20% - Accent3 10 2 2 4 2" xfId="1578" xr:uid="{00000000-0005-0000-0000-000029060000}"/>
    <cellStyle name="20% - Accent3 10 2 2 5" xfId="1579" xr:uid="{00000000-0005-0000-0000-00002A060000}"/>
    <cellStyle name="20% - Accent3 10 2 2 6" xfId="1580" xr:uid="{00000000-0005-0000-0000-00002B060000}"/>
    <cellStyle name="20% - Accent3 10 2 3" xfId="1581" xr:uid="{00000000-0005-0000-0000-00002C060000}"/>
    <cellStyle name="20% - Accent3 10 2 3 2" xfId="1582" xr:uid="{00000000-0005-0000-0000-00002D060000}"/>
    <cellStyle name="20% - Accent3 10 2 3 2 2" xfId="1583" xr:uid="{00000000-0005-0000-0000-00002E060000}"/>
    <cellStyle name="20% - Accent3 10 2 3 3" xfId="1584" xr:uid="{00000000-0005-0000-0000-00002F060000}"/>
    <cellStyle name="20% - Accent3 10 2 3 3 2" xfId="1585" xr:uid="{00000000-0005-0000-0000-000030060000}"/>
    <cellStyle name="20% - Accent3 10 2 3 4" xfId="1586" xr:uid="{00000000-0005-0000-0000-000031060000}"/>
    <cellStyle name="20% - Accent3 10 2 3 5" xfId="1587" xr:uid="{00000000-0005-0000-0000-000032060000}"/>
    <cellStyle name="20% - Accent3 10 2 4" xfId="1588" xr:uid="{00000000-0005-0000-0000-000033060000}"/>
    <cellStyle name="20% - Accent3 10 2 4 2" xfId="1589" xr:uid="{00000000-0005-0000-0000-000034060000}"/>
    <cellStyle name="20% - Accent3 10 2 5" xfId="1590" xr:uid="{00000000-0005-0000-0000-000035060000}"/>
    <cellStyle name="20% - Accent3 10 2 5 2" xfId="1591" xr:uid="{00000000-0005-0000-0000-000036060000}"/>
    <cellStyle name="20% - Accent3 10 2 6" xfId="1592" xr:uid="{00000000-0005-0000-0000-000037060000}"/>
    <cellStyle name="20% - Accent3 10 2 7" xfId="1593" xr:uid="{00000000-0005-0000-0000-000038060000}"/>
    <cellStyle name="20% - Accent3 10 3" xfId="1594" xr:uid="{00000000-0005-0000-0000-000039060000}"/>
    <cellStyle name="20% - Accent3 10 3 2" xfId="1595" xr:uid="{00000000-0005-0000-0000-00003A060000}"/>
    <cellStyle name="20% - Accent3 10 3 2 2" xfId="1596" xr:uid="{00000000-0005-0000-0000-00003B060000}"/>
    <cellStyle name="20% - Accent3 10 3 2 2 2" xfId="1597" xr:uid="{00000000-0005-0000-0000-00003C060000}"/>
    <cellStyle name="20% - Accent3 10 3 2 3" xfId="1598" xr:uid="{00000000-0005-0000-0000-00003D060000}"/>
    <cellStyle name="20% - Accent3 10 3 2 3 2" xfId="1599" xr:uid="{00000000-0005-0000-0000-00003E060000}"/>
    <cellStyle name="20% - Accent3 10 3 2 4" xfId="1600" xr:uid="{00000000-0005-0000-0000-00003F060000}"/>
    <cellStyle name="20% - Accent3 10 3 2 5" xfId="1601" xr:uid="{00000000-0005-0000-0000-000040060000}"/>
    <cellStyle name="20% - Accent3 10 3 3" xfId="1602" xr:uid="{00000000-0005-0000-0000-000041060000}"/>
    <cellStyle name="20% - Accent3 10 3 3 2" xfId="1603" xr:uid="{00000000-0005-0000-0000-000042060000}"/>
    <cellStyle name="20% - Accent3 10 3 4" xfId="1604" xr:uid="{00000000-0005-0000-0000-000043060000}"/>
    <cellStyle name="20% - Accent3 10 3 4 2" xfId="1605" xr:uid="{00000000-0005-0000-0000-000044060000}"/>
    <cellStyle name="20% - Accent3 10 3 5" xfId="1606" xr:uid="{00000000-0005-0000-0000-000045060000}"/>
    <cellStyle name="20% - Accent3 10 3 6" xfId="1607" xr:uid="{00000000-0005-0000-0000-000046060000}"/>
    <cellStyle name="20% - Accent3 10 4" xfId="1608" xr:uid="{00000000-0005-0000-0000-000047060000}"/>
    <cellStyle name="20% - Accent3 10 4 2" xfId="1609" xr:uid="{00000000-0005-0000-0000-000048060000}"/>
    <cellStyle name="20% - Accent3 10 4 2 2" xfId="1610" xr:uid="{00000000-0005-0000-0000-000049060000}"/>
    <cellStyle name="20% - Accent3 10 4 3" xfId="1611" xr:uid="{00000000-0005-0000-0000-00004A060000}"/>
    <cellStyle name="20% - Accent3 10 4 3 2" xfId="1612" xr:uid="{00000000-0005-0000-0000-00004B060000}"/>
    <cellStyle name="20% - Accent3 10 4 4" xfId="1613" xr:uid="{00000000-0005-0000-0000-00004C060000}"/>
    <cellStyle name="20% - Accent3 10 4 5" xfId="1614" xr:uid="{00000000-0005-0000-0000-00004D060000}"/>
    <cellStyle name="20% - Accent3 10 5" xfId="1615" xr:uid="{00000000-0005-0000-0000-00004E060000}"/>
    <cellStyle name="20% - Accent3 10 5 2" xfId="1616" xr:uid="{00000000-0005-0000-0000-00004F060000}"/>
    <cellStyle name="20% - Accent3 10 6" xfId="1617" xr:uid="{00000000-0005-0000-0000-000050060000}"/>
    <cellStyle name="20% - Accent3 10 6 2" xfId="1618" xr:uid="{00000000-0005-0000-0000-000051060000}"/>
    <cellStyle name="20% - Accent3 10 7" xfId="1619" xr:uid="{00000000-0005-0000-0000-000052060000}"/>
    <cellStyle name="20% - Accent3 10 8" xfId="1620" xr:uid="{00000000-0005-0000-0000-000053060000}"/>
    <cellStyle name="20% - Accent3 11" xfId="1621" xr:uid="{00000000-0005-0000-0000-000054060000}"/>
    <cellStyle name="20% - Accent3 11 2" xfId="1622" xr:uid="{00000000-0005-0000-0000-000055060000}"/>
    <cellStyle name="20% - Accent3 11 2 2" xfId="1623" xr:uid="{00000000-0005-0000-0000-000056060000}"/>
    <cellStyle name="20% - Accent3 11 2 2 2" xfId="1624" xr:uid="{00000000-0005-0000-0000-000057060000}"/>
    <cellStyle name="20% - Accent3 11 2 2 2 2" xfId="1625" xr:uid="{00000000-0005-0000-0000-000058060000}"/>
    <cellStyle name="20% - Accent3 11 2 2 3" xfId="1626" xr:uid="{00000000-0005-0000-0000-000059060000}"/>
    <cellStyle name="20% - Accent3 11 2 2 3 2" xfId="1627" xr:uid="{00000000-0005-0000-0000-00005A060000}"/>
    <cellStyle name="20% - Accent3 11 2 2 4" xfId="1628" xr:uid="{00000000-0005-0000-0000-00005B060000}"/>
    <cellStyle name="20% - Accent3 11 2 2 5" xfId="1629" xr:uid="{00000000-0005-0000-0000-00005C060000}"/>
    <cellStyle name="20% - Accent3 11 2 3" xfId="1630" xr:uid="{00000000-0005-0000-0000-00005D060000}"/>
    <cellStyle name="20% - Accent3 11 2 3 2" xfId="1631" xr:uid="{00000000-0005-0000-0000-00005E060000}"/>
    <cellStyle name="20% - Accent3 11 2 4" xfId="1632" xr:uid="{00000000-0005-0000-0000-00005F060000}"/>
    <cellStyle name="20% - Accent3 11 2 4 2" xfId="1633" xr:uid="{00000000-0005-0000-0000-000060060000}"/>
    <cellStyle name="20% - Accent3 11 2 5" xfId="1634" xr:uid="{00000000-0005-0000-0000-000061060000}"/>
    <cellStyle name="20% - Accent3 11 2 6" xfId="1635" xr:uid="{00000000-0005-0000-0000-000062060000}"/>
    <cellStyle name="20% - Accent3 11 3" xfId="1636" xr:uid="{00000000-0005-0000-0000-000063060000}"/>
    <cellStyle name="20% - Accent3 11 3 2" xfId="1637" xr:uid="{00000000-0005-0000-0000-000064060000}"/>
    <cellStyle name="20% - Accent3 11 3 2 2" xfId="1638" xr:uid="{00000000-0005-0000-0000-000065060000}"/>
    <cellStyle name="20% - Accent3 11 3 3" xfId="1639" xr:uid="{00000000-0005-0000-0000-000066060000}"/>
    <cellStyle name="20% - Accent3 11 3 3 2" xfId="1640" xr:uid="{00000000-0005-0000-0000-000067060000}"/>
    <cellStyle name="20% - Accent3 11 3 4" xfId="1641" xr:uid="{00000000-0005-0000-0000-000068060000}"/>
    <cellStyle name="20% - Accent3 11 3 5" xfId="1642" xr:uid="{00000000-0005-0000-0000-000069060000}"/>
    <cellStyle name="20% - Accent3 11 4" xfId="1643" xr:uid="{00000000-0005-0000-0000-00006A060000}"/>
    <cellStyle name="20% - Accent3 11 4 2" xfId="1644" xr:uid="{00000000-0005-0000-0000-00006B060000}"/>
    <cellStyle name="20% - Accent3 11 5" xfId="1645" xr:uid="{00000000-0005-0000-0000-00006C060000}"/>
    <cellStyle name="20% - Accent3 11 5 2" xfId="1646" xr:uid="{00000000-0005-0000-0000-00006D060000}"/>
    <cellStyle name="20% - Accent3 11 6" xfId="1647" xr:uid="{00000000-0005-0000-0000-00006E060000}"/>
    <cellStyle name="20% - Accent3 11 7" xfId="1648" xr:uid="{00000000-0005-0000-0000-00006F060000}"/>
    <cellStyle name="20% - Accent3 12" xfId="1649" xr:uid="{00000000-0005-0000-0000-000070060000}"/>
    <cellStyle name="20% - Accent3 12 2" xfId="1650" xr:uid="{00000000-0005-0000-0000-000071060000}"/>
    <cellStyle name="20% - Accent3 12 2 2" xfId="1651" xr:uid="{00000000-0005-0000-0000-000072060000}"/>
    <cellStyle name="20% - Accent3 12 2 2 2" xfId="1652" xr:uid="{00000000-0005-0000-0000-000073060000}"/>
    <cellStyle name="20% - Accent3 12 2 3" xfId="1653" xr:uid="{00000000-0005-0000-0000-000074060000}"/>
    <cellStyle name="20% - Accent3 12 2 3 2" xfId="1654" xr:uid="{00000000-0005-0000-0000-000075060000}"/>
    <cellStyle name="20% - Accent3 12 2 4" xfId="1655" xr:uid="{00000000-0005-0000-0000-000076060000}"/>
    <cellStyle name="20% - Accent3 12 2 5" xfId="1656" xr:uid="{00000000-0005-0000-0000-000077060000}"/>
    <cellStyle name="20% - Accent3 12 3" xfId="1657" xr:uid="{00000000-0005-0000-0000-000078060000}"/>
    <cellStyle name="20% - Accent3 12 3 2" xfId="1658" xr:uid="{00000000-0005-0000-0000-000079060000}"/>
    <cellStyle name="20% - Accent3 12 4" xfId="1659" xr:uid="{00000000-0005-0000-0000-00007A060000}"/>
    <cellStyle name="20% - Accent3 12 4 2" xfId="1660" xr:uid="{00000000-0005-0000-0000-00007B060000}"/>
    <cellStyle name="20% - Accent3 12 5" xfId="1661" xr:uid="{00000000-0005-0000-0000-00007C060000}"/>
    <cellStyle name="20% - Accent3 12 6" xfId="1662" xr:uid="{00000000-0005-0000-0000-00007D060000}"/>
    <cellStyle name="20% - Accent3 13" xfId="1663" xr:uid="{00000000-0005-0000-0000-00007E060000}"/>
    <cellStyle name="20% - Accent3 13 2" xfId="1664" xr:uid="{00000000-0005-0000-0000-00007F060000}"/>
    <cellStyle name="20% - Accent3 13 2 2" xfId="1665" xr:uid="{00000000-0005-0000-0000-000080060000}"/>
    <cellStyle name="20% - Accent3 13 2 2 2" xfId="1666" xr:uid="{00000000-0005-0000-0000-000081060000}"/>
    <cellStyle name="20% - Accent3 13 2 3" xfId="1667" xr:uid="{00000000-0005-0000-0000-000082060000}"/>
    <cellStyle name="20% - Accent3 13 2 3 2" xfId="1668" xr:uid="{00000000-0005-0000-0000-000083060000}"/>
    <cellStyle name="20% - Accent3 13 2 4" xfId="1669" xr:uid="{00000000-0005-0000-0000-000084060000}"/>
    <cellStyle name="20% - Accent3 13 2 5" xfId="1670" xr:uid="{00000000-0005-0000-0000-000085060000}"/>
    <cellStyle name="20% - Accent3 13 3" xfId="1671" xr:uid="{00000000-0005-0000-0000-000086060000}"/>
    <cellStyle name="20% - Accent3 13 3 2" xfId="1672" xr:uid="{00000000-0005-0000-0000-000087060000}"/>
    <cellStyle name="20% - Accent3 13 4" xfId="1673" xr:uid="{00000000-0005-0000-0000-000088060000}"/>
    <cellStyle name="20% - Accent3 13 4 2" xfId="1674" xr:uid="{00000000-0005-0000-0000-000089060000}"/>
    <cellStyle name="20% - Accent3 13 5" xfId="1675" xr:uid="{00000000-0005-0000-0000-00008A060000}"/>
    <cellStyle name="20% - Accent3 13 6" xfId="1676" xr:uid="{00000000-0005-0000-0000-00008B060000}"/>
    <cellStyle name="20% - Accent3 14" xfId="1677" xr:uid="{00000000-0005-0000-0000-00008C060000}"/>
    <cellStyle name="20% - Accent3 14 2" xfId="1678" xr:uid="{00000000-0005-0000-0000-00008D060000}"/>
    <cellStyle name="20% - Accent3 14 2 2" xfId="1679" xr:uid="{00000000-0005-0000-0000-00008E060000}"/>
    <cellStyle name="20% - Accent3 14 2 2 2" xfId="1680" xr:uid="{00000000-0005-0000-0000-00008F060000}"/>
    <cellStyle name="20% - Accent3 14 2 3" xfId="1681" xr:uid="{00000000-0005-0000-0000-000090060000}"/>
    <cellStyle name="20% - Accent3 14 2 3 2" xfId="1682" xr:uid="{00000000-0005-0000-0000-000091060000}"/>
    <cellStyle name="20% - Accent3 14 2 4" xfId="1683" xr:uid="{00000000-0005-0000-0000-000092060000}"/>
    <cellStyle name="20% - Accent3 14 2 5" xfId="1684" xr:uid="{00000000-0005-0000-0000-000093060000}"/>
    <cellStyle name="20% - Accent3 14 3" xfId="1685" xr:uid="{00000000-0005-0000-0000-000094060000}"/>
    <cellStyle name="20% - Accent3 14 3 2" xfId="1686" xr:uid="{00000000-0005-0000-0000-000095060000}"/>
    <cellStyle name="20% - Accent3 14 4" xfId="1687" xr:uid="{00000000-0005-0000-0000-000096060000}"/>
    <cellStyle name="20% - Accent3 14 4 2" xfId="1688" xr:uid="{00000000-0005-0000-0000-000097060000}"/>
    <cellStyle name="20% - Accent3 14 5" xfId="1689" xr:uid="{00000000-0005-0000-0000-000098060000}"/>
    <cellStyle name="20% - Accent3 14 6" xfId="1690" xr:uid="{00000000-0005-0000-0000-000099060000}"/>
    <cellStyle name="20% - Accent3 15" xfId="1691" xr:uid="{00000000-0005-0000-0000-00009A060000}"/>
    <cellStyle name="20% - Accent3 15 2" xfId="1692" xr:uid="{00000000-0005-0000-0000-00009B060000}"/>
    <cellStyle name="20% - Accent3 15 2 2" xfId="1693" xr:uid="{00000000-0005-0000-0000-00009C060000}"/>
    <cellStyle name="20% - Accent3 15 2 2 2" xfId="1694" xr:uid="{00000000-0005-0000-0000-00009D060000}"/>
    <cellStyle name="20% - Accent3 15 2 3" xfId="1695" xr:uid="{00000000-0005-0000-0000-00009E060000}"/>
    <cellStyle name="20% - Accent3 15 2 3 2" xfId="1696" xr:uid="{00000000-0005-0000-0000-00009F060000}"/>
    <cellStyle name="20% - Accent3 15 2 4" xfId="1697" xr:uid="{00000000-0005-0000-0000-0000A0060000}"/>
    <cellStyle name="20% - Accent3 15 2 5" xfId="1698" xr:uid="{00000000-0005-0000-0000-0000A1060000}"/>
    <cellStyle name="20% - Accent3 15 3" xfId="1699" xr:uid="{00000000-0005-0000-0000-0000A2060000}"/>
    <cellStyle name="20% - Accent3 15 3 2" xfId="1700" xr:uid="{00000000-0005-0000-0000-0000A3060000}"/>
    <cellStyle name="20% - Accent3 15 4" xfId="1701" xr:uid="{00000000-0005-0000-0000-0000A4060000}"/>
    <cellStyle name="20% - Accent3 15 4 2" xfId="1702" xr:uid="{00000000-0005-0000-0000-0000A5060000}"/>
    <cellStyle name="20% - Accent3 15 5" xfId="1703" xr:uid="{00000000-0005-0000-0000-0000A6060000}"/>
    <cellStyle name="20% - Accent3 15 6" xfId="1704" xr:uid="{00000000-0005-0000-0000-0000A7060000}"/>
    <cellStyle name="20% - Accent3 16" xfId="1705" xr:uid="{00000000-0005-0000-0000-0000A8060000}"/>
    <cellStyle name="20% - Accent3 16 2" xfId="1706" xr:uid="{00000000-0005-0000-0000-0000A9060000}"/>
    <cellStyle name="20% - Accent3 16 2 2" xfId="1707" xr:uid="{00000000-0005-0000-0000-0000AA060000}"/>
    <cellStyle name="20% - Accent3 16 2 3" xfId="1708" xr:uid="{00000000-0005-0000-0000-0000AB060000}"/>
    <cellStyle name="20% - Accent3 16 3" xfId="1709" xr:uid="{00000000-0005-0000-0000-0000AC060000}"/>
    <cellStyle name="20% - Accent3 16 4" xfId="1710" xr:uid="{00000000-0005-0000-0000-0000AD060000}"/>
    <cellStyle name="20% - Accent3 17" xfId="1711" xr:uid="{00000000-0005-0000-0000-0000AE060000}"/>
    <cellStyle name="20% - Accent3 17 2" xfId="1712" xr:uid="{00000000-0005-0000-0000-0000AF060000}"/>
    <cellStyle name="20% - Accent3 17 2 2" xfId="1713" xr:uid="{00000000-0005-0000-0000-0000B0060000}"/>
    <cellStyle name="20% - Accent3 17 2 3" xfId="1714" xr:uid="{00000000-0005-0000-0000-0000B1060000}"/>
    <cellStyle name="20% - Accent3 17 3" xfId="1715" xr:uid="{00000000-0005-0000-0000-0000B2060000}"/>
    <cellStyle name="20% - Accent3 17 4" xfId="1716" xr:uid="{00000000-0005-0000-0000-0000B3060000}"/>
    <cellStyle name="20% - Accent3 18" xfId="1717" xr:uid="{00000000-0005-0000-0000-0000B4060000}"/>
    <cellStyle name="20% - Accent3 18 2" xfId="1718" xr:uid="{00000000-0005-0000-0000-0000B5060000}"/>
    <cellStyle name="20% - Accent3 18 2 2" xfId="1719" xr:uid="{00000000-0005-0000-0000-0000B6060000}"/>
    <cellStyle name="20% - Accent3 18 2 3" xfId="1720" xr:uid="{00000000-0005-0000-0000-0000B7060000}"/>
    <cellStyle name="20% - Accent3 18 3" xfId="1721" xr:uid="{00000000-0005-0000-0000-0000B8060000}"/>
    <cellStyle name="20% - Accent3 18 4" xfId="1722" xr:uid="{00000000-0005-0000-0000-0000B9060000}"/>
    <cellStyle name="20% - Accent3 19" xfId="1723" xr:uid="{00000000-0005-0000-0000-0000BA060000}"/>
    <cellStyle name="20% - Accent3 19 2" xfId="1724" xr:uid="{00000000-0005-0000-0000-0000BB060000}"/>
    <cellStyle name="20% - Accent3 19 2 2" xfId="1725" xr:uid="{00000000-0005-0000-0000-0000BC060000}"/>
    <cellStyle name="20% - Accent3 19 2 3" xfId="1726" xr:uid="{00000000-0005-0000-0000-0000BD060000}"/>
    <cellStyle name="20% - Accent3 19 3" xfId="1727" xr:uid="{00000000-0005-0000-0000-0000BE060000}"/>
    <cellStyle name="20% - Accent3 19 4" xfId="1728" xr:uid="{00000000-0005-0000-0000-0000BF060000}"/>
    <cellStyle name="20% - Accent3 2" xfId="1729" xr:uid="{00000000-0005-0000-0000-0000C0060000}"/>
    <cellStyle name="20% - Accent3 2 2" xfId="1730" xr:uid="{00000000-0005-0000-0000-0000C1060000}"/>
    <cellStyle name="20% - Accent3 2 2 2" xfId="1731" xr:uid="{00000000-0005-0000-0000-0000C2060000}"/>
    <cellStyle name="20% - Accent3 2 2 3" xfId="1732" xr:uid="{00000000-0005-0000-0000-0000C3060000}"/>
    <cellStyle name="20% - Accent3 2 2 4" xfId="1733" xr:uid="{00000000-0005-0000-0000-0000C4060000}"/>
    <cellStyle name="20% - Accent3 2 2 5" xfId="1734" xr:uid="{00000000-0005-0000-0000-0000C5060000}"/>
    <cellStyle name="20% - Accent3 2 3" xfId="1735" xr:uid="{00000000-0005-0000-0000-0000C6060000}"/>
    <cellStyle name="20% - Accent3 2 3 2" xfId="1736" xr:uid="{00000000-0005-0000-0000-0000C7060000}"/>
    <cellStyle name="20% - Accent3 2 4" xfId="1737" xr:uid="{00000000-0005-0000-0000-0000C8060000}"/>
    <cellStyle name="20% - Accent3 2 4 2" xfId="1738" xr:uid="{00000000-0005-0000-0000-0000C9060000}"/>
    <cellStyle name="20% - Accent3 2 4 2 2" xfId="1739" xr:uid="{00000000-0005-0000-0000-0000CA060000}"/>
    <cellStyle name="20% - Accent3 2 4 3" xfId="1740" xr:uid="{00000000-0005-0000-0000-0000CB060000}"/>
    <cellStyle name="20% - Accent3 2 4 4" xfId="1741" xr:uid="{00000000-0005-0000-0000-0000CC060000}"/>
    <cellStyle name="20% - Accent3 2 5" xfId="1742" xr:uid="{00000000-0005-0000-0000-0000CD060000}"/>
    <cellStyle name="20% - Accent3 2 5 2" xfId="1743" xr:uid="{00000000-0005-0000-0000-0000CE060000}"/>
    <cellStyle name="20% - Accent3 2 5 3" xfId="1744" xr:uid="{00000000-0005-0000-0000-0000CF060000}"/>
    <cellStyle name="20% - Accent3 2 6" xfId="1745" xr:uid="{00000000-0005-0000-0000-0000D0060000}"/>
    <cellStyle name="20% - Accent3 2 7" xfId="1746" xr:uid="{00000000-0005-0000-0000-0000D1060000}"/>
    <cellStyle name="20% - Accent3 20" xfId="1747" xr:uid="{00000000-0005-0000-0000-0000D2060000}"/>
    <cellStyle name="20% - Accent3 20 2" xfId="1748" xr:uid="{00000000-0005-0000-0000-0000D3060000}"/>
    <cellStyle name="20% - Accent3 20 3" xfId="1749" xr:uid="{00000000-0005-0000-0000-0000D4060000}"/>
    <cellStyle name="20% - Accent3 21" xfId="1750" xr:uid="{00000000-0005-0000-0000-0000D5060000}"/>
    <cellStyle name="20% - Accent3 21 2" xfId="1751" xr:uid="{00000000-0005-0000-0000-0000D6060000}"/>
    <cellStyle name="20% - Accent3 22" xfId="1752" xr:uid="{00000000-0005-0000-0000-0000D7060000}"/>
    <cellStyle name="20% - Accent3 23" xfId="1753" xr:uid="{00000000-0005-0000-0000-0000D8060000}"/>
    <cellStyle name="20% - Accent3 24" xfId="1754" xr:uid="{00000000-0005-0000-0000-0000D9060000}"/>
    <cellStyle name="20% - Accent3 3" xfId="1755" xr:uid="{00000000-0005-0000-0000-0000DA060000}"/>
    <cellStyle name="20% - Accent3 3 10" xfId="1756" xr:uid="{00000000-0005-0000-0000-0000DB060000}"/>
    <cellStyle name="20% - Accent3 3 11" xfId="1757" xr:uid="{00000000-0005-0000-0000-0000DC060000}"/>
    <cellStyle name="20% - Accent3 3 2" xfId="1758" xr:uid="{00000000-0005-0000-0000-0000DD060000}"/>
    <cellStyle name="20% - Accent3 3 2 2" xfId="1759" xr:uid="{00000000-0005-0000-0000-0000DE060000}"/>
    <cellStyle name="20% - Accent3 3 2 2 2" xfId="1760" xr:uid="{00000000-0005-0000-0000-0000DF060000}"/>
    <cellStyle name="20% - Accent3 3 2 2 2 2" xfId="1761" xr:uid="{00000000-0005-0000-0000-0000E0060000}"/>
    <cellStyle name="20% - Accent3 3 2 2 2 2 2" xfId="1762" xr:uid="{00000000-0005-0000-0000-0000E1060000}"/>
    <cellStyle name="20% - Accent3 3 2 2 2 2 2 2" xfId="1763" xr:uid="{00000000-0005-0000-0000-0000E2060000}"/>
    <cellStyle name="20% - Accent3 3 2 2 2 2 3" xfId="1764" xr:uid="{00000000-0005-0000-0000-0000E3060000}"/>
    <cellStyle name="20% - Accent3 3 2 2 2 2 3 2" xfId="1765" xr:uid="{00000000-0005-0000-0000-0000E4060000}"/>
    <cellStyle name="20% - Accent3 3 2 2 2 2 4" xfId="1766" xr:uid="{00000000-0005-0000-0000-0000E5060000}"/>
    <cellStyle name="20% - Accent3 3 2 2 2 2 5" xfId="1767" xr:uid="{00000000-0005-0000-0000-0000E6060000}"/>
    <cellStyle name="20% - Accent3 3 2 2 2 3" xfId="1768" xr:uid="{00000000-0005-0000-0000-0000E7060000}"/>
    <cellStyle name="20% - Accent3 3 2 2 2 3 2" xfId="1769" xr:uid="{00000000-0005-0000-0000-0000E8060000}"/>
    <cellStyle name="20% - Accent3 3 2 2 2 4" xfId="1770" xr:uid="{00000000-0005-0000-0000-0000E9060000}"/>
    <cellStyle name="20% - Accent3 3 2 2 2 4 2" xfId="1771" xr:uid="{00000000-0005-0000-0000-0000EA060000}"/>
    <cellStyle name="20% - Accent3 3 2 2 2 5" xfId="1772" xr:uid="{00000000-0005-0000-0000-0000EB060000}"/>
    <cellStyle name="20% - Accent3 3 2 2 2 6" xfId="1773" xr:uid="{00000000-0005-0000-0000-0000EC060000}"/>
    <cellStyle name="20% - Accent3 3 2 2 3" xfId="1774" xr:uid="{00000000-0005-0000-0000-0000ED060000}"/>
    <cellStyle name="20% - Accent3 3 2 2 3 2" xfId="1775" xr:uid="{00000000-0005-0000-0000-0000EE060000}"/>
    <cellStyle name="20% - Accent3 3 2 2 3 2 2" xfId="1776" xr:uid="{00000000-0005-0000-0000-0000EF060000}"/>
    <cellStyle name="20% - Accent3 3 2 2 3 3" xfId="1777" xr:uid="{00000000-0005-0000-0000-0000F0060000}"/>
    <cellStyle name="20% - Accent3 3 2 2 3 3 2" xfId="1778" xr:uid="{00000000-0005-0000-0000-0000F1060000}"/>
    <cellStyle name="20% - Accent3 3 2 2 3 4" xfId="1779" xr:uid="{00000000-0005-0000-0000-0000F2060000}"/>
    <cellStyle name="20% - Accent3 3 2 2 3 5" xfId="1780" xr:uid="{00000000-0005-0000-0000-0000F3060000}"/>
    <cellStyle name="20% - Accent3 3 2 2 4" xfId="1781" xr:uid="{00000000-0005-0000-0000-0000F4060000}"/>
    <cellStyle name="20% - Accent3 3 2 2 4 2" xfId="1782" xr:uid="{00000000-0005-0000-0000-0000F5060000}"/>
    <cellStyle name="20% - Accent3 3 2 2 5" xfId="1783" xr:uid="{00000000-0005-0000-0000-0000F6060000}"/>
    <cellStyle name="20% - Accent3 3 2 2 5 2" xfId="1784" xr:uid="{00000000-0005-0000-0000-0000F7060000}"/>
    <cellStyle name="20% - Accent3 3 2 2 6" xfId="1785" xr:uid="{00000000-0005-0000-0000-0000F8060000}"/>
    <cellStyle name="20% - Accent3 3 2 2 7" xfId="1786" xr:uid="{00000000-0005-0000-0000-0000F9060000}"/>
    <cellStyle name="20% - Accent3 3 2 2 8" xfId="1787" xr:uid="{00000000-0005-0000-0000-0000FA060000}"/>
    <cellStyle name="20% - Accent3 3 2 3" xfId="1788" xr:uid="{00000000-0005-0000-0000-0000FB060000}"/>
    <cellStyle name="20% - Accent3 3 2 3 2" xfId="1789" xr:uid="{00000000-0005-0000-0000-0000FC060000}"/>
    <cellStyle name="20% - Accent3 3 2 3 2 2" xfId="1790" xr:uid="{00000000-0005-0000-0000-0000FD060000}"/>
    <cellStyle name="20% - Accent3 3 2 3 2 2 2" xfId="1791" xr:uid="{00000000-0005-0000-0000-0000FE060000}"/>
    <cellStyle name="20% - Accent3 3 2 3 2 3" xfId="1792" xr:uid="{00000000-0005-0000-0000-0000FF060000}"/>
    <cellStyle name="20% - Accent3 3 2 3 2 3 2" xfId="1793" xr:uid="{00000000-0005-0000-0000-000000070000}"/>
    <cellStyle name="20% - Accent3 3 2 3 2 4" xfId="1794" xr:uid="{00000000-0005-0000-0000-000001070000}"/>
    <cellStyle name="20% - Accent3 3 2 3 2 5" xfId="1795" xr:uid="{00000000-0005-0000-0000-000002070000}"/>
    <cellStyle name="20% - Accent3 3 2 3 3" xfId="1796" xr:uid="{00000000-0005-0000-0000-000003070000}"/>
    <cellStyle name="20% - Accent3 3 2 3 3 2" xfId="1797" xr:uid="{00000000-0005-0000-0000-000004070000}"/>
    <cellStyle name="20% - Accent3 3 2 3 4" xfId="1798" xr:uid="{00000000-0005-0000-0000-000005070000}"/>
    <cellStyle name="20% - Accent3 3 2 3 4 2" xfId="1799" xr:uid="{00000000-0005-0000-0000-000006070000}"/>
    <cellStyle name="20% - Accent3 3 2 3 5" xfId="1800" xr:uid="{00000000-0005-0000-0000-000007070000}"/>
    <cellStyle name="20% - Accent3 3 2 3 6" xfId="1801" xr:uid="{00000000-0005-0000-0000-000008070000}"/>
    <cellStyle name="20% - Accent3 3 2 3 7" xfId="1802" xr:uid="{00000000-0005-0000-0000-000009070000}"/>
    <cellStyle name="20% - Accent3 3 2 4" xfId="1803" xr:uid="{00000000-0005-0000-0000-00000A070000}"/>
    <cellStyle name="20% - Accent3 3 2 4 2" xfId="1804" xr:uid="{00000000-0005-0000-0000-00000B070000}"/>
    <cellStyle name="20% - Accent3 3 2 4 2 2" xfId="1805" xr:uid="{00000000-0005-0000-0000-00000C070000}"/>
    <cellStyle name="20% - Accent3 3 2 4 3" xfId="1806" xr:uid="{00000000-0005-0000-0000-00000D070000}"/>
    <cellStyle name="20% - Accent3 3 2 4 3 2" xfId="1807" xr:uid="{00000000-0005-0000-0000-00000E070000}"/>
    <cellStyle name="20% - Accent3 3 2 4 4" xfId="1808" xr:uid="{00000000-0005-0000-0000-00000F070000}"/>
    <cellStyle name="20% - Accent3 3 2 4 5" xfId="1809" xr:uid="{00000000-0005-0000-0000-000010070000}"/>
    <cellStyle name="20% - Accent3 3 2 4 6" xfId="1810" xr:uid="{00000000-0005-0000-0000-000011070000}"/>
    <cellStyle name="20% - Accent3 3 2 5" xfId="1811" xr:uid="{00000000-0005-0000-0000-000012070000}"/>
    <cellStyle name="20% - Accent3 3 2 5 2" xfId="1812" xr:uid="{00000000-0005-0000-0000-000013070000}"/>
    <cellStyle name="20% - Accent3 3 2 6" xfId="1813" xr:uid="{00000000-0005-0000-0000-000014070000}"/>
    <cellStyle name="20% - Accent3 3 2 6 2" xfId="1814" xr:uid="{00000000-0005-0000-0000-000015070000}"/>
    <cellStyle name="20% - Accent3 3 2 7" xfId="1815" xr:uid="{00000000-0005-0000-0000-000016070000}"/>
    <cellStyle name="20% - Accent3 3 2 8" xfId="1816" xr:uid="{00000000-0005-0000-0000-000017070000}"/>
    <cellStyle name="20% - Accent3 3 2 9" xfId="1817" xr:uid="{00000000-0005-0000-0000-000018070000}"/>
    <cellStyle name="20% - Accent3 3 3" xfId="1818" xr:uid="{00000000-0005-0000-0000-000019070000}"/>
    <cellStyle name="20% - Accent3 3 3 2" xfId="1819" xr:uid="{00000000-0005-0000-0000-00001A070000}"/>
    <cellStyle name="20% - Accent3 3 3 2 2" xfId="1820" xr:uid="{00000000-0005-0000-0000-00001B070000}"/>
    <cellStyle name="20% - Accent3 3 3 2 2 2" xfId="1821" xr:uid="{00000000-0005-0000-0000-00001C070000}"/>
    <cellStyle name="20% - Accent3 3 3 2 2 2 2" xfId="1822" xr:uid="{00000000-0005-0000-0000-00001D070000}"/>
    <cellStyle name="20% - Accent3 3 3 2 2 3" xfId="1823" xr:uid="{00000000-0005-0000-0000-00001E070000}"/>
    <cellStyle name="20% - Accent3 3 3 2 2 3 2" xfId="1824" xr:uid="{00000000-0005-0000-0000-00001F070000}"/>
    <cellStyle name="20% - Accent3 3 3 2 2 4" xfId="1825" xr:uid="{00000000-0005-0000-0000-000020070000}"/>
    <cellStyle name="20% - Accent3 3 3 2 2 5" xfId="1826" xr:uid="{00000000-0005-0000-0000-000021070000}"/>
    <cellStyle name="20% - Accent3 3 3 2 3" xfId="1827" xr:uid="{00000000-0005-0000-0000-000022070000}"/>
    <cellStyle name="20% - Accent3 3 3 2 3 2" xfId="1828" xr:uid="{00000000-0005-0000-0000-000023070000}"/>
    <cellStyle name="20% - Accent3 3 3 2 4" xfId="1829" xr:uid="{00000000-0005-0000-0000-000024070000}"/>
    <cellStyle name="20% - Accent3 3 3 2 4 2" xfId="1830" xr:uid="{00000000-0005-0000-0000-000025070000}"/>
    <cellStyle name="20% - Accent3 3 3 2 5" xfId="1831" xr:uid="{00000000-0005-0000-0000-000026070000}"/>
    <cellStyle name="20% - Accent3 3 3 2 6" xfId="1832" xr:uid="{00000000-0005-0000-0000-000027070000}"/>
    <cellStyle name="20% - Accent3 3 3 3" xfId="1833" xr:uid="{00000000-0005-0000-0000-000028070000}"/>
    <cellStyle name="20% - Accent3 3 3 3 2" xfId="1834" xr:uid="{00000000-0005-0000-0000-000029070000}"/>
    <cellStyle name="20% - Accent3 3 3 3 2 2" xfId="1835" xr:uid="{00000000-0005-0000-0000-00002A070000}"/>
    <cellStyle name="20% - Accent3 3 3 3 3" xfId="1836" xr:uid="{00000000-0005-0000-0000-00002B070000}"/>
    <cellStyle name="20% - Accent3 3 3 3 3 2" xfId="1837" xr:uid="{00000000-0005-0000-0000-00002C070000}"/>
    <cellStyle name="20% - Accent3 3 3 3 4" xfId="1838" xr:uid="{00000000-0005-0000-0000-00002D070000}"/>
    <cellStyle name="20% - Accent3 3 3 3 5" xfId="1839" xr:uid="{00000000-0005-0000-0000-00002E070000}"/>
    <cellStyle name="20% - Accent3 3 3 4" xfId="1840" xr:uid="{00000000-0005-0000-0000-00002F070000}"/>
    <cellStyle name="20% - Accent3 3 3 4 2" xfId="1841" xr:uid="{00000000-0005-0000-0000-000030070000}"/>
    <cellStyle name="20% - Accent3 3 3 5" xfId="1842" xr:uid="{00000000-0005-0000-0000-000031070000}"/>
    <cellStyle name="20% - Accent3 3 3 5 2" xfId="1843" xr:uid="{00000000-0005-0000-0000-000032070000}"/>
    <cellStyle name="20% - Accent3 3 3 6" xfId="1844" xr:uid="{00000000-0005-0000-0000-000033070000}"/>
    <cellStyle name="20% - Accent3 3 3 7" xfId="1845" xr:uid="{00000000-0005-0000-0000-000034070000}"/>
    <cellStyle name="20% - Accent3 3 3 8" xfId="1846" xr:uid="{00000000-0005-0000-0000-000035070000}"/>
    <cellStyle name="20% - Accent3 3 4" xfId="1847" xr:uid="{00000000-0005-0000-0000-000036070000}"/>
    <cellStyle name="20% - Accent3 3 4 2" xfId="1848" xr:uid="{00000000-0005-0000-0000-000037070000}"/>
    <cellStyle name="20% - Accent3 3 4 2 2" xfId="1849" xr:uid="{00000000-0005-0000-0000-000038070000}"/>
    <cellStyle name="20% - Accent3 3 4 2 2 2" xfId="1850" xr:uid="{00000000-0005-0000-0000-000039070000}"/>
    <cellStyle name="20% - Accent3 3 4 2 3" xfId="1851" xr:uid="{00000000-0005-0000-0000-00003A070000}"/>
    <cellStyle name="20% - Accent3 3 4 2 3 2" xfId="1852" xr:uid="{00000000-0005-0000-0000-00003B070000}"/>
    <cellStyle name="20% - Accent3 3 4 2 4" xfId="1853" xr:uid="{00000000-0005-0000-0000-00003C070000}"/>
    <cellStyle name="20% - Accent3 3 4 2 5" xfId="1854" xr:uid="{00000000-0005-0000-0000-00003D070000}"/>
    <cellStyle name="20% - Accent3 3 4 3" xfId="1855" xr:uid="{00000000-0005-0000-0000-00003E070000}"/>
    <cellStyle name="20% - Accent3 3 4 3 2" xfId="1856" xr:uid="{00000000-0005-0000-0000-00003F070000}"/>
    <cellStyle name="20% - Accent3 3 4 4" xfId="1857" xr:uid="{00000000-0005-0000-0000-000040070000}"/>
    <cellStyle name="20% - Accent3 3 4 4 2" xfId="1858" xr:uid="{00000000-0005-0000-0000-000041070000}"/>
    <cellStyle name="20% - Accent3 3 4 5" xfId="1859" xr:uid="{00000000-0005-0000-0000-000042070000}"/>
    <cellStyle name="20% - Accent3 3 4 6" xfId="1860" xr:uid="{00000000-0005-0000-0000-000043070000}"/>
    <cellStyle name="20% - Accent3 3 4 7" xfId="1861" xr:uid="{00000000-0005-0000-0000-000044070000}"/>
    <cellStyle name="20% - Accent3 3 5" xfId="1862" xr:uid="{00000000-0005-0000-0000-000045070000}"/>
    <cellStyle name="20% - Accent3 3 5 2" xfId="1863" xr:uid="{00000000-0005-0000-0000-000046070000}"/>
    <cellStyle name="20% - Accent3 3 5 2 2" xfId="1864" xr:uid="{00000000-0005-0000-0000-000047070000}"/>
    <cellStyle name="20% - Accent3 3 5 2 2 2" xfId="1865" xr:uid="{00000000-0005-0000-0000-000048070000}"/>
    <cellStyle name="20% - Accent3 3 5 2 3" xfId="1866" xr:uid="{00000000-0005-0000-0000-000049070000}"/>
    <cellStyle name="20% - Accent3 3 5 3" xfId="1867" xr:uid="{00000000-0005-0000-0000-00004A070000}"/>
    <cellStyle name="20% - Accent3 3 5 3 2" xfId="1868" xr:uid="{00000000-0005-0000-0000-00004B070000}"/>
    <cellStyle name="20% - Accent3 3 5 4" xfId="1869" xr:uid="{00000000-0005-0000-0000-00004C070000}"/>
    <cellStyle name="20% - Accent3 3 5 4 2" xfId="1870" xr:uid="{00000000-0005-0000-0000-00004D070000}"/>
    <cellStyle name="20% - Accent3 3 5 5" xfId="1871" xr:uid="{00000000-0005-0000-0000-00004E070000}"/>
    <cellStyle name="20% - Accent3 3 5 6" xfId="1872" xr:uid="{00000000-0005-0000-0000-00004F070000}"/>
    <cellStyle name="20% - Accent3 3 5 7" xfId="1873" xr:uid="{00000000-0005-0000-0000-000050070000}"/>
    <cellStyle name="20% - Accent3 3 6" xfId="1874" xr:uid="{00000000-0005-0000-0000-000051070000}"/>
    <cellStyle name="20% - Accent3 3 6 2" xfId="1875" xr:uid="{00000000-0005-0000-0000-000052070000}"/>
    <cellStyle name="20% - Accent3 3 6 2 2" xfId="1876" xr:uid="{00000000-0005-0000-0000-000053070000}"/>
    <cellStyle name="20% - Accent3 3 6 3" xfId="1877" xr:uid="{00000000-0005-0000-0000-000054070000}"/>
    <cellStyle name="20% - Accent3 3 7" xfId="1878" xr:uid="{00000000-0005-0000-0000-000055070000}"/>
    <cellStyle name="20% - Accent3 3 7 2" xfId="1879" xr:uid="{00000000-0005-0000-0000-000056070000}"/>
    <cellStyle name="20% - Accent3 3 8" xfId="1880" xr:uid="{00000000-0005-0000-0000-000057070000}"/>
    <cellStyle name="20% - Accent3 3 8 2" xfId="1881" xr:uid="{00000000-0005-0000-0000-000058070000}"/>
    <cellStyle name="20% - Accent3 3 9" xfId="1882" xr:uid="{00000000-0005-0000-0000-000059070000}"/>
    <cellStyle name="20% - Accent3 4" xfId="1883" xr:uid="{00000000-0005-0000-0000-00005A070000}"/>
    <cellStyle name="20% - Accent3 4 10" xfId="1884" xr:uid="{00000000-0005-0000-0000-00005B070000}"/>
    <cellStyle name="20% - Accent3 4 11" xfId="1885" xr:uid="{00000000-0005-0000-0000-00005C070000}"/>
    <cellStyle name="20% - Accent3 4 2" xfId="1886" xr:uid="{00000000-0005-0000-0000-00005D070000}"/>
    <cellStyle name="20% - Accent3 4 2 2" xfId="1887" xr:uid="{00000000-0005-0000-0000-00005E070000}"/>
    <cellStyle name="20% - Accent3 4 2 2 2" xfId="1888" xr:uid="{00000000-0005-0000-0000-00005F070000}"/>
    <cellStyle name="20% - Accent3 4 2 2 2 2" xfId="1889" xr:uid="{00000000-0005-0000-0000-000060070000}"/>
    <cellStyle name="20% - Accent3 4 2 2 2 2 2" xfId="1890" xr:uid="{00000000-0005-0000-0000-000061070000}"/>
    <cellStyle name="20% - Accent3 4 2 2 2 2 2 2" xfId="1891" xr:uid="{00000000-0005-0000-0000-000062070000}"/>
    <cellStyle name="20% - Accent3 4 2 2 2 2 3" xfId="1892" xr:uid="{00000000-0005-0000-0000-000063070000}"/>
    <cellStyle name="20% - Accent3 4 2 2 2 2 3 2" xfId="1893" xr:uid="{00000000-0005-0000-0000-000064070000}"/>
    <cellStyle name="20% - Accent3 4 2 2 2 2 4" xfId="1894" xr:uid="{00000000-0005-0000-0000-000065070000}"/>
    <cellStyle name="20% - Accent3 4 2 2 2 2 5" xfId="1895" xr:uid="{00000000-0005-0000-0000-000066070000}"/>
    <cellStyle name="20% - Accent3 4 2 2 2 3" xfId="1896" xr:uid="{00000000-0005-0000-0000-000067070000}"/>
    <cellStyle name="20% - Accent3 4 2 2 2 3 2" xfId="1897" xr:uid="{00000000-0005-0000-0000-000068070000}"/>
    <cellStyle name="20% - Accent3 4 2 2 2 4" xfId="1898" xr:uid="{00000000-0005-0000-0000-000069070000}"/>
    <cellStyle name="20% - Accent3 4 2 2 2 4 2" xfId="1899" xr:uid="{00000000-0005-0000-0000-00006A070000}"/>
    <cellStyle name="20% - Accent3 4 2 2 2 5" xfId="1900" xr:uid="{00000000-0005-0000-0000-00006B070000}"/>
    <cellStyle name="20% - Accent3 4 2 2 2 6" xfId="1901" xr:uid="{00000000-0005-0000-0000-00006C070000}"/>
    <cellStyle name="20% - Accent3 4 2 2 3" xfId="1902" xr:uid="{00000000-0005-0000-0000-00006D070000}"/>
    <cellStyle name="20% - Accent3 4 2 2 3 2" xfId="1903" xr:uid="{00000000-0005-0000-0000-00006E070000}"/>
    <cellStyle name="20% - Accent3 4 2 2 3 2 2" xfId="1904" xr:uid="{00000000-0005-0000-0000-00006F070000}"/>
    <cellStyle name="20% - Accent3 4 2 2 3 3" xfId="1905" xr:uid="{00000000-0005-0000-0000-000070070000}"/>
    <cellStyle name="20% - Accent3 4 2 2 3 3 2" xfId="1906" xr:uid="{00000000-0005-0000-0000-000071070000}"/>
    <cellStyle name="20% - Accent3 4 2 2 3 4" xfId="1907" xr:uid="{00000000-0005-0000-0000-000072070000}"/>
    <cellStyle name="20% - Accent3 4 2 2 3 5" xfId="1908" xr:uid="{00000000-0005-0000-0000-000073070000}"/>
    <cellStyle name="20% - Accent3 4 2 2 4" xfId="1909" xr:uid="{00000000-0005-0000-0000-000074070000}"/>
    <cellStyle name="20% - Accent3 4 2 2 4 2" xfId="1910" xr:uid="{00000000-0005-0000-0000-000075070000}"/>
    <cellStyle name="20% - Accent3 4 2 2 5" xfId="1911" xr:uid="{00000000-0005-0000-0000-000076070000}"/>
    <cellStyle name="20% - Accent3 4 2 2 5 2" xfId="1912" xr:uid="{00000000-0005-0000-0000-000077070000}"/>
    <cellStyle name="20% - Accent3 4 2 2 6" xfId="1913" xr:uid="{00000000-0005-0000-0000-000078070000}"/>
    <cellStyle name="20% - Accent3 4 2 2 7" xfId="1914" xr:uid="{00000000-0005-0000-0000-000079070000}"/>
    <cellStyle name="20% - Accent3 4 2 3" xfId="1915" xr:uid="{00000000-0005-0000-0000-00007A070000}"/>
    <cellStyle name="20% - Accent3 4 2 3 2" xfId="1916" xr:uid="{00000000-0005-0000-0000-00007B070000}"/>
    <cellStyle name="20% - Accent3 4 2 3 2 2" xfId="1917" xr:uid="{00000000-0005-0000-0000-00007C070000}"/>
    <cellStyle name="20% - Accent3 4 2 3 2 2 2" xfId="1918" xr:uid="{00000000-0005-0000-0000-00007D070000}"/>
    <cellStyle name="20% - Accent3 4 2 3 2 3" xfId="1919" xr:uid="{00000000-0005-0000-0000-00007E070000}"/>
    <cellStyle name="20% - Accent3 4 2 3 2 3 2" xfId="1920" xr:uid="{00000000-0005-0000-0000-00007F070000}"/>
    <cellStyle name="20% - Accent3 4 2 3 2 4" xfId="1921" xr:uid="{00000000-0005-0000-0000-000080070000}"/>
    <cellStyle name="20% - Accent3 4 2 3 2 5" xfId="1922" xr:uid="{00000000-0005-0000-0000-000081070000}"/>
    <cellStyle name="20% - Accent3 4 2 3 3" xfId="1923" xr:uid="{00000000-0005-0000-0000-000082070000}"/>
    <cellStyle name="20% - Accent3 4 2 3 3 2" xfId="1924" xr:uid="{00000000-0005-0000-0000-000083070000}"/>
    <cellStyle name="20% - Accent3 4 2 3 4" xfId="1925" xr:uid="{00000000-0005-0000-0000-000084070000}"/>
    <cellStyle name="20% - Accent3 4 2 3 4 2" xfId="1926" xr:uid="{00000000-0005-0000-0000-000085070000}"/>
    <cellStyle name="20% - Accent3 4 2 3 5" xfId="1927" xr:uid="{00000000-0005-0000-0000-000086070000}"/>
    <cellStyle name="20% - Accent3 4 2 3 6" xfId="1928" xr:uid="{00000000-0005-0000-0000-000087070000}"/>
    <cellStyle name="20% - Accent3 4 2 4" xfId="1929" xr:uid="{00000000-0005-0000-0000-000088070000}"/>
    <cellStyle name="20% - Accent3 4 2 4 2" xfId="1930" xr:uid="{00000000-0005-0000-0000-000089070000}"/>
    <cellStyle name="20% - Accent3 4 2 4 2 2" xfId="1931" xr:uid="{00000000-0005-0000-0000-00008A070000}"/>
    <cellStyle name="20% - Accent3 4 2 4 3" xfId="1932" xr:uid="{00000000-0005-0000-0000-00008B070000}"/>
    <cellStyle name="20% - Accent3 4 2 4 3 2" xfId="1933" xr:uid="{00000000-0005-0000-0000-00008C070000}"/>
    <cellStyle name="20% - Accent3 4 2 4 4" xfId="1934" xr:uid="{00000000-0005-0000-0000-00008D070000}"/>
    <cellStyle name="20% - Accent3 4 2 4 5" xfId="1935" xr:uid="{00000000-0005-0000-0000-00008E070000}"/>
    <cellStyle name="20% - Accent3 4 2 5" xfId="1936" xr:uid="{00000000-0005-0000-0000-00008F070000}"/>
    <cellStyle name="20% - Accent3 4 2 5 2" xfId="1937" xr:uid="{00000000-0005-0000-0000-000090070000}"/>
    <cellStyle name="20% - Accent3 4 2 6" xfId="1938" xr:uid="{00000000-0005-0000-0000-000091070000}"/>
    <cellStyle name="20% - Accent3 4 2 6 2" xfId="1939" xr:uid="{00000000-0005-0000-0000-000092070000}"/>
    <cellStyle name="20% - Accent3 4 2 7" xfId="1940" xr:uid="{00000000-0005-0000-0000-000093070000}"/>
    <cellStyle name="20% - Accent3 4 2 8" xfId="1941" xr:uid="{00000000-0005-0000-0000-000094070000}"/>
    <cellStyle name="20% - Accent3 4 2 9" xfId="1942" xr:uid="{00000000-0005-0000-0000-000095070000}"/>
    <cellStyle name="20% - Accent3 4 3" xfId="1943" xr:uid="{00000000-0005-0000-0000-000096070000}"/>
    <cellStyle name="20% - Accent3 4 3 2" xfId="1944" xr:uid="{00000000-0005-0000-0000-000097070000}"/>
    <cellStyle name="20% - Accent3 4 3 2 2" xfId="1945" xr:uid="{00000000-0005-0000-0000-000098070000}"/>
    <cellStyle name="20% - Accent3 4 3 2 2 2" xfId="1946" xr:uid="{00000000-0005-0000-0000-000099070000}"/>
    <cellStyle name="20% - Accent3 4 3 2 2 2 2" xfId="1947" xr:uid="{00000000-0005-0000-0000-00009A070000}"/>
    <cellStyle name="20% - Accent3 4 3 2 2 3" xfId="1948" xr:uid="{00000000-0005-0000-0000-00009B070000}"/>
    <cellStyle name="20% - Accent3 4 3 2 2 3 2" xfId="1949" xr:uid="{00000000-0005-0000-0000-00009C070000}"/>
    <cellStyle name="20% - Accent3 4 3 2 2 4" xfId="1950" xr:uid="{00000000-0005-0000-0000-00009D070000}"/>
    <cellStyle name="20% - Accent3 4 3 2 2 5" xfId="1951" xr:uid="{00000000-0005-0000-0000-00009E070000}"/>
    <cellStyle name="20% - Accent3 4 3 2 3" xfId="1952" xr:uid="{00000000-0005-0000-0000-00009F070000}"/>
    <cellStyle name="20% - Accent3 4 3 2 3 2" xfId="1953" xr:uid="{00000000-0005-0000-0000-0000A0070000}"/>
    <cellStyle name="20% - Accent3 4 3 2 4" xfId="1954" xr:uid="{00000000-0005-0000-0000-0000A1070000}"/>
    <cellStyle name="20% - Accent3 4 3 2 4 2" xfId="1955" xr:uid="{00000000-0005-0000-0000-0000A2070000}"/>
    <cellStyle name="20% - Accent3 4 3 2 5" xfId="1956" xr:uid="{00000000-0005-0000-0000-0000A3070000}"/>
    <cellStyle name="20% - Accent3 4 3 2 6" xfId="1957" xr:uid="{00000000-0005-0000-0000-0000A4070000}"/>
    <cellStyle name="20% - Accent3 4 3 3" xfId="1958" xr:uid="{00000000-0005-0000-0000-0000A5070000}"/>
    <cellStyle name="20% - Accent3 4 3 3 2" xfId="1959" xr:uid="{00000000-0005-0000-0000-0000A6070000}"/>
    <cellStyle name="20% - Accent3 4 3 3 2 2" xfId="1960" xr:uid="{00000000-0005-0000-0000-0000A7070000}"/>
    <cellStyle name="20% - Accent3 4 3 3 3" xfId="1961" xr:uid="{00000000-0005-0000-0000-0000A8070000}"/>
    <cellStyle name="20% - Accent3 4 3 3 3 2" xfId="1962" xr:uid="{00000000-0005-0000-0000-0000A9070000}"/>
    <cellStyle name="20% - Accent3 4 3 3 4" xfId="1963" xr:uid="{00000000-0005-0000-0000-0000AA070000}"/>
    <cellStyle name="20% - Accent3 4 3 3 5" xfId="1964" xr:uid="{00000000-0005-0000-0000-0000AB070000}"/>
    <cellStyle name="20% - Accent3 4 3 4" xfId="1965" xr:uid="{00000000-0005-0000-0000-0000AC070000}"/>
    <cellStyle name="20% - Accent3 4 3 4 2" xfId="1966" xr:uid="{00000000-0005-0000-0000-0000AD070000}"/>
    <cellStyle name="20% - Accent3 4 3 5" xfId="1967" xr:uid="{00000000-0005-0000-0000-0000AE070000}"/>
    <cellStyle name="20% - Accent3 4 3 5 2" xfId="1968" xr:uid="{00000000-0005-0000-0000-0000AF070000}"/>
    <cellStyle name="20% - Accent3 4 3 6" xfId="1969" xr:uid="{00000000-0005-0000-0000-0000B0070000}"/>
    <cellStyle name="20% - Accent3 4 3 7" xfId="1970" xr:uid="{00000000-0005-0000-0000-0000B1070000}"/>
    <cellStyle name="20% - Accent3 4 3 8" xfId="1971" xr:uid="{00000000-0005-0000-0000-0000B2070000}"/>
    <cellStyle name="20% - Accent3 4 4" xfId="1972" xr:uid="{00000000-0005-0000-0000-0000B3070000}"/>
    <cellStyle name="20% - Accent3 4 4 2" xfId="1973" xr:uid="{00000000-0005-0000-0000-0000B4070000}"/>
    <cellStyle name="20% - Accent3 4 4 2 2" xfId="1974" xr:uid="{00000000-0005-0000-0000-0000B5070000}"/>
    <cellStyle name="20% - Accent3 4 4 2 2 2" xfId="1975" xr:uid="{00000000-0005-0000-0000-0000B6070000}"/>
    <cellStyle name="20% - Accent3 4 4 2 3" xfId="1976" xr:uid="{00000000-0005-0000-0000-0000B7070000}"/>
    <cellStyle name="20% - Accent3 4 4 2 3 2" xfId="1977" xr:uid="{00000000-0005-0000-0000-0000B8070000}"/>
    <cellStyle name="20% - Accent3 4 4 2 4" xfId="1978" xr:uid="{00000000-0005-0000-0000-0000B9070000}"/>
    <cellStyle name="20% - Accent3 4 4 2 5" xfId="1979" xr:uid="{00000000-0005-0000-0000-0000BA070000}"/>
    <cellStyle name="20% - Accent3 4 4 3" xfId="1980" xr:uid="{00000000-0005-0000-0000-0000BB070000}"/>
    <cellStyle name="20% - Accent3 4 4 3 2" xfId="1981" xr:uid="{00000000-0005-0000-0000-0000BC070000}"/>
    <cellStyle name="20% - Accent3 4 4 4" xfId="1982" xr:uid="{00000000-0005-0000-0000-0000BD070000}"/>
    <cellStyle name="20% - Accent3 4 4 4 2" xfId="1983" xr:uid="{00000000-0005-0000-0000-0000BE070000}"/>
    <cellStyle name="20% - Accent3 4 4 5" xfId="1984" xr:uid="{00000000-0005-0000-0000-0000BF070000}"/>
    <cellStyle name="20% - Accent3 4 4 6" xfId="1985" xr:uid="{00000000-0005-0000-0000-0000C0070000}"/>
    <cellStyle name="20% - Accent3 4 4 7" xfId="1986" xr:uid="{00000000-0005-0000-0000-0000C1070000}"/>
    <cellStyle name="20% - Accent3 4 5" xfId="1987" xr:uid="{00000000-0005-0000-0000-0000C2070000}"/>
    <cellStyle name="20% - Accent3 4 5 2" xfId="1988" xr:uid="{00000000-0005-0000-0000-0000C3070000}"/>
    <cellStyle name="20% - Accent3 4 5 2 2" xfId="1989" xr:uid="{00000000-0005-0000-0000-0000C4070000}"/>
    <cellStyle name="20% - Accent3 4 5 2 2 2" xfId="1990" xr:uid="{00000000-0005-0000-0000-0000C5070000}"/>
    <cellStyle name="20% - Accent3 4 5 2 3" xfId="1991" xr:uid="{00000000-0005-0000-0000-0000C6070000}"/>
    <cellStyle name="20% - Accent3 4 5 3" xfId="1992" xr:uid="{00000000-0005-0000-0000-0000C7070000}"/>
    <cellStyle name="20% - Accent3 4 5 3 2" xfId="1993" xr:uid="{00000000-0005-0000-0000-0000C8070000}"/>
    <cellStyle name="20% - Accent3 4 5 4" xfId="1994" xr:uid="{00000000-0005-0000-0000-0000C9070000}"/>
    <cellStyle name="20% - Accent3 4 5 4 2" xfId="1995" xr:uid="{00000000-0005-0000-0000-0000CA070000}"/>
    <cellStyle name="20% - Accent3 4 5 5" xfId="1996" xr:uid="{00000000-0005-0000-0000-0000CB070000}"/>
    <cellStyle name="20% - Accent3 4 5 6" xfId="1997" xr:uid="{00000000-0005-0000-0000-0000CC070000}"/>
    <cellStyle name="20% - Accent3 4 6" xfId="1998" xr:uid="{00000000-0005-0000-0000-0000CD070000}"/>
    <cellStyle name="20% - Accent3 4 6 2" xfId="1999" xr:uid="{00000000-0005-0000-0000-0000CE070000}"/>
    <cellStyle name="20% - Accent3 4 6 2 2" xfId="2000" xr:uid="{00000000-0005-0000-0000-0000CF070000}"/>
    <cellStyle name="20% - Accent3 4 6 3" xfId="2001" xr:uid="{00000000-0005-0000-0000-0000D0070000}"/>
    <cellStyle name="20% - Accent3 4 7" xfId="2002" xr:uid="{00000000-0005-0000-0000-0000D1070000}"/>
    <cellStyle name="20% - Accent3 4 7 2" xfId="2003" xr:uid="{00000000-0005-0000-0000-0000D2070000}"/>
    <cellStyle name="20% - Accent3 4 8" xfId="2004" xr:uid="{00000000-0005-0000-0000-0000D3070000}"/>
    <cellStyle name="20% - Accent3 4 8 2" xfId="2005" xr:uid="{00000000-0005-0000-0000-0000D4070000}"/>
    <cellStyle name="20% - Accent3 4 9" xfId="2006" xr:uid="{00000000-0005-0000-0000-0000D5070000}"/>
    <cellStyle name="20% - Accent3 5" xfId="2007" xr:uid="{00000000-0005-0000-0000-0000D6070000}"/>
    <cellStyle name="20% - Accent3 5 2" xfId="2008" xr:uid="{00000000-0005-0000-0000-0000D7070000}"/>
    <cellStyle name="20% - Accent3 5 2 2" xfId="2009" xr:uid="{00000000-0005-0000-0000-0000D8070000}"/>
    <cellStyle name="20% - Accent3 5 2 2 2" xfId="2010" xr:uid="{00000000-0005-0000-0000-0000D9070000}"/>
    <cellStyle name="20% - Accent3 5 2 2 2 2" xfId="2011" xr:uid="{00000000-0005-0000-0000-0000DA070000}"/>
    <cellStyle name="20% - Accent3 5 2 2 2 2 2" xfId="2012" xr:uid="{00000000-0005-0000-0000-0000DB070000}"/>
    <cellStyle name="20% - Accent3 5 2 2 2 2 2 2" xfId="2013" xr:uid="{00000000-0005-0000-0000-0000DC070000}"/>
    <cellStyle name="20% - Accent3 5 2 2 2 2 3" xfId="2014" xr:uid="{00000000-0005-0000-0000-0000DD070000}"/>
    <cellStyle name="20% - Accent3 5 2 2 2 2 3 2" xfId="2015" xr:uid="{00000000-0005-0000-0000-0000DE070000}"/>
    <cellStyle name="20% - Accent3 5 2 2 2 2 4" xfId="2016" xr:uid="{00000000-0005-0000-0000-0000DF070000}"/>
    <cellStyle name="20% - Accent3 5 2 2 2 2 5" xfId="2017" xr:uid="{00000000-0005-0000-0000-0000E0070000}"/>
    <cellStyle name="20% - Accent3 5 2 2 2 3" xfId="2018" xr:uid="{00000000-0005-0000-0000-0000E1070000}"/>
    <cellStyle name="20% - Accent3 5 2 2 2 3 2" xfId="2019" xr:uid="{00000000-0005-0000-0000-0000E2070000}"/>
    <cellStyle name="20% - Accent3 5 2 2 2 4" xfId="2020" xr:uid="{00000000-0005-0000-0000-0000E3070000}"/>
    <cellStyle name="20% - Accent3 5 2 2 2 4 2" xfId="2021" xr:uid="{00000000-0005-0000-0000-0000E4070000}"/>
    <cellStyle name="20% - Accent3 5 2 2 2 5" xfId="2022" xr:uid="{00000000-0005-0000-0000-0000E5070000}"/>
    <cellStyle name="20% - Accent3 5 2 2 2 6" xfId="2023" xr:uid="{00000000-0005-0000-0000-0000E6070000}"/>
    <cellStyle name="20% - Accent3 5 2 2 3" xfId="2024" xr:uid="{00000000-0005-0000-0000-0000E7070000}"/>
    <cellStyle name="20% - Accent3 5 2 2 3 2" xfId="2025" xr:uid="{00000000-0005-0000-0000-0000E8070000}"/>
    <cellStyle name="20% - Accent3 5 2 2 3 2 2" xfId="2026" xr:uid="{00000000-0005-0000-0000-0000E9070000}"/>
    <cellStyle name="20% - Accent3 5 2 2 3 3" xfId="2027" xr:uid="{00000000-0005-0000-0000-0000EA070000}"/>
    <cellStyle name="20% - Accent3 5 2 2 3 3 2" xfId="2028" xr:uid="{00000000-0005-0000-0000-0000EB070000}"/>
    <cellStyle name="20% - Accent3 5 2 2 3 4" xfId="2029" xr:uid="{00000000-0005-0000-0000-0000EC070000}"/>
    <cellStyle name="20% - Accent3 5 2 2 3 5" xfId="2030" xr:uid="{00000000-0005-0000-0000-0000ED070000}"/>
    <cellStyle name="20% - Accent3 5 2 2 4" xfId="2031" xr:uid="{00000000-0005-0000-0000-0000EE070000}"/>
    <cellStyle name="20% - Accent3 5 2 2 4 2" xfId="2032" xr:uid="{00000000-0005-0000-0000-0000EF070000}"/>
    <cellStyle name="20% - Accent3 5 2 2 5" xfId="2033" xr:uid="{00000000-0005-0000-0000-0000F0070000}"/>
    <cellStyle name="20% - Accent3 5 2 2 5 2" xfId="2034" xr:uid="{00000000-0005-0000-0000-0000F1070000}"/>
    <cellStyle name="20% - Accent3 5 2 2 6" xfId="2035" xr:uid="{00000000-0005-0000-0000-0000F2070000}"/>
    <cellStyle name="20% - Accent3 5 2 2 7" xfId="2036" xr:uid="{00000000-0005-0000-0000-0000F3070000}"/>
    <cellStyle name="20% - Accent3 5 2 3" xfId="2037" xr:uid="{00000000-0005-0000-0000-0000F4070000}"/>
    <cellStyle name="20% - Accent3 5 2 3 2" xfId="2038" xr:uid="{00000000-0005-0000-0000-0000F5070000}"/>
    <cellStyle name="20% - Accent3 5 2 3 2 2" xfId="2039" xr:uid="{00000000-0005-0000-0000-0000F6070000}"/>
    <cellStyle name="20% - Accent3 5 2 3 2 2 2" xfId="2040" xr:uid="{00000000-0005-0000-0000-0000F7070000}"/>
    <cellStyle name="20% - Accent3 5 2 3 2 3" xfId="2041" xr:uid="{00000000-0005-0000-0000-0000F8070000}"/>
    <cellStyle name="20% - Accent3 5 2 3 2 3 2" xfId="2042" xr:uid="{00000000-0005-0000-0000-0000F9070000}"/>
    <cellStyle name="20% - Accent3 5 2 3 2 4" xfId="2043" xr:uid="{00000000-0005-0000-0000-0000FA070000}"/>
    <cellStyle name="20% - Accent3 5 2 3 2 5" xfId="2044" xr:uid="{00000000-0005-0000-0000-0000FB070000}"/>
    <cellStyle name="20% - Accent3 5 2 3 3" xfId="2045" xr:uid="{00000000-0005-0000-0000-0000FC070000}"/>
    <cellStyle name="20% - Accent3 5 2 3 3 2" xfId="2046" xr:uid="{00000000-0005-0000-0000-0000FD070000}"/>
    <cellStyle name="20% - Accent3 5 2 3 4" xfId="2047" xr:uid="{00000000-0005-0000-0000-0000FE070000}"/>
    <cellStyle name="20% - Accent3 5 2 3 4 2" xfId="2048" xr:uid="{00000000-0005-0000-0000-0000FF070000}"/>
    <cellStyle name="20% - Accent3 5 2 3 5" xfId="2049" xr:uid="{00000000-0005-0000-0000-000000080000}"/>
    <cellStyle name="20% - Accent3 5 2 3 6" xfId="2050" xr:uid="{00000000-0005-0000-0000-000001080000}"/>
    <cellStyle name="20% - Accent3 5 2 4" xfId="2051" xr:uid="{00000000-0005-0000-0000-000002080000}"/>
    <cellStyle name="20% - Accent3 5 2 4 2" xfId="2052" xr:uid="{00000000-0005-0000-0000-000003080000}"/>
    <cellStyle name="20% - Accent3 5 2 4 2 2" xfId="2053" xr:uid="{00000000-0005-0000-0000-000004080000}"/>
    <cellStyle name="20% - Accent3 5 2 4 3" xfId="2054" xr:uid="{00000000-0005-0000-0000-000005080000}"/>
    <cellStyle name="20% - Accent3 5 2 4 3 2" xfId="2055" xr:uid="{00000000-0005-0000-0000-000006080000}"/>
    <cellStyle name="20% - Accent3 5 2 4 4" xfId="2056" xr:uid="{00000000-0005-0000-0000-000007080000}"/>
    <cellStyle name="20% - Accent3 5 2 4 5" xfId="2057" xr:uid="{00000000-0005-0000-0000-000008080000}"/>
    <cellStyle name="20% - Accent3 5 2 5" xfId="2058" xr:uid="{00000000-0005-0000-0000-000009080000}"/>
    <cellStyle name="20% - Accent3 5 2 5 2" xfId="2059" xr:uid="{00000000-0005-0000-0000-00000A080000}"/>
    <cellStyle name="20% - Accent3 5 2 6" xfId="2060" xr:uid="{00000000-0005-0000-0000-00000B080000}"/>
    <cellStyle name="20% - Accent3 5 2 6 2" xfId="2061" xr:uid="{00000000-0005-0000-0000-00000C080000}"/>
    <cellStyle name="20% - Accent3 5 2 7" xfId="2062" xr:uid="{00000000-0005-0000-0000-00000D080000}"/>
    <cellStyle name="20% - Accent3 5 2 8" xfId="2063" xr:uid="{00000000-0005-0000-0000-00000E080000}"/>
    <cellStyle name="20% - Accent3 5 3" xfId="2064" xr:uid="{00000000-0005-0000-0000-00000F080000}"/>
    <cellStyle name="20% - Accent3 5 3 2" xfId="2065" xr:uid="{00000000-0005-0000-0000-000010080000}"/>
    <cellStyle name="20% - Accent3 5 3 2 2" xfId="2066" xr:uid="{00000000-0005-0000-0000-000011080000}"/>
    <cellStyle name="20% - Accent3 5 3 2 2 2" xfId="2067" xr:uid="{00000000-0005-0000-0000-000012080000}"/>
    <cellStyle name="20% - Accent3 5 3 2 2 2 2" xfId="2068" xr:uid="{00000000-0005-0000-0000-000013080000}"/>
    <cellStyle name="20% - Accent3 5 3 2 2 3" xfId="2069" xr:uid="{00000000-0005-0000-0000-000014080000}"/>
    <cellStyle name="20% - Accent3 5 3 2 2 3 2" xfId="2070" xr:uid="{00000000-0005-0000-0000-000015080000}"/>
    <cellStyle name="20% - Accent3 5 3 2 2 4" xfId="2071" xr:uid="{00000000-0005-0000-0000-000016080000}"/>
    <cellStyle name="20% - Accent3 5 3 2 2 5" xfId="2072" xr:uid="{00000000-0005-0000-0000-000017080000}"/>
    <cellStyle name="20% - Accent3 5 3 2 3" xfId="2073" xr:uid="{00000000-0005-0000-0000-000018080000}"/>
    <cellStyle name="20% - Accent3 5 3 2 3 2" xfId="2074" xr:uid="{00000000-0005-0000-0000-000019080000}"/>
    <cellStyle name="20% - Accent3 5 3 2 4" xfId="2075" xr:uid="{00000000-0005-0000-0000-00001A080000}"/>
    <cellStyle name="20% - Accent3 5 3 2 4 2" xfId="2076" xr:uid="{00000000-0005-0000-0000-00001B080000}"/>
    <cellStyle name="20% - Accent3 5 3 2 5" xfId="2077" xr:uid="{00000000-0005-0000-0000-00001C080000}"/>
    <cellStyle name="20% - Accent3 5 3 2 6" xfId="2078" xr:uid="{00000000-0005-0000-0000-00001D080000}"/>
    <cellStyle name="20% - Accent3 5 3 3" xfId="2079" xr:uid="{00000000-0005-0000-0000-00001E080000}"/>
    <cellStyle name="20% - Accent3 5 3 3 2" xfId="2080" xr:uid="{00000000-0005-0000-0000-00001F080000}"/>
    <cellStyle name="20% - Accent3 5 3 3 2 2" xfId="2081" xr:uid="{00000000-0005-0000-0000-000020080000}"/>
    <cellStyle name="20% - Accent3 5 3 3 3" xfId="2082" xr:uid="{00000000-0005-0000-0000-000021080000}"/>
    <cellStyle name="20% - Accent3 5 3 3 3 2" xfId="2083" xr:uid="{00000000-0005-0000-0000-000022080000}"/>
    <cellStyle name="20% - Accent3 5 3 3 4" xfId="2084" xr:uid="{00000000-0005-0000-0000-000023080000}"/>
    <cellStyle name="20% - Accent3 5 3 3 5" xfId="2085" xr:uid="{00000000-0005-0000-0000-000024080000}"/>
    <cellStyle name="20% - Accent3 5 3 4" xfId="2086" xr:uid="{00000000-0005-0000-0000-000025080000}"/>
    <cellStyle name="20% - Accent3 5 3 4 2" xfId="2087" xr:uid="{00000000-0005-0000-0000-000026080000}"/>
    <cellStyle name="20% - Accent3 5 3 5" xfId="2088" xr:uid="{00000000-0005-0000-0000-000027080000}"/>
    <cellStyle name="20% - Accent3 5 3 5 2" xfId="2089" xr:uid="{00000000-0005-0000-0000-000028080000}"/>
    <cellStyle name="20% - Accent3 5 3 6" xfId="2090" xr:uid="{00000000-0005-0000-0000-000029080000}"/>
    <cellStyle name="20% - Accent3 5 3 7" xfId="2091" xr:uid="{00000000-0005-0000-0000-00002A080000}"/>
    <cellStyle name="20% - Accent3 5 4" xfId="2092" xr:uid="{00000000-0005-0000-0000-00002B080000}"/>
    <cellStyle name="20% - Accent3 5 4 2" xfId="2093" xr:uid="{00000000-0005-0000-0000-00002C080000}"/>
    <cellStyle name="20% - Accent3 5 4 2 2" xfId="2094" xr:uid="{00000000-0005-0000-0000-00002D080000}"/>
    <cellStyle name="20% - Accent3 5 4 2 2 2" xfId="2095" xr:uid="{00000000-0005-0000-0000-00002E080000}"/>
    <cellStyle name="20% - Accent3 5 4 2 3" xfId="2096" xr:uid="{00000000-0005-0000-0000-00002F080000}"/>
    <cellStyle name="20% - Accent3 5 4 2 3 2" xfId="2097" xr:uid="{00000000-0005-0000-0000-000030080000}"/>
    <cellStyle name="20% - Accent3 5 4 2 4" xfId="2098" xr:uid="{00000000-0005-0000-0000-000031080000}"/>
    <cellStyle name="20% - Accent3 5 4 2 5" xfId="2099" xr:uid="{00000000-0005-0000-0000-000032080000}"/>
    <cellStyle name="20% - Accent3 5 4 3" xfId="2100" xr:uid="{00000000-0005-0000-0000-000033080000}"/>
    <cellStyle name="20% - Accent3 5 4 3 2" xfId="2101" xr:uid="{00000000-0005-0000-0000-000034080000}"/>
    <cellStyle name="20% - Accent3 5 4 4" xfId="2102" xr:uid="{00000000-0005-0000-0000-000035080000}"/>
    <cellStyle name="20% - Accent3 5 4 4 2" xfId="2103" xr:uid="{00000000-0005-0000-0000-000036080000}"/>
    <cellStyle name="20% - Accent3 5 4 5" xfId="2104" xr:uid="{00000000-0005-0000-0000-000037080000}"/>
    <cellStyle name="20% - Accent3 5 4 6" xfId="2105" xr:uid="{00000000-0005-0000-0000-000038080000}"/>
    <cellStyle name="20% - Accent3 5 5" xfId="2106" xr:uid="{00000000-0005-0000-0000-000039080000}"/>
    <cellStyle name="20% - Accent3 5 5 2" xfId="2107" xr:uid="{00000000-0005-0000-0000-00003A080000}"/>
    <cellStyle name="20% - Accent3 5 5 2 2" xfId="2108" xr:uid="{00000000-0005-0000-0000-00003B080000}"/>
    <cellStyle name="20% - Accent3 5 5 2 2 2" xfId="2109" xr:uid="{00000000-0005-0000-0000-00003C080000}"/>
    <cellStyle name="20% - Accent3 5 5 2 3" xfId="2110" xr:uid="{00000000-0005-0000-0000-00003D080000}"/>
    <cellStyle name="20% - Accent3 5 5 3" xfId="2111" xr:uid="{00000000-0005-0000-0000-00003E080000}"/>
    <cellStyle name="20% - Accent3 5 5 3 2" xfId="2112" xr:uid="{00000000-0005-0000-0000-00003F080000}"/>
    <cellStyle name="20% - Accent3 5 5 4" xfId="2113" xr:uid="{00000000-0005-0000-0000-000040080000}"/>
    <cellStyle name="20% - Accent3 5 5 4 2" xfId="2114" xr:uid="{00000000-0005-0000-0000-000041080000}"/>
    <cellStyle name="20% - Accent3 5 5 5" xfId="2115" xr:uid="{00000000-0005-0000-0000-000042080000}"/>
    <cellStyle name="20% - Accent3 5 5 6" xfId="2116" xr:uid="{00000000-0005-0000-0000-000043080000}"/>
    <cellStyle name="20% - Accent3 5 6" xfId="2117" xr:uid="{00000000-0005-0000-0000-000044080000}"/>
    <cellStyle name="20% - Accent3 5 6 2" xfId="2118" xr:uid="{00000000-0005-0000-0000-000045080000}"/>
    <cellStyle name="20% - Accent3 5 7" xfId="2119" xr:uid="{00000000-0005-0000-0000-000046080000}"/>
    <cellStyle name="20% - Accent3 5 8" xfId="2120" xr:uid="{00000000-0005-0000-0000-000047080000}"/>
    <cellStyle name="20% - Accent3 6" xfId="2121" xr:uid="{00000000-0005-0000-0000-000048080000}"/>
    <cellStyle name="20% - Accent3 6 2" xfId="2122" xr:uid="{00000000-0005-0000-0000-000049080000}"/>
    <cellStyle name="20% - Accent3 6 2 2" xfId="2123" xr:uid="{00000000-0005-0000-0000-00004A080000}"/>
    <cellStyle name="20% - Accent3 6 2 2 2" xfId="2124" xr:uid="{00000000-0005-0000-0000-00004B080000}"/>
    <cellStyle name="20% - Accent3 6 2 2 2 2" xfId="2125" xr:uid="{00000000-0005-0000-0000-00004C080000}"/>
    <cellStyle name="20% - Accent3 6 2 2 2 2 2" xfId="2126" xr:uid="{00000000-0005-0000-0000-00004D080000}"/>
    <cellStyle name="20% - Accent3 6 2 2 2 3" xfId="2127" xr:uid="{00000000-0005-0000-0000-00004E080000}"/>
    <cellStyle name="20% - Accent3 6 2 2 2 3 2" xfId="2128" xr:uid="{00000000-0005-0000-0000-00004F080000}"/>
    <cellStyle name="20% - Accent3 6 2 2 2 4" xfId="2129" xr:uid="{00000000-0005-0000-0000-000050080000}"/>
    <cellStyle name="20% - Accent3 6 2 2 2 5" xfId="2130" xr:uid="{00000000-0005-0000-0000-000051080000}"/>
    <cellStyle name="20% - Accent3 6 2 2 3" xfId="2131" xr:uid="{00000000-0005-0000-0000-000052080000}"/>
    <cellStyle name="20% - Accent3 6 2 2 3 2" xfId="2132" xr:uid="{00000000-0005-0000-0000-000053080000}"/>
    <cellStyle name="20% - Accent3 6 2 2 4" xfId="2133" xr:uid="{00000000-0005-0000-0000-000054080000}"/>
    <cellStyle name="20% - Accent3 6 2 2 4 2" xfId="2134" xr:uid="{00000000-0005-0000-0000-000055080000}"/>
    <cellStyle name="20% - Accent3 6 2 2 5" xfId="2135" xr:uid="{00000000-0005-0000-0000-000056080000}"/>
    <cellStyle name="20% - Accent3 6 2 2 6" xfId="2136" xr:uid="{00000000-0005-0000-0000-000057080000}"/>
    <cellStyle name="20% - Accent3 6 2 3" xfId="2137" xr:uid="{00000000-0005-0000-0000-000058080000}"/>
    <cellStyle name="20% - Accent3 6 2 3 2" xfId="2138" xr:uid="{00000000-0005-0000-0000-000059080000}"/>
    <cellStyle name="20% - Accent3 6 2 3 2 2" xfId="2139" xr:uid="{00000000-0005-0000-0000-00005A080000}"/>
    <cellStyle name="20% - Accent3 6 2 3 3" xfId="2140" xr:uid="{00000000-0005-0000-0000-00005B080000}"/>
    <cellStyle name="20% - Accent3 6 2 3 3 2" xfId="2141" xr:uid="{00000000-0005-0000-0000-00005C080000}"/>
    <cellStyle name="20% - Accent3 6 2 3 4" xfId="2142" xr:uid="{00000000-0005-0000-0000-00005D080000}"/>
    <cellStyle name="20% - Accent3 6 2 3 5" xfId="2143" xr:uid="{00000000-0005-0000-0000-00005E080000}"/>
    <cellStyle name="20% - Accent3 6 2 4" xfId="2144" xr:uid="{00000000-0005-0000-0000-00005F080000}"/>
    <cellStyle name="20% - Accent3 6 2 4 2" xfId="2145" xr:uid="{00000000-0005-0000-0000-000060080000}"/>
    <cellStyle name="20% - Accent3 6 2 5" xfId="2146" xr:uid="{00000000-0005-0000-0000-000061080000}"/>
    <cellStyle name="20% - Accent3 6 2 5 2" xfId="2147" xr:uid="{00000000-0005-0000-0000-000062080000}"/>
    <cellStyle name="20% - Accent3 6 2 6" xfId="2148" xr:uid="{00000000-0005-0000-0000-000063080000}"/>
    <cellStyle name="20% - Accent3 6 2 7" xfId="2149" xr:uid="{00000000-0005-0000-0000-000064080000}"/>
    <cellStyle name="20% - Accent3 6 3" xfId="2150" xr:uid="{00000000-0005-0000-0000-000065080000}"/>
    <cellStyle name="20% - Accent3 6 3 2" xfId="2151" xr:uid="{00000000-0005-0000-0000-000066080000}"/>
    <cellStyle name="20% - Accent3 6 3 2 2" xfId="2152" xr:uid="{00000000-0005-0000-0000-000067080000}"/>
    <cellStyle name="20% - Accent3 6 3 2 2 2" xfId="2153" xr:uid="{00000000-0005-0000-0000-000068080000}"/>
    <cellStyle name="20% - Accent3 6 3 2 3" xfId="2154" xr:uid="{00000000-0005-0000-0000-000069080000}"/>
    <cellStyle name="20% - Accent3 6 3 2 3 2" xfId="2155" xr:uid="{00000000-0005-0000-0000-00006A080000}"/>
    <cellStyle name="20% - Accent3 6 3 2 4" xfId="2156" xr:uid="{00000000-0005-0000-0000-00006B080000}"/>
    <cellStyle name="20% - Accent3 6 3 2 5" xfId="2157" xr:uid="{00000000-0005-0000-0000-00006C080000}"/>
    <cellStyle name="20% - Accent3 6 3 3" xfId="2158" xr:uid="{00000000-0005-0000-0000-00006D080000}"/>
    <cellStyle name="20% - Accent3 6 3 3 2" xfId="2159" xr:uid="{00000000-0005-0000-0000-00006E080000}"/>
    <cellStyle name="20% - Accent3 6 3 4" xfId="2160" xr:uid="{00000000-0005-0000-0000-00006F080000}"/>
    <cellStyle name="20% - Accent3 6 3 4 2" xfId="2161" xr:uid="{00000000-0005-0000-0000-000070080000}"/>
    <cellStyle name="20% - Accent3 6 3 5" xfId="2162" xr:uid="{00000000-0005-0000-0000-000071080000}"/>
    <cellStyle name="20% - Accent3 6 3 6" xfId="2163" xr:uid="{00000000-0005-0000-0000-000072080000}"/>
    <cellStyle name="20% - Accent3 6 4" xfId="2164" xr:uid="{00000000-0005-0000-0000-000073080000}"/>
    <cellStyle name="20% - Accent3 6 4 2" xfId="2165" xr:uid="{00000000-0005-0000-0000-000074080000}"/>
    <cellStyle name="20% - Accent3 6 4 2 2" xfId="2166" xr:uid="{00000000-0005-0000-0000-000075080000}"/>
    <cellStyle name="20% - Accent3 6 4 3" xfId="2167" xr:uid="{00000000-0005-0000-0000-000076080000}"/>
    <cellStyle name="20% - Accent3 6 4 3 2" xfId="2168" xr:uid="{00000000-0005-0000-0000-000077080000}"/>
    <cellStyle name="20% - Accent3 6 4 4" xfId="2169" xr:uid="{00000000-0005-0000-0000-000078080000}"/>
    <cellStyle name="20% - Accent3 6 4 5" xfId="2170" xr:uid="{00000000-0005-0000-0000-000079080000}"/>
    <cellStyle name="20% - Accent3 6 5" xfId="2171" xr:uid="{00000000-0005-0000-0000-00007A080000}"/>
    <cellStyle name="20% - Accent3 6 5 2" xfId="2172" xr:uid="{00000000-0005-0000-0000-00007B080000}"/>
    <cellStyle name="20% - Accent3 6 6" xfId="2173" xr:uid="{00000000-0005-0000-0000-00007C080000}"/>
    <cellStyle name="20% - Accent3 6 6 2" xfId="2174" xr:uid="{00000000-0005-0000-0000-00007D080000}"/>
    <cellStyle name="20% - Accent3 6 7" xfId="2175" xr:uid="{00000000-0005-0000-0000-00007E080000}"/>
    <cellStyle name="20% - Accent3 6 8" xfId="2176" xr:uid="{00000000-0005-0000-0000-00007F080000}"/>
    <cellStyle name="20% - Accent3 6 9" xfId="2177" xr:uid="{00000000-0005-0000-0000-000080080000}"/>
    <cellStyle name="20% - Accent3 7" xfId="2178" xr:uid="{00000000-0005-0000-0000-000081080000}"/>
    <cellStyle name="20% - Accent3 7 2" xfId="2179" xr:uid="{00000000-0005-0000-0000-000082080000}"/>
    <cellStyle name="20% - Accent3 7 2 2" xfId="2180" xr:uid="{00000000-0005-0000-0000-000083080000}"/>
    <cellStyle name="20% - Accent3 7 2 2 2" xfId="2181" xr:uid="{00000000-0005-0000-0000-000084080000}"/>
    <cellStyle name="20% - Accent3 7 2 2 2 2" xfId="2182" xr:uid="{00000000-0005-0000-0000-000085080000}"/>
    <cellStyle name="20% - Accent3 7 2 2 2 2 2" xfId="2183" xr:uid="{00000000-0005-0000-0000-000086080000}"/>
    <cellStyle name="20% - Accent3 7 2 2 2 3" xfId="2184" xr:uid="{00000000-0005-0000-0000-000087080000}"/>
    <cellStyle name="20% - Accent3 7 2 2 2 3 2" xfId="2185" xr:uid="{00000000-0005-0000-0000-000088080000}"/>
    <cellStyle name="20% - Accent3 7 2 2 2 4" xfId="2186" xr:uid="{00000000-0005-0000-0000-000089080000}"/>
    <cellStyle name="20% - Accent3 7 2 2 2 5" xfId="2187" xr:uid="{00000000-0005-0000-0000-00008A080000}"/>
    <cellStyle name="20% - Accent3 7 2 2 3" xfId="2188" xr:uid="{00000000-0005-0000-0000-00008B080000}"/>
    <cellStyle name="20% - Accent3 7 2 2 3 2" xfId="2189" xr:uid="{00000000-0005-0000-0000-00008C080000}"/>
    <cellStyle name="20% - Accent3 7 2 2 4" xfId="2190" xr:uid="{00000000-0005-0000-0000-00008D080000}"/>
    <cellStyle name="20% - Accent3 7 2 2 4 2" xfId="2191" xr:uid="{00000000-0005-0000-0000-00008E080000}"/>
    <cellStyle name="20% - Accent3 7 2 2 5" xfId="2192" xr:uid="{00000000-0005-0000-0000-00008F080000}"/>
    <cellStyle name="20% - Accent3 7 2 2 6" xfId="2193" xr:uid="{00000000-0005-0000-0000-000090080000}"/>
    <cellStyle name="20% - Accent3 7 2 3" xfId="2194" xr:uid="{00000000-0005-0000-0000-000091080000}"/>
    <cellStyle name="20% - Accent3 7 2 3 2" xfId="2195" xr:uid="{00000000-0005-0000-0000-000092080000}"/>
    <cellStyle name="20% - Accent3 7 2 3 2 2" xfId="2196" xr:uid="{00000000-0005-0000-0000-000093080000}"/>
    <cellStyle name="20% - Accent3 7 2 3 3" xfId="2197" xr:uid="{00000000-0005-0000-0000-000094080000}"/>
    <cellStyle name="20% - Accent3 7 2 3 3 2" xfId="2198" xr:uid="{00000000-0005-0000-0000-000095080000}"/>
    <cellStyle name="20% - Accent3 7 2 3 4" xfId="2199" xr:uid="{00000000-0005-0000-0000-000096080000}"/>
    <cellStyle name="20% - Accent3 7 2 3 5" xfId="2200" xr:uid="{00000000-0005-0000-0000-000097080000}"/>
    <cellStyle name="20% - Accent3 7 2 4" xfId="2201" xr:uid="{00000000-0005-0000-0000-000098080000}"/>
    <cellStyle name="20% - Accent3 7 2 4 2" xfId="2202" xr:uid="{00000000-0005-0000-0000-000099080000}"/>
    <cellStyle name="20% - Accent3 7 2 5" xfId="2203" xr:uid="{00000000-0005-0000-0000-00009A080000}"/>
    <cellStyle name="20% - Accent3 7 2 5 2" xfId="2204" xr:uid="{00000000-0005-0000-0000-00009B080000}"/>
    <cellStyle name="20% - Accent3 7 2 6" xfId="2205" xr:uid="{00000000-0005-0000-0000-00009C080000}"/>
    <cellStyle name="20% - Accent3 7 2 7" xfId="2206" xr:uid="{00000000-0005-0000-0000-00009D080000}"/>
    <cellStyle name="20% - Accent3 7 3" xfId="2207" xr:uid="{00000000-0005-0000-0000-00009E080000}"/>
    <cellStyle name="20% - Accent3 7 3 2" xfId="2208" xr:uid="{00000000-0005-0000-0000-00009F080000}"/>
    <cellStyle name="20% - Accent3 7 3 2 2" xfId="2209" xr:uid="{00000000-0005-0000-0000-0000A0080000}"/>
    <cellStyle name="20% - Accent3 7 3 2 2 2" xfId="2210" xr:uid="{00000000-0005-0000-0000-0000A1080000}"/>
    <cellStyle name="20% - Accent3 7 3 2 3" xfId="2211" xr:uid="{00000000-0005-0000-0000-0000A2080000}"/>
    <cellStyle name="20% - Accent3 7 3 2 3 2" xfId="2212" xr:uid="{00000000-0005-0000-0000-0000A3080000}"/>
    <cellStyle name="20% - Accent3 7 3 2 4" xfId="2213" xr:uid="{00000000-0005-0000-0000-0000A4080000}"/>
    <cellStyle name="20% - Accent3 7 3 2 5" xfId="2214" xr:uid="{00000000-0005-0000-0000-0000A5080000}"/>
    <cellStyle name="20% - Accent3 7 3 3" xfId="2215" xr:uid="{00000000-0005-0000-0000-0000A6080000}"/>
    <cellStyle name="20% - Accent3 7 3 3 2" xfId="2216" xr:uid="{00000000-0005-0000-0000-0000A7080000}"/>
    <cellStyle name="20% - Accent3 7 3 4" xfId="2217" xr:uid="{00000000-0005-0000-0000-0000A8080000}"/>
    <cellStyle name="20% - Accent3 7 3 4 2" xfId="2218" xr:uid="{00000000-0005-0000-0000-0000A9080000}"/>
    <cellStyle name="20% - Accent3 7 3 5" xfId="2219" xr:uid="{00000000-0005-0000-0000-0000AA080000}"/>
    <cellStyle name="20% - Accent3 7 3 6" xfId="2220" xr:uid="{00000000-0005-0000-0000-0000AB080000}"/>
    <cellStyle name="20% - Accent3 7 4" xfId="2221" xr:uid="{00000000-0005-0000-0000-0000AC080000}"/>
    <cellStyle name="20% - Accent3 7 4 2" xfId="2222" xr:uid="{00000000-0005-0000-0000-0000AD080000}"/>
    <cellStyle name="20% - Accent3 7 4 2 2" xfId="2223" xr:uid="{00000000-0005-0000-0000-0000AE080000}"/>
    <cellStyle name="20% - Accent3 7 4 3" xfId="2224" xr:uid="{00000000-0005-0000-0000-0000AF080000}"/>
    <cellStyle name="20% - Accent3 7 4 3 2" xfId="2225" xr:uid="{00000000-0005-0000-0000-0000B0080000}"/>
    <cellStyle name="20% - Accent3 7 4 4" xfId="2226" xr:uid="{00000000-0005-0000-0000-0000B1080000}"/>
    <cellStyle name="20% - Accent3 7 4 5" xfId="2227" xr:uid="{00000000-0005-0000-0000-0000B2080000}"/>
    <cellStyle name="20% - Accent3 7 5" xfId="2228" xr:uid="{00000000-0005-0000-0000-0000B3080000}"/>
    <cellStyle name="20% - Accent3 7 5 2" xfId="2229" xr:uid="{00000000-0005-0000-0000-0000B4080000}"/>
    <cellStyle name="20% - Accent3 7 6" xfId="2230" xr:uid="{00000000-0005-0000-0000-0000B5080000}"/>
    <cellStyle name="20% - Accent3 7 6 2" xfId="2231" xr:uid="{00000000-0005-0000-0000-0000B6080000}"/>
    <cellStyle name="20% - Accent3 7 7" xfId="2232" xr:uid="{00000000-0005-0000-0000-0000B7080000}"/>
    <cellStyle name="20% - Accent3 7 8" xfId="2233" xr:uid="{00000000-0005-0000-0000-0000B8080000}"/>
    <cellStyle name="20% - Accent3 7 9" xfId="2234" xr:uid="{00000000-0005-0000-0000-0000B9080000}"/>
    <cellStyle name="20% - Accent3 8" xfId="2235" xr:uid="{00000000-0005-0000-0000-0000BA080000}"/>
    <cellStyle name="20% - Accent3 8 2" xfId="2236" xr:uid="{00000000-0005-0000-0000-0000BB080000}"/>
    <cellStyle name="20% - Accent3 8 2 2" xfId="2237" xr:uid="{00000000-0005-0000-0000-0000BC080000}"/>
    <cellStyle name="20% - Accent3 8 2 2 2" xfId="2238" xr:uid="{00000000-0005-0000-0000-0000BD080000}"/>
    <cellStyle name="20% - Accent3 8 2 2 2 2" xfId="2239" xr:uid="{00000000-0005-0000-0000-0000BE080000}"/>
    <cellStyle name="20% - Accent3 8 2 2 2 2 2" xfId="2240" xr:uid="{00000000-0005-0000-0000-0000BF080000}"/>
    <cellStyle name="20% - Accent3 8 2 2 2 3" xfId="2241" xr:uid="{00000000-0005-0000-0000-0000C0080000}"/>
    <cellStyle name="20% - Accent3 8 2 2 2 3 2" xfId="2242" xr:uid="{00000000-0005-0000-0000-0000C1080000}"/>
    <cellStyle name="20% - Accent3 8 2 2 2 4" xfId="2243" xr:uid="{00000000-0005-0000-0000-0000C2080000}"/>
    <cellStyle name="20% - Accent3 8 2 2 2 5" xfId="2244" xr:uid="{00000000-0005-0000-0000-0000C3080000}"/>
    <cellStyle name="20% - Accent3 8 2 2 3" xfId="2245" xr:uid="{00000000-0005-0000-0000-0000C4080000}"/>
    <cellStyle name="20% - Accent3 8 2 2 3 2" xfId="2246" xr:uid="{00000000-0005-0000-0000-0000C5080000}"/>
    <cellStyle name="20% - Accent3 8 2 2 4" xfId="2247" xr:uid="{00000000-0005-0000-0000-0000C6080000}"/>
    <cellStyle name="20% - Accent3 8 2 2 4 2" xfId="2248" xr:uid="{00000000-0005-0000-0000-0000C7080000}"/>
    <cellStyle name="20% - Accent3 8 2 2 5" xfId="2249" xr:uid="{00000000-0005-0000-0000-0000C8080000}"/>
    <cellStyle name="20% - Accent3 8 2 2 6" xfId="2250" xr:uid="{00000000-0005-0000-0000-0000C9080000}"/>
    <cellStyle name="20% - Accent3 8 2 3" xfId="2251" xr:uid="{00000000-0005-0000-0000-0000CA080000}"/>
    <cellStyle name="20% - Accent3 8 2 3 2" xfId="2252" xr:uid="{00000000-0005-0000-0000-0000CB080000}"/>
    <cellStyle name="20% - Accent3 8 2 3 2 2" xfId="2253" xr:uid="{00000000-0005-0000-0000-0000CC080000}"/>
    <cellStyle name="20% - Accent3 8 2 3 3" xfId="2254" xr:uid="{00000000-0005-0000-0000-0000CD080000}"/>
    <cellStyle name="20% - Accent3 8 2 3 3 2" xfId="2255" xr:uid="{00000000-0005-0000-0000-0000CE080000}"/>
    <cellStyle name="20% - Accent3 8 2 3 4" xfId="2256" xr:uid="{00000000-0005-0000-0000-0000CF080000}"/>
    <cellStyle name="20% - Accent3 8 2 3 5" xfId="2257" xr:uid="{00000000-0005-0000-0000-0000D0080000}"/>
    <cellStyle name="20% - Accent3 8 2 4" xfId="2258" xr:uid="{00000000-0005-0000-0000-0000D1080000}"/>
    <cellStyle name="20% - Accent3 8 2 4 2" xfId="2259" xr:uid="{00000000-0005-0000-0000-0000D2080000}"/>
    <cellStyle name="20% - Accent3 8 2 5" xfId="2260" xr:uid="{00000000-0005-0000-0000-0000D3080000}"/>
    <cellStyle name="20% - Accent3 8 2 5 2" xfId="2261" xr:uid="{00000000-0005-0000-0000-0000D4080000}"/>
    <cellStyle name="20% - Accent3 8 2 6" xfId="2262" xr:uid="{00000000-0005-0000-0000-0000D5080000}"/>
    <cellStyle name="20% - Accent3 8 2 7" xfId="2263" xr:uid="{00000000-0005-0000-0000-0000D6080000}"/>
    <cellStyle name="20% - Accent3 8 3" xfId="2264" xr:uid="{00000000-0005-0000-0000-0000D7080000}"/>
    <cellStyle name="20% - Accent3 8 3 2" xfId="2265" xr:uid="{00000000-0005-0000-0000-0000D8080000}"/>
    <cellStyle name="20% - Accent3 8 3 2 2" xfId="2266" xr:uid="{00000000-0005-0000-0000-0000D9080000}"/>
    <cellStyle name="20% - Accent3 8 3 2 2 2" xfId="2267" xr:uid="{00000000-0005-0000-0000-0000DA080000}"/>
    <cellStyle name="20% - Accent3 8 3 2 3" xfId="2268" xr:uid="{00000000-0005-0000-0000-0000DB080000}"/>
    <cellStyle name="20% - Accent3 8 3 2 3 2" xfId="2269" xr:uid="{00000000-0005-0000-0000-0000DC080000}"/>
    <cellStyle name="20% - Accent3 8 3 2 4" xfId="2270" xr:uid="{00000000-0005-0000-0000-0000DD080000}"/>
    <cellStyle name="20% - Accent3 8 3 2 5" xfId="2271" xr:uid="{00000000-0005-0000-0000-0000DE080000}"/>
    <cellStyle name="20% - Accent3 8 3 3" xfId="2272" xr:uid="{00000000-0005-0000-0000-0000DF080000}"/>
    <cellStyle name="20% - Accent3 8 3 3 2" xfId="2273" xr:uid="{00000000-0005-0000-0000-0000E0080000}"/>
    <cellStyle name="20% - Accent3 8 3 4" xfId="2274" xr:uid="{00000000-0005-0000-0000-0000E1080000}"/>
    <cellStyle name="20% - Accent3 8 3 4 2" xfId="2275" xr:uid="{00000000-0005-0000-0000-0000E2080000}"/>
    <cellStyle name="20% - Accent3 8 3 5" xfId="2276" xr:uid="{00000000-0005-0000-0000-0000E3080000}"/>
    <cellStyle name="20% - Accent3 8 3 6" xfId="2277" xr:uid="{00000000-0005-0000-0000-0000E4080000}"/>
    <cellStyle name="20% - Accent3 8 4" xfId="2278" xr:uid="{00000000-0005-0000-0000-0000E5080000}"/>
    <cellStyle name="20% - Accent3 8 4 2" xfId="2279" xr:uid="{00000000-0005-0000-0000-0000E6080000}"/>
    <cellStyle name="20% - Accent3 8 4 2 2" xfId="2280" xr:uid="{00000000-0005-0000-0000-0000E7080000}"/>
    <cellStyle name="20% - Accent3 8 4 3" xfId="2281" xr:uid="{00000000-0005-0000-0000-0000E8080000}"/>
    <cellStyle name="20% - Accent3 8 4 3 2" xfId="2282" xr:uid="{00000000-0005-0000-0000-0000E9080000}"/>
    <cellStyle name="20% - Accent3 8 4 4" xfId="2283" xr:uid="{00000000-0005-0000-0000-0000EA080000}"/>
    <cellStyle name="20% - Accent3 8 4 5" xfId="2284" xr:uid="{00000000-0005-0000-0000-0000EB080000}"/>
    <cellStyle name="20% - Accent3 8 5" xfId="2285" xr:uid="{00000000-0005-0000-0000-0000EC080000}"/>
    <cellStyle name="20% - Accent3 8 5 2" xfId="2286" xr:uid="{00000000-0005-0000-0000-0000ED080000}"/>
    <cellStyle name="20% - Accent3 8 6" xfId="2287" xr:uid="{00000000-0005-0000-0000-0000EE080000}"/>
    <cellStyle name="20% - Accent3 8 6 2" xfId="2288" xr:uid="{00000000-0005-0000-0000-0000EF080000}"/>
    <cellStyle name="20% - Accent3 8 7" xfId="2289" xr:uid="{00000000-0005-0000-0000-0000F0080000}"/>
    <cellStyle name="20% - Accent3 8 8" xfId="2290" xr:uid="{00000000-0005-0000-0000-0000F1080000}"/>
    <cellStyle name="20% - Accent3 9" xfId="2291" xr:uid="{00000000-0005-0000-0000-0000F2080000}"/>
    <cellStyle name="20% - Accent3 9 2" xfId="2292" xr:uid="{00000000-0005-0000-0000-0000F3080000}"/>
    <cellStyle name="20% - Accent3 9 2 2" xfId="2293" xr:uid="{00000000-0005-0000-0000-0000F4080000}"/>
    <cellStyle name="20% - Accent3 9 2 2 2" xfId="2294" xr:uid="{00000000-0005-0000-0000-0000F5080000}"/>
    <cellStyle name="20% - Accent3 9 2 2 2 2" xfId="2295" xr:uid="{00000000-0005-0000-0000-0000F6080000}"/>
    <cellStyle name="20% - Accent3 9 2 2 2 2 2" xfId="2296" xr:uid="{00000000-0005-0000-0000-0000F7080000}"/>
    <cellStyle name="20% - Accent3 9 2 2 2 3" xfId="2297" xr:uid="{00000000-0005-0000-0000-0000F8080000}"/>
    <cellStyle name="20% - Accent3 9 2 2 2 3 2" xfId="2298" xr:uid="{00000000-0005-0000-0000-0000F9080000}"/>
    <cellStyle name="20% - Accent3 9 2 2 2 4" xfId="2299" xr:uid="{00000000-0005-0000-0000-0000FA080000}"/>
    <cellStyle name="20% - Accent3 9 2 2 2 5" xfId="2300" xr:uid="{00000000-0005-0000-0000-0000FB080000}"/>
    <cellStyle name="20% - Accent3 9 2 2 3" xfId="2301" xr:uid="{00000000-0005-0000-0000-0000FC080000}"/>
    <cellStyle name="20% - Accent3 9 2 2 3 2" xfId="2302" xr:uid="{00000000-0005-0000-0000-0000FD080000}"/>
    <cellStyle name="20% - Accent3 9 2 2 4" xfId="2303" xr:uid="{00000000-0005-0000-0000-0000FE080000}"/>
    <cellStyle name="20% - Accent3 9 2 2 4 2" xfId="2304" xr:uid="{00000000-0005-0000-0000-0000FF080000}"/>
    <cellStyle name="20% - Accent3 9 2 2 5" xfId="2305" xr:uid="{00000000-0005-0000-0000-000000090000}"/>
    <cellStyle name="20% - Accent3 9 2 2 6" xfId="2306" xr:uid="{00000000-0005-0000-0000-000001090000}"/>
    <cellStyle name="20% - Accent3 9 2 3" xfId="2307" xr:uid="{00000000-0005-0000-0000-000002090000}"/>
    <cellStyle name="20% - Accent3 9 2 3 2" xfId="2308" xr:uid="{00000000-0005-0000-0000-000003090000}"/>
    <cellStyle name="20% - Accent3 9 2 3 2 2" xfId="2309" xr:uid="{00000000-0005-0000-0000-000004090000}"/>
    <cellStyle name="20% - Accent3 9 2 3 3" xfId="2310" xr:uid="{00000000-0005-0000-0000-000005090000}"/>
    <cellStyle name="20% - Accent3 9 2 3 3 2" xfId="2311" xr:uid="{00000000-0005-0000-0000-000006090000}"/>
    <cellStyle name="20% - Accent3 9 2 3 4" xfId="2312" xr:uid="{00000000-0005-0000-0000-000007090000}"/>
    <cellStyle name="20% - Accent3 9 2 3 5" xfId="2313" xr:uid="{00000000-0005-0000-0000-000008090000}"/>
    <cellStyle name="20% - Accent3 9 2 4" xfId="2314" xr:uid="{00000000-0005-0000-0000-000009090000}"/>
    <cellStyle name="20% - Accent3 9 2 4 2" xfId="2315" xr:uid="{00000000-0005-0000-0000-00000A090000}"/>
    <cellStyle name="20% - Accent3 9 2 5" xfId="2316" xr:uid="{00000000-0005-0000-0000-00000B090000}"/>
    <cellStyle name="20% - Accent3 9 2 5 2" xfId="2317" xr:uid="{00000000-0005-0000-0000-00000C090000}"/>
    <cellStyle name="20% - Accent3 9 2 6" xfId="2318" xr:uid="{00000000-0005-0000-0000-00000D090000}"/>
    <cellStyle name="20% - Accent3 9 2 7" xfId="2319" xr:uid="{00000000-0005-0000-0000-00000E090000}"/>
    <cellStyle name="20% - Accent3 9 3" xfId="2320" xr:uid="{00000000-0005-0000-0000-00000F090000}"/>
    <cellStyle name="20% - Accent3 9 3 2" xfId="2321" xr:uid="{00000000-0005-0000-0000-000010090000}"/>
    <cellStyle name="20% - Accent3 9 3 2 2" xfId="2322" xr:uid="{00000000-0005-0000-0000-000011090000}"/>
    <cellStyle name="20% - Accent3 9 3 2 2 2" xfId="2323" xr:uid="{00000000-0005-0000-0000-000012090000}"/>
    <cellStyle name="20% - Accent3 9 3 2 3" xfId="2324" xr:uid="{00000000-0005-0000-0000-000013090000}"/>
    <cellStyle name="20% - Accent3 9 3 2 3 2" xfId="2325" xr:uid="{00000000-0005-0000-0000-000014090000}"/>
    <cellStyle name="20% - Accent3 9 3 2 4" xfId="2326" xr:uid="{00000000-0005-0000-0000-000015090000}"/>
    <cellStyle name="20% - Accent3 9 3 2 5" xfId="2327" xr:uid="{00000000-0005-0000-0000-000016090000}"/>
    <cellStyle name="20% - Accent3 9 3 3" xfId="2328" xr:uid="{00000000-0005-0000-0000-000017090000}"/>
    <cellStyle name="20% - Accent3 9 3 3 2" xfId="2329" xr:uid="{00000000-0005-0000-0000-000018090000}"/>
    <cellStyle name="20% - Accent3 9 3 4" xfId="2330" xr:uid="{00000000-0005-0000-0000-000019090000}"/>
    <cellStyle name="20% - Accent3 9 3 4 2" xfId="2331" xr:uid="{00000000-0005-0000-0000-00001A090000}"/>
    <cellStyle name="20% - Accent3 9 3 5" xfId="2332" xr:uid="{00000000-0005-0000-0000-00001B090000}"/>
    <cellStyle name="20% - Accent3 9 3 6" xfId="2333" xr:uid="{00000000-0005-0000-0000-00001C090000}"/>
    <cellStyle name="20% - Accent3 9 4" xfId="2334" xr:uid="{00000000-0005-0000-0000-00001D090000}"/>
    <cellStyle name="20% - Accent3 9 4 2" xfId="2335" xr:uid="{00000000-0005-0000-0000-00001E090000}"/>
    <cellStyle name="20% - Accent3 9 4 2 2" xfId="2336" xr:uid="{00000000-0005-0000-0000-00001F090000}"/>
    <cellStyle name="20% - Accent3 9 4 3" xfId="2337" xr:uid="{00000000-0005-0000-0000-000020090000}"/>
    <cellStyle name="20% - Accent3 9 4 3 2" xfId="2338" xr:uid="{00000000-0005-0000-0000-000021090000}"/>
    <cellStyle name="20% - Accent3 9 4 4" xfId="2339" xr:uid="{00000000-0005-0000-0000-000022090000}"/>
    <cellStyle name="20% - Accent3 9 4 5" xfId="2340" xr:uid="{00000000-0005-0000-0000-000023090000}"/>
    <cellStyle name="20% - Accent3 9 5" xfId="2341" xr:uid="{00000000-0005-0000-0000-000024090000}"/>
    <cellStyle name="20% - Accent3 9 5 2" xfId="2342" xr:uid="{00000000-0005-0000-0000-000025090000}"/>
    <cellStyle name="20% - Accent3 9 6" xfId="2343" xr:uid="{00000000-0005-0000-0000-000026090000}"/>
    <cellStyle name="20% - Accent3 9 6 2" xfId="2344" xr:uid="{00000000-0005-0000-0000-000027090000}"/>
    <cellStyle name="20% - Accent3 9 7" xfId="2345" xr:uid="{00000000-0005-0000-0000-000028090000}"/>
    <cellStyle name="20% - Accent3 9 8" xfId="2346" xr:uid="{00000000-0005-0000-0000-000029090000}"/>
    <cellStyle name="20% - Accent4 10" xfId="2347" xr:uid="{00000000-0005-0000-0000-00002A090000}"/>
    <cellStyle name="20% - Accent4 10 2" xfId="2348" xr:uid="{00000000-0005-0000-0000-00002B090000}"/>
    <cellStyle name="20% - Accent4 10 2 2" xfId="2349" xr:uid="{00000000-0005-0000-0000-00002C090000}"/>
    <cellStyle name="20% - Accent4 10 2 2 2" xfId="2350" xr:uid="{00000000-0005-0000-0000-00002D090000}"/>
    <cellStyle name="20% - Accent4 10 2 2 2 2" xfId="2351" xr:uid="{00000000-0005-0000-0000-00002E090000}"/>
    <cellStyle name="20% - Accent4 10 2 2 2 2 2" xfId="2352" xr:uid="{00000000-0005-0000-0000-00002F090000}"/>
    <cellStyle name="20% - Accent4 10 2 2 2 3" xfId="2353" xr:uid="{00000000-0005-0000-0000-000030090000}"/>
    <cellStyle name="20% - Accent4 10 2 2 2 3 2" xfId="2354" xr:uid="{00000000-0005-0000-0000-000031090000}"/>
    <cellStyle name="20% - Accent4 10 2 2 2 4" xfId="2355" xr:uid="{00000000-0005-0000-0000-000032090000}"/>
    <cellStyle name="20% - Accent4 10 2 2 2 5" xfId="2356" xr:uid="{00000000-0005-0000-0000-000033090000}"/>
    <cellStyle name="20% - Accent4 10 2 2 3" xfId="2357" xr:uid="{00000000-0005-0000-0000-000034090000}"/>
    <cellStyle name="20% - Accent4 10 2 2 3 2" xfId="2358" xr:uid="{00000000-0005-0000-0000-000035090000}"/>
    <cellStyle name="20% - Accent4 10 2 2 4" xfId="2359" xr:uid="{00000000-0005-0000-0000-000036090000}"/>
    <cellStyle name="20% - Accent4 10 2 2 4 2" xfId="2360" xr:uid="{00000000-0005-0000-0000-000037090000}"/>
    <cellStyle name="20% - Accent4 10 2 2 5" xfId="2361" xr:uid="{00000000-0005-0000-0000-000038090000}"/>
    <cellStyle name="20% - Accent4 10 2 2 6" xfId="2362" xr:uid="{00000000-0005-0000-0000-000039090000}"/>
    <cellStyle name="20% - Accent4 10 2 3" xfId="2363" xr:uid="{00000000-0005-0000-0000-00003A090000}"/>
    <cellStyle name="20% - Accent4 10 2 3 2" xfId="2364" xr:uid="{00000000-0005-0000-0000-00003B090000}"/>
    <cellStyle name="20% - Accent4 10 2 3 2 2" xfId="2365" xr:uid="{00000000-0005-0000-0000-00003C090000}"/>
    <cellStyle name="20% - Accent4 10 2 3 3" xfId="2366" xr:uid="{00000000-0005-0000-0000-00003D090000}"/>
    <cellStyle name="20% - Accent4 10 2 3 3 2" xfId="2367" xr:uid="{00000000-0005-0000-0000-00003E090000}"/>
    <cellStyle name="20% - Accent4 10 2 3 4" xfId="2368" xr:uid="{00000000-0005-0000-0000-00003F090000}"/>
    <cellStyle name="20% - Accent4 10 2 3 5" xfId="2369" xr:uid="{00000000-0005-0000-0000-000040090000}"/>
    <cellStyle name="20% - Accent4 10 2 4" xfId="2370" xr:uid="{00000000-0005-0000-0000-000041090000}"/>
    <cellStyle name="20% - Accent4 10 2 4 2" xfId="2371" xr:uid="{00000000-0005-0000-0000-000042090000}"/>
    <cellStyle name="20% - Accent4 10 2 5" xfId="2372" xr:uid="{00000000-0005-0000-0000-000043090000}"/>
    <cellStyle name="20% - Accent4 10 2 5 2" xfId="2373" xr:uid="{00000000-0005-0000-0000-000044090000}"/>
    <cellStyle name="20% - Accent4 10 2 6" xfId="2374" xr:uid="{00000000-0005-0000-0000-000045090000}"/>
    <cellStyle name="20% - Accent4 10 2 7" xfId="2375" xr:uid="{00000000-0005-0000-0000-000046090000}"/>
    <cellStyle name="20% - Accent4 10 3" xfId="2376" xr:uid="{00000000-0005-0000-0000-000047090000}"/>
    <cellStyle name="20% - Accent4 10 3 2" xfId="2377" xr:uid="{00000000-0005-0000-0000-000048090000}"/>
    <cellStyle name="20% - Accent4 10 3 2 2" xfId="2378" xr:uid="{00000000-0005-0000-0000-000049090000}"/>
    <cellStyle name="20% - Accent4 10 3 2 2 2" xfId="2379" xr:uid="{00000000-0005-0000-0000-00004A090000}"/>
    <cellStyle name="20% - Accent4 10 3 2 3" xfId="2380" xr:uid="{00000000-0005-0000-0000-00004B090000}"/>
    <cellStyle name="20% - Accent4 10 3 2 3 2" xfId="2381" xr:uid="{00000000-0005-0000-0000-00004C090000}"/>
    <cellStyle name="20% - Accent4 10 3 2 4" xfId="2382" xr:uid="{00000000-0005-0000-0000-00004D090000}"/>
    <cellStyle name="20% - Accent4 10 3 2 5" xfId="2383" xr:uid="{00000000-0005-0000-0000-00004E090000}"/>
    <cellStyle name="20% - Accent4 10 3 3" xfId="2384" xr:uid="{00000000-0005-0000-0000-00004F090000}"/>
    <cellStyle name="20% - Accent4 10 3 3 2" xfId="2385" xr:uid="{00000000-0005-0000-0000-000050090000}"/>
    <cellStyle name="20% - Accent4 10 3 4" xfId="2386" xr:uid="{00000000-0005-0000-0000-000051090000}"/>
    <cellStyle name="20% - Accent4 10 3 4 2" xfId="2387" xr:uid="{00000000-0005-0000-0000-000052090000}"/>
    <cellStyle name="20% - Accent4 10 3 5" xfId="2388" xr:uid="{00000000-0005-0000-0000-000053090000}"/>
    <cellStyle name="20% - Accent4 10 3 6" xfId="2389" xr:uid="{00000000-0005-0000-0000-000054090000}"/>
    <cellStyle name="20% - Accent4 10 4" xfId="2390" xr:uid="{00000000-0005-0000-0000-000055090000}"/>
    <cellStyle name="20% - Accent4 10 4 2" xfId="2391" xr:uid="{00000000-0005-0000-0000-000056090000}"/>
    <cellStyle name="20% - Accent4 10 4 2 2" xfId="2392" xr:uid="{00000000-0005-0000-0000-000057090000}"/>
    <cellStyle name="20% - Accent4 10 4 3" xfId="2393" xr:uid="{00000000-0005-0000-0000-000058090000}"/>
    <cellStyle name="20% - Accent4 10 4 3 2" xfId="2394" xr:uid="{00000000-0005-0000-0000-000059090000}"/>
    <cellStyle name="20% - Accent4 10 4 4" xfId="2395" xr:uid="{00000000-0005-0000-0000-00005A090000}"/>
    <cellStyle name="20% - Accent4 10 4 5" xfId="2396" xr:uid="{00000000-0005-0000-0000-00005B090000}"/>
    <cellStyle name="20% - Accent4 10 5" xfId="2397" xr:uid="{00000000-0005-0000-0000-00005C090000}"/>
    <cellStyle name="20% - Accent4 10 5 2" xfId="2398" xr:uid="{00000000-0005-0000-0000-00005D090000}"/>
    <cellStyle name="20% - Accent4 10 6" xfId="2399" xr:uid="{00000000-0005-0000-0000-00005E090000}"/>
    <cellStyle name="20% - Accent4 10 6 2" xfId="2400" xr:uid="{00000000-0005-0000-0000-00005F090000}"/>
    <cellStyle name="20% - Accent4 10 7" xfId="2401" xr:uid="{00000000-0005-0000-0000-000060090000}"/>
    <cellStyle name="20% - Accent4 10 8" xfId="2402" xr:uid="{00000000-0005-0000-0000-000061090000}"/>
    <cellStyle name="20% - Accent4 11" xfId="2403" xr:uid="{00000000-0005-0000-0000-000062090000}"/>
    <cellStyle name="20% - Accent4 11 2" xfId="2404" xr:uid="{00000000-0005-0000-0000-000063090000}"/>
    <cellStyle name="20% - Accent4 11 2 2" xfId="2405" xr:uid="{00000000-0005-0000-0000-000064090000}"/>
    <cellStyle name="20% - Accent4 11 2 2 2" xfId="2406" xr:uid="{00000000-0005-0000-0000-000065090000}"/>
    <cellStyle name="20% - Accent4 11 2 2 2 2" xfId="2407" xr:uid="{00000000-0005-0000-0000-000066090000}"/>
    <cellStyle name="20% - Accent4 11 2 2 3" xfId="2408" xr:uid="{00000000-0005-0000-0000-000067090000}"/>
    <cellStyle name="20% - Accent4 11 2 2 3 2" xfId="2409" xr:uid="{00000000-0005-0000-0000-000068090000}"/>
    <cellStyle name="20% - Accent4 11 2 2 4" xfId="2410" xr:uid="{00000000-0005-0000-0000-000069090000}"/>
    <cellStyle name="20% - Accent4 11 2 2 5" xfId="2411" xr:uid="{00000000-0005-0000-0000-00006A090000}"/>
    <cellStyle name="20% - Accent4 11 2 3" xfId="2412" xr:uid="{00000000-0005-0000-0000-00006B090000}"/>
    <cellStyle name="20% - Accent4 11 2 3 2" xfId="2413" xr:uid="{00000000-0005-0000-0000-00006C090000}"/>
    <cellStyle name="20% - Accent4 11 2 4" xfId="2414" xr:uid="{00000000-0005-0000-0000-00006D090000}"/>
    <cellStyle name="20% - Accent4 11 2 4 2" xfId="2415" xr:uid="{00000000-0005-0000-0000-00006E090000}"/>
    <cellStyle name="20% - Accent4 11 2 5" xfId="2416" xr:uid="{00000000-0005-0000-0000-00006F090000}"/>
    <cellStyle name="20% - Accent4 11 2 6" xfId="2417" xr:uid="{00000000-0005-0000-0000-000070090000}"/>
    <cellStyle name="20% - Accent4 11 3" xfId="2418" xr:uid="{00000000-0005-0000-0000-000071090000}"/>
    <cellStyle name="20% - Accent4 11 3 2" xfId="2419" xr:uid="{00000000-0005-0000-0000-000072090000}"/>
    <cellStyle name="20% - Accent4 11 3 2 2" xfId="2420" xr:uid="{00000000-0005-0000-0000-000073090000}"/>
    <cellStyle name="20% - Accent4 11 3 3" xfId="2421" xr:uid="{00000000-0005-0000-0000-000074090000}"/>
    <cellStyle name="20% - Accent4 11 3 3 2" xfId="2422" xr:uid="{00000000-0005-0000-0000-000075090000}"/>
    <cellStyle name="20% - Accent4 11 3 4" xfId="2423" xr:uid="{00000000-0005-0000-0000-000076090000}"/>
    <cellStyle name="20% - Accent4 11 3 5" xfId="2424" xr:uid="{00000000-0005-0000-0000-000077090000}"/>
    <cellStyle name="20% - Accent4 11 4" xfId="2425" xr:uid="{00000000-0005-0000-0000-000078090000}"/>
    <cellStyle name="20% - Accent4 11 4 2" xfId="2426" xr:uid="{00000000-0005-0000-0000-000079090000}"/>
    <cellStyle name="20% - Accent4 11 5" xfId="2427" xr:uid="{00000000-0005-0000-0000-00007A090000}"/>
    <cellStyle name="20% - Accent4 11 5 2" xfId="2428" xr:uid="{00000000-0005-0000-0000-00007B090000}"/>
    <cellStyle name="20% - Accent4 11 6" xfId="2429" xr:uid="{00000000-0005-0000-0000-00007C090000}"/>
    <cellStyle name="20% - Accent4 11 7" xfId="2430" xr:uid="{00000000-0005-0000-0000-00007D090000}"/>
    <cellStyle name="20% - Accent4 12" xfId="2431" xr:uid="{00000000-0005-0000-0000-00007E090000}"/>
    <cellStyle name="20% - Accent4 12 2" xfId="2432" xr:uid="{00000000-0005-0000-0000-00007F090000}"/>
    <cellStyle name="20% - Accent4 12 2 2" xfId="2433" xr:uid="{00000000-0005-0000-0000-000080090000}"/>
    <cellStyle name="20% - Accent4 12 2 2 2" xfId="2434" xr:uid="{00000000-0005-0000-0000-000081090000}"/>
    <cellStyle name="20% - Accent4 12 2 3" xfId="2435" xr:uid="{00000000-0005-0000-0000-000082090000}"/>
    <cellStyle name="20% - Accent4 12 2 3 2" xfId="2436" xr:uid="{00000000-0005-0000-0000-000083090000}"/>
    <cellStyle name="20% - Accent4 12 2 4" xfId="2437" xr:uid="{00000000-0005-0000-0000-000084090000}"/>
    <cellStyle name="20% - Accent4 12 2 5" xfId="2438" xr:uid="{00000000-0005-0000-0000-000085090000}"/>
    <cellStyle name="20% - Accent4 12 3" xfId="2439" xr:uid="{00000000-0005-0000-0000-000086090000}"/>
    <cellStyle name="20% - Accent4 12 3 2" xfId="2440" xr:uid="{00000000-0005-0000-0000-000087090000}"/>
    <cellStyle name="20% - Accent4 12 4" xfId="2441" xr:uid="{00000000-0005-0000-0000-000088090000}"/>
    <cellStyle name="20% - Accent4 12 4 2" xfId="2442" xr:uid="{00000000-0005-0000-0000-000089090000}"/>
    <cellStyle name="20% - Accent4 12 5" xfId="2443" xr:uid="{00000000-0005-0000-0000-00008A090000}"/>
    <cellStyle name="20% - Accent4 12 6" xfId="2444" xr:uid="{00000000-0005-0000-0000-00008B090000}"/>
    <cellStyle name="20% - Accent4 13" xfId="2445" xr:uid="{00000000-0005-0000-0000-00008C090000}"/>
    <cellStyle name="20% - Accent4 13 2" xfId="2446" xr:uid="{00000000-0005-0000-0000-00008D090000}"/>
    <cellStyle name="20% - Accent4 13 2 2" xfId="2447" xr:uid="{00000000-0005-0000-0000-00008E090000}"/>
    <cellStyle name="20% - Accent4 13 2 2 2" xfId="2448" xr:uid="{00000000-0005-0000-0000-00008F090000}"/>
    <cellStyle name="20% - Accent4 13 2 3" xfId="2449" xr:uid="{00000000-0005-0000-0000-000090090000}"/>
    <cellStyle name="20% - Accent4 13 2 3 2" xfId="2450" xr:uid="{00000000-0005-0000-0000-000091090000}"/>
    <cellStyle name="20% - Accent4 13 2 4" xfId="2451" xr:uid="{00000000-0005-0000-0000-000092090000}"/>
    <cellStyle name="20% - Accent4 13 2 5" xfId="2452" xr:uid="{00000000-0005-0000-0000-000093090000}"/>
    <cellStyle name="20% - Accent4 13 3" xfId="2453" xr:uid="{00000000-0005-0000-0000-000094090000}"/>
    <cellStyle name="20% - Accent4 13 3 2" xfId="2454" xr:uid="{00000000-0005-0000-0000-000095090000}"/>
    <cellStyle name="20% - Accent4 13 4" xfId="2455" xr:uid="{00000000-0005-0000-0000-000096090000}"/>
    <cellStyle name="20% - Accent4 13 4 2" xfId="2456" xr:uid="{00000000-0005-0000-0000-000097090000}"/>
    <cellStyle name="20% - Accent4 13 5" xfId="2457" xr:uid="{00000000-0005-0000-0000-000098090000}"/>
    <cellStyle name="20% - Accent4 13 6" xfId="2458" xr:uid="{00000000-0005-0000-0000-000099090000}"/>
    <cellStyle name="20% - Accent4 14" xfId="2459" xr:uid="{00000000-0005-0000-0000-00009A090000}"/>
    <cellStyle name="20% - Accent4 14 2" xfId="2460" xr:uid="{00000000-0005-0000-0000-00009B090000}"/>
    <cellStyle name="20% - Accent4 14 2 2" xfId="2461" xr:uid="{00000000-0005-0000-0000-00009C090000}"/>
    <cellStyle name="20% - Accent4 14 2 2 2" xfId="2462" xr:uid="{00000000-0005-0000-0000-00009D090000}"/>
    <cellStyle name="20% - Accent4 14 2 3" xfId="2463" xr:uid="{00000000-0005-0000-0000-00009E090000}"/>
    <cellStyle name="20% - Accent4 14 2 3 2" xfId="2464" xr:uid="{00000000-0005-0000-0000-00009F090000}"/>
    <cellStyle name="20% - Accent4 14 2 4" xfId="2465" xr:uid="{00000000-0005-0000-0000-0000A0090000}"/>
    <cellStyle name="20% - Accent4 14 2 5" xfId="2466" xr:uid="{00000000-0005-0000-0000-0000A1090000}"/>
    <cellStyle name="20% - Accent4 14 3" xfId="2467" xr:uid="{00000000-0005-0000-0000-0000A2090000}"/>
    <cellStyle name="20% - Accent4 14 3 2" xfId="2468" xr:uid="{00000000-0005-0000-0000-0000A3090000}"/>
    <cellStyle name="20% - Accent4 14 4" xfId="2469" xr:uid="{00000000-0005-0000-0000-0000A4090000}"/>
    <cellStyle name="20% - Accent4 14 4 2" xfId="2470" xr:uid="{00000000-0005-0000-0000-0000A5090000}"/>
    <cellStyle name="20% - Accent4 14 5" xfId="2471" xr:uid="{00000000-0005-0000-0000-0000A6090000}"/>
    <cellStyle name="20% - Accent4 14 6" xfId="2472" xr:uid="{00000000-0005-0000-0000-0000A7090000}"/>
    <cellStyle name="20% - Accent4 15" xfId="2473" xr:uid="{00000000-0005-0000-0000-0000A8090000}"/>
    <cellStyle name="20% - Accent4 15 2" xfId="2474" xr:uid="{00000000-0005-0000-0000-0000A9090000}"/>
    <cellStyle name="20% - Accent4 15 2 2" xfId="2475" xr:uid="{00000000-0005-0000-0000-0000AA090000}"/>
    <cellStyle name="20% - Accent4 15 2 2 2" xfId="2476" xr:uid="{00000000-0005-0000-0000-0000AB090000}"/>
    <cellStyle name="20% - Accent4 15 2 3" xfId="2477" xr:uid="{00000000-0005-0000-0000-0000AC090000}"/>
    <cellStyle name="20% - Accent4 15 2 3 2" xfId="2478" xr:uid="{00000000-0005-0000-0000-0000AD090000}"/>
    <cellStyle name="20% - Accent4 15 2 4" xfId="2479" xr:uid="{00000000-0005-0000-0000-0000AE090000}"/>
    <cellStyle name="20% - Accent4 15 2 5" xfId="2480" xr:uid="{00000000-0005-0000-0000-0000AF090000}"/>
    <cellStyle name="20% - Accent4 15 3" xfId="2481" xr:uid="{00000000-0005-0000-0000-0000B0090000}"/>
    <cellStyle name="20% - Accent4 15 3 2" xfId="2482" xr:uid="{00000000-0005-0000-0000-0000B1090000}"/>
    <cellStyle name="20% - Accent4 15 4" xfId="2483" xr:uid="{00000000-0005-0000-0000-0000B2090000}"/>
    <cellStyle name="20% - Accent4 15 4 2" xfId="2484" xr:uid="{00000000-0005-0000-0000-0000B3090000}"/>
    <cellStyle name="20% - Accent4 15 5" xfId="2485" xr:uid="{00000000-0005-0000-0000-0000B4090000}"/>
    <cellStyle name="20% - Accent4 15 6" xfId="2486" xr:uid="{00000000-0005-0000-0000-0000B5090000}"/>
    <cellStyle name="20% - Accent4 16" xfId="2487" xr:uid="{00000000-0005-0000-0000-0000B6090000}"/>
    <cellStyle name="20% - Accent4 16 2" xfId="2488" xr:uid="{00000000-0005-0000-0000-0000B7090000}"/>
    <cellStyle name="20% - Accent4 16 2 2" xfId="2489" xr:uid="{00000000-0005-0000-0000-0000B8090000}"/>
    <cellStyle name="20% - Accent4 16 2 3" xfId="2490" xr:uid="{00000000-0005-0000-0000-0000B9090000}"/>
    <cellStyle name="20% - Accent4 16 3" xfId="2491" xr:uid="{00000000-0005-0000-0000-0000BA090000}"/>
    <cellStyle name="20% - Accent4 16 4" xfId="2492" xr:uid="{00000000-0005-0000-0000-0000BB090000}"/>
    <cellStyle name="20% - Accent4 17" xfId="2493" xr:uid="{00000000-0005-0000-0000-0000BC090000}"/>
    <cellStyle name="20% - Accent4 17 2" xfId="2494" xr:uid="{00000000-0005-0000-0000-0000BD090000}"/>
    <cellStyle name="20% - Accent4 17 2 2" xfId="2495" xr:uid="{00000000-0005-0000-0000-0000BE090000}"/>
    <cellStyle name="20% - Accent4 17 2 3" xfId="2496" xr:uid="{00000000-0005-0000-0000-0000BF090000}"/>
    <cellStyle name="20% - Accent4 17 3" xfId="2497" xr:uid="{00000000-0005-0000-0000-0000C0090000}"/>
    <cellStyle name="20% - Accent4 17 4" xfId="2498" xr:uid="{00000000-0005-0000-0000-0000C1090000}"/>
    <cellStyle name="20% - Accent4 18" xfId="2499" xr:uid="{00000000-0005-0000-0000-0000C2090000}"/>
    <cellStyle name="20% - Accent4 18 2" xfId="2500" xr:uid="{00000000-0005-0000-0000-0000C3090000}"/>
    <cellStyle name="20% - Accent4 18 2 2" xfId="2501" xr:uid="{00000000-0005-0000-0000-0000C4090000}"/>
    <cellStyle name="20% - Accent4 18 2 3" xfId="2502" xr:uid="{00000000-0005-0000-0000-0000C5090000}"/>
    <cellStyle name="20% - Accent4 18 3" xfId="2503" xr:uid="{00000000-0005-0000-0000-0000C6090000}"/>
    <cellStyle name="20% - Accent4 18 4" xfId="2504" xr:uid="{00000000-0005-0000-0000-0000C7090000}"/>
    <cellStyle name="20% - Accent4 19" xfId="2505" xr:uid="{00000000-0005-0000-0000-0000C8090000}"/>
    <cellStyle name="20% - Accent4 19 2" xfId="2506" xr:uid="{00000000-0005-0000-0000-0000C9090000}"/>
    <cellStyle name="20% - Accent4 19 2 2" xfId="2507" xr:uid="{00000000-0005-0000-0000-0000CA090000}"/>
    <cellStyle name="20% - Accent4 19 2 3" xfId="2508" xr:uid="{00000000-0005-0000-0000-0000CB090000}"/>
    <cellStyle name="20% - Accent4 19 3" xfId="2509" xr:uid="{00000000-0005-0000-0000-0000CC090000}"/>
    <cellStyle name="20% - Accent4 19 4" xfId="2510" xr:uid="{00000000-0005-0000-0000-0000CD090000}"/>
    <cellStyle name="20% - Accent4 2" xfId="2511" xr:uid="{00000000-0005-0000-0000-0000CE090000}"/>
    <cellStyle name="20% - Accent4 2 2" xfId="2512" xr:uid="{00000000-0005-0000-0000-0000CF090000}"/>
    <cellStyle name="20% - Accent4 2 2 2" xfId="2513" xr:uid="{00000000-0005-0000-0000-0000D0090000}"/>
    <cellStyle name="20% - Accent4 2 2 3" xfId="2514" xr:uid="{00000000-0005-0000-0000-0000D1090000}"/>
    <cellStyle name="20% - Accent4 2 2 4" xfId="2515" xr:uid="{00000000-0005-0000-0000-0000D2090000}"/>
    <cellStyle name="20% - Accent4 2 2 5" xfId="2516" xr:uid="{00000000-0005-0000-0000-0000D3090000}"/>
    <cellStyle name="20% - Accent4 2 3" xfId="2517" xr:uid="{00000000-0005-0000-0000-0000D4090000}"/>
    <cellStyle name="20% - Accent4 2 3 2" xfId="2518" xr:uid="{00000000-0005-0000-0000-0000D5090000}"/>
    <cellStyle name="20% - Accent4 2 4" xfId="2519" xr:uid="{00000000-0005-0000-0000-0000D6090000}"/>
    <cellStyle name="20% - Accent4 2 4 2" xfId="2520" xr:uid="{00000000-0005-0000-0000-0000D7090000}"/>
    <cellStyle name="20% - Accent4 2 4 2 2" xfId="2521" xr:uid="{00000000-0005-0000-0000-0000D8090000}"/>
    <cellStyle name="20% - Accent4 2 4 3" xfId="2522" xr:uid="{00000000-0005-0000-0000-0000D9090000}"/>
    <cellStyle name="20% - Accent4 2 4 4" xfId="2523" xr:uid="{00000000-0005-0000-0000-0000DA090000}"/>
    <cellStyle name="20% - Accent4 2 5" xfId="2524" xr:uid="{00000000-0005-0000-0000-0000DB090000}"/>
    <cellStyle name="20% - Accent4 2 5 2" xfId="2525" xr:uid="{00000000-0005-0000-0000-0000DC090000}"/>
    <cellStyle name="20% - Accent4 2 5 3" xfId="2526" xr:uid="{00000000-0005-0000-0000-0000DD090000}"/>
    <cellStyle name="20% - Accent4 2 6" xfId="2527" xr:uid="{00000000-0005-0000-0000-0000DE090000}"/>
    <cellStyle name="20% - Accent4 2 7" xfId="2528" xr:uid="{00000000-0005-0000-0000-0000DF090000}"/>
    <cellStyle name="20% - Accent4 20" xfId="2529" xr:uid="{00000000-0005-0000-0000-0000E0090000}"/>
    <cellStyle name="20% - Accent4 20 2" xfId="2530" xr:uid="{00000000-0005-0000-0000-0000E1090000}"/>
    <cellStyle name="20% - Accent4 20 3" xfId="2531" xr:uid="{00000000-0005-0000-0000-0000E2090000}"/>
    <cellStyle name="20% - Accent4 21" xfId="2532" xr:uid="{00000000-0005-0000-0000-0000E3090000}"/>
    <cellStyle name="20% - Accent4 21 2" xfId="2533" xr:uid="{00000000-0005-0000-0000-0000E4090000}"/>
    <cellStyle name="20% - Accent4 22" xfId="2534" xr:uid="{00000000-0005-0000-0000-0000E5090000}"/>
    <cellStyle name="20% - Accent4 23" xfId="2535" xr:uid="{00000000-0005-0000-0000-0000E6090000}"/>
    <cellStyle name="20% - Accent4 24" xfId="2536" xr:uid="{00000000-0005-0000-0000-0000E7090000}"/>
    <cellStyle name="20% - Accent4 3" xfId="2537" xr:uid="{00000000-0005-0000-0000-0000E8090000}"/>
    <cellStyle name="20% - Accent4 3 10" xfId="2538" xr:uid="{00000000-0005-0000-0000-0000E9090000}"/>
    <cellStyle name="20% - Accent4 3 11" xfId="2539" xr:uid="{00000000-0005-0000-0000-0000EA090000}"/>
    <cellStyle name="20% - Accent4 3 2" xfId="2540" xr:uid="{00000000-0005-0000-0000-0000EB090000}"/>
    <cellStyle name="20% - Accent4 3 2 2" xfId="2541" xr:uid="{00000000-0005-0000-0000-0000EC090000}"/>
    <cellStyle name="20% - Accent4 3 2 2 2" xfId="2542" xr:uid="{00000000-0005-0000-0000-0000ED090000}"/>
    <cellStyle name="20% - Accent4 3 2 2 2 2" xfId="2543" xr:uid="{00000000-0005-0000-0000-0000EE090000}"/>
    <cellStyle name="20% - Accent4 3 2 2 2 2 2" xfId="2544" xr:uid="{00000000-0005-0000-0000-0000EF090000}"/>
    <cellStyle name="20% - Accent4 3 2 2 2 2 2 2" xfId="2545" xr:uid="{00000000-0005-0000-0000-0000F0090000}"/>
    <cellStyle name="20% - Accent4 3 2 2 2 2 3" xfId="2546" xr:uid="{00000000-0005-0000-0000-0000F1090000}"/>
    <cellStyle name="20% - Accent4 3 2 2 2 2 3 2" xfId="2547" xr:uid="{00000000-0005-0000-0000-0000F2090000}"/>
    <cellStyle name="20% - Accent4 3 2 2 2 2 4" xfId="2548" xr:uid="{00000000-0005-0000-0000-0000F3090000}"/>
    <cellStyle name="20% - Accent4 3 2 2 2 2 5" xfId="2549" xr:uid="{00000000-0005-0000-0000-0000F4090000}"/>
    <cellStyle name="20% - Accent4 3 2 2 2 3" xfId="2550" xr:uid="{00000000-0005-0000-0000-0000F5090000}"/>
    <cellStyle name="20% - Accent4 3 2 2 2 3 2" xfId="2551" xr:uid="{00000000-0005-0000-0000-0000F6090000}"/>
    <cellStyle name="20% - Accent4 3 2 2 2 4" xfId="2552" xr:uid="{00000000-0005-0000-0000-0000F7090000}"/>
    <cellStyle name="20% - Accent4 3 2 2 2 4 2" xfId="2553" xr:uid="{00000000-0005-0000-0000-0000F8090000}"/>
    <cellStyle name="20% - Accent4 3 2 2 2 5" xfId="2554" xr:uid="{00000000-0005-0000-0000-0000F9090000}"/>
    <cellStyle name="20% - Accent4 3 2 2 2 6" xfId="2555" xr:uid="{00000000-0005-0000-0000-0000FA090000}"/>
    <cellStyle name="20% - Accent4 3 2 2 3" xfId="2556" xr:uid="{00000000-0005-0000-0000-0000FB090000}"/>
    <cellStyle name="20% - Accent4 3 2 2 3 2" xfId="2557" xr:uid="{00000000-0005-0000-0000-0000FC090000}"/>
    <cellStyle name="20% - Accent4 3 2 2 3 2 2" xfId="2558" xr:uid="{00000000-0005-0000-0000-0000FD090000}"/>
    <cellStyle name="20% - Accent4 3 2 2 3 3" xfId="2559" xr:uid="{00000000-0005-0000-0000-0000FE090000}"/>
    <cellStyle name="20% - Accent4 3 2 2 3 3 2" xfId="2560" xr:uid="{00000000-0005-0000-0000-0000FF090000}"/>
    <cellStyle name="20% - Accent4 3 2 2 3 4" xfId="2561" xr:uid="{00000000-0005-0000-0000-0000000A0000}"/>
    <cellStyle name="20% - Accent4 3 2 2 3 5" xfId="2562" xr:uid="{00000000-0005-0000-0000-0000010A0000}"/>
    <cellStyle name="20% - Accent4 3 2 2 4" xfId="2563" xr:uid="{00000000-0005-0000-0000-0000020A0000}"/>
    <cellStyle name="20% - Accent4 3 2 2 4 2" xfId="2564" xr:uid="{00000000-0005-0000-0000-0000030A0000}"/>
    <cellStyle name="20% - Accent4 3 2 2 5" xfId="2565" xr:uid="{00000000-0005-0000-0000-0000040A0000}"/>
    <cellStyle name="20% - Accent4 3 2 2 5 2" xfId="2566" xr:uid="{00000000-0005-0000-0000-0000050A0000}"/>
    <cellStyle name="20% - Accent4 3 2 2 6" xfId="2567" xr:uid="{00000000-0005-0000-0000-0000060A0000}"/>
    <cellStyle name="20% - Accent4 3 2 2 7" xfId="2568" xr:uid="{00000000-0005-0000-0000-0000070A0000}"/>
    <cellStyle name="20% - Accent4 3 2 2 8" xfId="2569" xr:uid="{00000000-0005-0000-0000-0000080A0000}"/>
    <cellStyle name="20% - Accent4 3 2 3" xfId="2570" xr:uid="{00000000-0005-0000-0000-0000090A0000}"/>
    <cellStyle name="20% - Accent4 3 2 3 2" xfId="2571" xr:uid="{00000000-0005-0000-0000-00000A0A0000}"/>
    <cellStyle name="20% - Accent4 3 2 3 2 2" xfId="2572" xr:uid="{00000000-0005-0000-0000-00000B0A0000}"/>
    <cellStyle name="20% - Accent4 3 2 3 2 2 2" xfId="2573" xr:uid="{00000000-0005-0000-0000-00000C0A0000}"/>
    <cellStyle name="20% - Accent4 3 2 3 2 3" xfId="2574" xr:uid="{00000000-0005-0000-0000-00000D0A0000}"/>
    <cellStyle name="20% - Accent4 3 2 3 2 3 2" xfId="2575" xr:uid="{00000000-0005-0000-0000-00000E0A0000}"/>
    <cellStyle name="20% - Accent4 3 2 3 2 4" xfId="2576" xr:uid="{00000000-0005-0000-0000-00000F0A0000}"/>
    <cellStyle name="20% - Accent4 3 2 3 2 5" xfId="2577" xr:uid="{00000000-0005-0000-0000-0000100A0000}"/>
    <cellStyle name="20% - Accent4 3 2 3 3" xfId="2578" xr:uid="{00000000-0005-0000-0000-0000110A0000}"/>
    <cellStyle name="20% - Accent4 3 2 3 3 2" xfId="2579" xr:uid="{00000000-0005-0000-0000-0000120A0000}"/>
    <cellStyle name="20% - Accent4 3 2 3 4" xfId="2580" xr:uid="{00000000-0005-0000-0000-0000130A0000}"/>
    <cellStyle name="20% - Accent4 3 2 3 4 2" xfId="2581" xr:uid="{00000000-0005-0000-0000-0000140A0000}"/>
    <cellStyle name="20% - Accent4 3 2 3 5" xfId="2582" xr:uid="{00000000-0005-0000-0000-0000150A0000}"/>
    <cellStyle name="20% - Accent4 3 2 3 6" xfId="2583" xr:uid="{00000000-0005-0000-0000-0000160A0000}"/>
    <cellStyle name="20% - Accent4 3 2 3 7" xfId="2584" xr:uid="{00000000-0005-0000-0000-0000170A0000}"/>
    <cellStyle name="20% - Accent4 3 2 4" xfId="2585" xr:uid="{00000000-0005-0000-0000-0000180A0000}"/>
    <cellStyle name="20% - Accent4 3 2 4 2" xfId="2586" xr:uid="{00000000-0005-0000-0000-0000190A0000}"/>
    <cellStyle name="20% - Accent4 3 2 4 2 2" xfId="2587" xr:uid="{00000000-0005-0000-0000-00001A0A0000}"/>
    <cellStyle name="20% - Accent4 3 2 4 3" xfId="2588" xr:uid="{00000000-0005-0000-0000-00001B0A0000}"/>
    <cellStyle name="20% - Accent4 3 2 4 3 2" xfId="2589" xr:uid="{00000000-0005-0000-0000-00001C0A0000}"/>
    <cellStyle name="20% - Accent4 3 2 4 4" xfId="2590" xr:uid="{00000000-0005-0000-0000-00001D0A0000}"/>
    <cellStyle name="20% - Accent4 3 2 4 5" xfId="2591" xr:uid="{00000000-0005-0000-0000-00001E0A0000}"/>
    <cellStyle name="20% - Accent4 3 2 4 6" xfId="2592" xr:uid="{00000000-0005-0000-0000-00001F0A0000}"/>
    <cellStyle name="20% - Accent4 3 2 5" xfId="2593" xr:uid="{00000000-0005-0000-0000-0000200A0000}"/>
    <cellStyle name="20% - Accent4 3 2 5 2" xfId="2594" xr:uid="{00000000-0005-0000-0000-0000210A0000}"/>
    <cellStyle name="20% - Accent4 3 2 6" xfId="2595" xr:uid="{00000000-0005-0000-0000-0000220A0000}"/>
    <cellStyle name="20% - Accent4 3 2 6 2" xfId="2596" xr:uid="{00000000-0005-0000-0000-0000230A0000}"/>
    <cellStyle name="20% - Accent4 3 2 7" xfId="2597" xr:uid="{00000000-0005-0000-0000-0000240A0000}"/>
    <cellStyle name="20% - Accent4 3 2 8" xfId="2598" xr:uid="{00000000-0005-0000-0000-0000250A0000}"/>
    <cellStyle name="20% - Accent4 3 2 9" xfId="2599" xr:uid="{00000000-0005-0000-0000-0000260A0000}"/>
    <cellStyle name="20% - Accent4 3 3" xfId="2600" xr:uid="{00000000-0005-0000-0000-0000270A0000}"/>
    <cellStyle name="20% - Accent4 3 3 2" xfId="2601" xr:uid="{00000000-0005-0000-0000-0000280A0000}"/>
    <cellStyle name="20% - Accent4 3 3 2 2" xfId="2602" xr:uid="{00000000-0005-0000-0000-0000290A0000}"/>
    <cellStyle name="20% - Accent4 3 3 2 2 2" xfId="2603" xr:uid="{00000000-0005-0000-0000-00002A0A0000}"/>
    <cellStyle name="20% - Accent4 3 3 2 2 2 2" xfId="2604" xr:uid="{00000000-0005-0000-0000-00002B0A0000}"/>
    <cellStyle name="20% - Accent4 3 3 2 2 3" xfId="2605" xr:uid="{00000000-0005-0000-0000-00002C0A0000}"/>
    <cellStyle name="20% - Accent4 3 3 2 2 3 2" xfId="2606" xr:uid="{00000000-0005-0000-0000-00002D0A0000}"/>
    <cellStyle name="20% - Accent4 3 3 2 2 4" xfId="2607" xr:uid="{00000000-0005-0000-0000-00002E0A0000}"/>
    <cellStyle name="20% - Accent4 3 3 2 2 5" xfId="2608" xr:uid="{00000000-0005-0000-0000-00002F0A0000}"/>
    <cellStyle name="20% - Accent4 3 3 2 3" xfId="2609" xr:uid="{00000000-0005-0000-0000-0000300A0000}"/>
    <cellStyle name="20% - Accent4 3 3 2 3 2" xfId="2610" xr:uid="{00000000-0005-0000-0000-0000310A0000}"/>
    <cellStyle name="20% - Accent4 3 3 2 4" xfId="2611" xr:uid="{00000000-0005-0000-0000-0000320A0000}"/>
    <cellStyle name="20% - Accent4 3 3 2 4 2" xfId="2612" xr:uid="{00000000-0005-0000-0000-0000330A0000}"/>
    <cellStyle name="20% - Accent4 3 3 2 5" xfId="2613" xr:uid="{00000000-0005-0000-0000-0000340A0000}"/>
    <cellStyle name="20% - Accent4 3 3 2 6" xfId="2614" xr:uid="{00000000-0005-0000-0000-0000350A0000}"/>
    <cellStyle name="20% - Accent4 3 3 3" xfId="2615" xr:uid="{00000000-0005-0000-0000-0000360A0000}"/>
    <cellStyle name="20% - Accent4 3 3 3 2" xfId="2616" xr:uid="{00000000-0005-0000-0000-0000370A0000}"/>
    <cellStyle name="20% - Accent4 3 3 3 2 2" xfId="2617" xr:uid="{00000000-0005-0000-0000-0000380A0000}"/>
    <cellStyle name="20% - Accent4 3 3 3 3" xfId="2618" xr:uid="{00000000-0005-0000-0000-0000390A0000}"/>
    <cellStyle name="20% - Accent4 3 3 3 3 2" xfId="2619" xr:uid="{00000000-0005-0000-0000-00003A0A0000}"/>
    <cellStyle name="20% - Accent4 3 3 3 4" xfId="2620" xr:uid="{00000000-0005-0000-0000-00003B0A0000}"/>
    <cellStyle name="20% - Accent4 3 3 3 5" xfId="2621" xr:uid="{00000000-0005-0000-0000-00003C0A0000}"/>
    <cellStyle name="20% - Accent4 3 3 4" xfId="2622" xr:uid="{00000000-0005-0000-0000-00003D0A0000}"/>
    <cellStyle name="20% - Accent4 3 3 4 2" xfId="2623" xr:uid="{00000000-0005-0000-0000-00003E0A0000}"/>
    <cellStyle name="20% - Accent4 3 3 5" xfId="2624" xr:uid="{00000000-0005-0000-0000-00003F0A0000}"/>
    <cellStyle name="20% - Accent4 3 3 5 2" xfId="2625" xr:uid="{00000000-0005-0000-0000-0000400A0000}"/>
    <cellStyle name="20% - Accent4 3 3 6" xfId="2626" xr:uid="{00000000-0005-0000-0000-0000410A0000}"/>
    <cellStyle name="20% - Accent4 3 3 7" xfId="2627" xr:uid="{00000000-0005-0000-0000-0000420A0000}"/>
    <cellStyle name="20% - Accent4 3 3 8" xfId="2628" xr:uid="{00000000-0005-0000-0000-0000430A0000}"/>
    <cellStyle name="20% - Accent4 3 4" xfId="2629" xr:uid="{00000000-0005-0000-0000-0000440A0000}"/>
    <cellStyle name="20% - Accent4 3 4 2" xfId="2630" xr:uid="{00000000-0005-0000-0000-0000450A0000}"/>
    <cellStyle name="20% - Accent4 3 4 2 2" xfId="2631" xr:uid="{00000000-0005-0000-0000-0000460A0000}"/>
    <cellStyle name="20% - Accent4 3 4 2 2 2" xfId="2632" xr:uid="{00000000-0005-0000-0000-0000470A0000}"/>
    <cellStyle name="20% - Accent4 3 4 2 3" xfId="2633" xr:uid="{00000000-0005-0000-0000-0000480A0000}"/>
    <cellStyle name="20% - Accent4 3 4 2 3 2" xfId="2634" xr:uid="{00000000-0005-0000-0000-0000490A0000}"/>
    <cellStyle name="20% - Accent4 3 4 2 4" xfId="2635" xr:uid="{00000000-0005-0000-0000-00004A0A0000}"/>
    <cellStyle name="20% - Accent4 3 4 2 5" xfId="2636" xr:uid="{00000000-0005-0000-0000-00004B0A0000}"/>
    <cellStyle name="20% - Accent4 3 4 3" xfId="2637" xr:uid="{00000000-0005-0000-0000-00004C0A0000}"/>
    <cellStyle name="20% - Accent4 3 4 3 2" xfId="2638" xr:uid="{00000000-0005-0000-0000-00004D0A0000}"/>
    <cellStyle name="20% - Accent4 3 4 4" xfId="2639" xr:uid="{00000000-0005-0000-0000-00004E0A0000}"/>
    <cellStyle name="20% - Accent4 3 4 4 2" xfId="2640" xr:uid="{00000000-0005-0000-0000-00004F0A0000}"/>
    <cellStyle name="20% - Accent4 3 4 5" xfId="2641" xr:uid="{00000000-0005-0000-0000-0000500A0000}"/>
    <cellStyle name="20% - Accent4 3 4 6" xfId="2642" xr:uid="{00000000-0005-0000-0000-0000510A0000}"/>
    <cellStyle name="20% - Accent4 3 4 7" xfId="2643" xr:uid="{00000000-0005-0000-0000-0000520A0000}"/>
    <cellStyle name="20% - Accent4 3 5" xfId="2644" xr:uid="{00000000-0005-0000-0000-0000530A0000}"/>
    <cellStyle name="20% - Accent4 3 5 2" xfId="2645" xr:uid="{00000000-0005-0000-0000-0000540A0000}"/>
    <cellStyle name="20% - Accent4 3 5 2 2" xfId="2646" xr:uid="{00000000-0005-0000-0000-0000550A0000}"/>
    <cellStyle name="20% - Accent4 3 5 2 2 2" xfId="2647" xr:uid="{00000000-0005-0000-0000-0000560A0000}"/>
    <cellStyle name="20% - Accent4 3 5 2 3" xfId="2648" xr:uid="{00000000-0005-0000-0000-0000570A0000}"/>
    <cellStyle name="20% - Accent4 3 5 3" xfId="2649" xr:uid="{00000000-0005-0000-0000-0000580A0000}"/>
    <cellStyle name="20% - Accent4 3 5 3 2" xfId="2650" xr:uid="{00000000-0005-0000-0000-0000590A0000}"/>
    <cellStyle name="20% - Accent4 3 5 4" xfId="2651" xr:uid="{00000000-0005-0000-0000-00005A0A0000}"/>
    <cellStyle name="20% - Accent4 3 5 4 2" xfId="2652" xr:uid="{00000000-0005-0000-0000-00005B0A0000}"/>
    <cellStyle name="20% - Accent4 3 5 5" xfId="2653" xr:uid="{00000000-0005-0000-0000-00005C0A0000}"/>
    <cellStyle name="20% - Accent4 3 5 6" xfId="2654" xr:uid="{00000000-0005-0000-0000-00005D0A0000}"/>
    <cellStyle name="20% - Accent4 3 5 7" xfId="2655" xr:uid="{00000000-0005-0000-0000-00005E0A0000}"/>
    <cellStyle name="20% - Accent4 3 6" xfId="2656" xr:uid="{00000000-0005-0000-0000-00005F0A0000}"/>
    <cellStyle name="20% - Accent4 3 6 2" xfId="2657" xr:uid="{00000000-0005-0000-0000-0000600A0000}"/>
    <cellStyle name="20% - Accent4 3 6 2 2" xfId="2658" xr:uid="{00000000-0005-0000-0000-0000610A0000}"/>
    <cellStyle name="20% - Accent4 3 6 3" xfId="2659" xr:uid="{00000000-0005-0000-0000-0000620A0000}"/>
    <cellStyle name="20% - Accent4 3 7" xfId="2660" xr:uid="{00000000-0005-0000-0000-0000630A0000}"/>
    <cellStyle name="20% - Accent4 3 7 2" xfId="2661" xr:uid="{00000000-0005-0000-0000-0000640A0000}"/>
    <cellStyle name="20% - Accent4 3 8" xfId="2662" xr:uid="{00000000-0005-0000-0000-0000650A0000}"/>
    <cellStyle name="20% - Accent4 3 8 2" xfId="2663" xr:uid="{00000000-0005-0000-0000-0000660A0000}"/>
    <cellStyle name="20% - Accent4 3 9" xfId="2664" xr:uid="{00000000-0005-0000-0000-0000670A0000}"/>
    <cellStyle name="20% - Accent4 4" xfId="2665" xr:uid="{00000000-0005-0000-0000-0000680A0000}"/>
    <cellStyle name="20% - Accent4 4 10" xfId="2666" xr:uid="{00000000-0005-0000-0000-0000690A0000}"/>
    <cellStyle name="20% - Accent4 4 11" xfId="2667" xr:uid="{00000000-0005-0000-0000-00006A0A0000}"/>
    <cellStyle name="20% - Accent4 4 2" xfId="2668" xr:uid="{00000000-0005-0000-0000-00006B0A0000}"/>
    <cellStyle name="20% - Accent4 4 2 2" xfId="2669" xr:uid="{00000000-0005-0000-0000-00006C0A0000}"/>
    <cellStyle name="20% - Accent4 4 2 2 2" xfId="2670" xr:uid="{00000000-0005-0000-0000-00006D0A0000}"/>
    <cellStyle name="20% - Accent4 4 2 2 2 2" xfId="2671" xr:uid="{00000000-0005-0000-0000-00006E0A0000}"/>
    <cellStyle name="20% - Accent4 4 2 2 2 2 2" xfId="2672" xr:uid="{00000000-0005-0000-0000-00006F0A0000}"/>
    <cellStyle name="20% - Accent4 4 2 2 2 2 2 2" xfId="2673" xr:uid="{00000000-0005-0000-0000-0000700A0000}"/>
    <cellStyle name="20% - Accent4 4 2 2 2 2 3" xfId="2674" xr:uid="{00000000-0005-0000-0000-0000710A0000}"/>
    <cellStyle name="20% - Accent4 4 2 2 2 2 3 2" xfId="2675" xr:uid="{00000000-0005-0000-0000-0000720A0000}"/>
    <cellStyle name="20% - Accent4 4 2 2 2 2 4" xfId="2676" xr:uid="{00000000-0005-0000-0000-0000730A0000}"/>
    <cellStyle name="20% - Accent4 4 2 2 2 2 5" xfId="2677" xr:uid="{00000000-0005-0000-0000-0000740A0000}"/>
    <cellStyle name="20% - Accent4 4 2 2 2 3" xfId="2678" xr:uid="{00000000-0005-0000-0000-0000750A0000}"/>
    <cellStyle name="20% - Accent4 4 2 2 2 3 2" xfId="2679" xr:uid="{00000000-0005-0000-0000-0000760A0000}"/>
    <cellStyle name="20% - Accent4 4 2 2 2 4" xfId="2680" xr:uid="{00000000-0005-0000-0000-0000770A0000}"/>
    <cellStyle name="20% - Accent4 4 2 2 2 4 2" xfId="2681" xr:uid="{00000000-0005-0000-0000-0000780A0000}"/>
    <cellStyle name="20% - Accent4 4 2 2 2 5" xfId="2682" xr:uid="{00000000-0005-0000-0000-0000790A0000}"/>
    <cellStyle name="20% - Accent4 4 2 2 2 6" xfId="2683" xr:uid="{00000000-0005-0000-0000-00007A0A0000}"/>
    <cellStyle name="20% - Accent4 4 2 2 3" xfId="2684" xr:uid="{00000000-0005-0000-0000-00007B0A0000}"/>
    <cellStyle name="20% - Accent4 4 2 2 3 2" xfId="2685" xr:uid="{00000000-0005-0000-0000-00007C0A0000}"/>
    <cellStyle name="20% - Accent4 4 2 2 3 2 2" xfId="2686" xr:uid="{00000000-0005-0000-0000-00007D0A0000}"/>
    <cellStyle name="20% - Accent4 4 2 2 3 3" xfId="2687" xr:uid="{00000000-0005-0000-0000-00007E0A0000}"/>
    <cellStyle name="20% - Accent4 4 2 2 3 3 2" xfId="2688" xr:uid="{00000000-0005-0000-0000-00007F0A0000}"/>
    <cellStyle name="20% - Accent4 4 2 2 3 4" xfId="2689" xr:uid="{00000000-0005-0000-0000-0000800A0000}"/>
    <cellStyle name="20% - Accent4 4 2 2 3 5" xfId="2690" xr:uid="{00000000-0005-0000-0000-0000810A0000}"/>
    <cellStyle name="20% - Accent4 4 2 2 4" xfId="2691" xr:uid="{00000000-0005-0000-0000-0000820A0000}"/>
    <cellStyle name="20% - Accent4 4 2 2 4 2" xfId="2692" xr:uid="{00000000-0005-0000-0000-0000830A0000}"/>
    <cellStyle name="20% - Accent4 4 2 2 5" xfId="2693" xr:uid="{00000000-0005-0000-0000-0000840A0000}"/>
    <cellStyle name="20% - Accent4 4 2 2 5 2" xfId="2694" xr:uid="{00000000-0005-0000-0000-0000850A0000}"/>
    <cellStyle name="20% - Accent4 4 2 2 6" xfId="2695" xr:uid="{00000000-0005-0000-0000-0000860A0000}"/>
    <cellStyle name="20% - Accent4 4 2 2 7" xfId="2696" xr:uid="{00000000-0005-0000-0000-0000870A0000}"/>
    <cellStyle name="20% - Accent4 4 2 3" xfId="2697" xr:uid="{00000000-0005-0000-0000-0000880A0000}"/>
    <cellStyle name="20% - Accent4 4 2 3 2" xfId="2698" xr:uid="{00000000-0005-0000-0000-0000890A0000}"/>
    <cellStyle name="20% - Accent4 4 2 3 2 2" xfId="2699" xr:uid="{00000000-0005-0000-0000-00008A0A0000}"/>
    <cellStyle name="20% - Accent4 4 2 3 2 2 2" xfId="2700" xr:uid="{00000000-0005-0000-0000-00008B0A0000}"/>
    <cellStyle name="20% - Accent4 4 2 3 2 3" xfId="2701" xr:uid="{00000000-0005-0000-0000-00008C0A0000}"/>
    <cellStyle name="20% - Accent4 4 2 3 2 3 2" xfId="2702" xr:uid="{00000000-0005-0000-0000-00008D0A0000}"/>
    <cellStyle name="20% - Accent4 4 2 3 2 4" xfId="2703" xr:uid="{00000000-0005-0000-0000-00008E0A0000}"/>
    <cellStyle name="20% - Accent4 4 2 3 2 5" xfId="2704" xr:uid="{00000000-0005-0000-0000-00008F0A0000}"/>
    <cellStyle name="20% - Accent4 4 2 3 3" xfId="2705" xr:uid="{00000000-0005-0000-0000-0000900A0000}"/>
    <cellStyle name="20% - Accent4 4 2 3 3 2" xfId="2706" xr:uid="{00000000-0005-0000-0000-0000910A0000}"/>
    <cellStyle name="20% - Accent4 4 2 3 4" xfId="2707" xr:uid="{00000000-0005-0000-0000-0000920A0000}"/>
    <cellStyle name="20% - Accent4 4 2 3 4 2" xfId="2708" xr:uid="{00000000-0005-0000-0000-0000930A0000}"/>
    <cellStyle name="20% - Accent4 4 2 3 5" xfId="2709" xr:uid="{00000000-0005-0000-0000-0000940A0000}"/>
    <cellStyle name="20% - Accent4 4 2 3 6" xfId="2710" xr:uid="{00000000-0005-0000-0000-0000950A0000}"/>
    <cellStyle name="20% - Accent4 4 2 4" xfId="2711" xr:uid="{00000000-0005-0000-0000-0000960A0000}"/>
    <cellStyle name="20% - Accent4 4 2 4 2" xfId="2712" xr:uid="{00000000-0005-0000-0000-0000970A0000}"/>
    <cellStyle name="20% - Accent4 4 2 4 2 2" xfId="2713" xr:uid="{00000000-0005-0000-0000-0000980A0000}"/>
    <cellStyle name="20% - Accent4 4 2 4 3" xfId="2714" xr:uid="{00000000-0005-0000-0000-0000990A0000}"/>
    <cellStyle name="20% - Accent4 4 2 4 3 2" xfId="2715" xr:uid="{00000000-0005-0000-0000-00009A0A0000}"/>
    <cellStyle name="20% - Accent4 4 2 4 4" xfId="2716" xr:uid="{00000000-0005-0000-0000-00009B0A0000}"/>
    <cellStyle name="20% - Accent4 4 2 4 5" xfId="2717" xr:uid="{00000000-0005-0000-0000-00009C0A0000}"/>
    <cellStyle name="20% - Accent4 4 2 5" xfId="2718" xr:uid="{00000000-0005-0000-0000-00009D0A0000}"/>
    <cellStyle name="20% - Accent4 4 2 5 2" xfId="2719" xr:uid="{00000000-0005-0000-0000-00009E0A0000}"/>
    <cellStyle name="20% - Accent4 4 2 6" xfId="2720" xr:uid="{00000000-0005-0000-0000-00009F0A0000}"/>
    <cellStyle name="20% - Accent4 4 2 6 2" xfId="2721" xr:uid="{00000000-0005-0000-0000-0000A00A0000}"/>
    <cellStyle name="20% - Accent4 4 2 7" xfId="2722" xr:uid="{00000000-0005-0000-0000-0000A10A0000}"/>
    <cellStyle name="20% - Accent4 4 2 8" xfId="2723" xr:uid="{00000000-0005-0000-0000-0000A20A0000}"/>
    <cellStyle name="20% - Accent4 4 2 9" xfId="2724" xr:uid="{00000000-0005-0000-0000-0000A30A0000}"/>
    <cellStyle name="20% - Accent4 4 3" xfId="2725" xr:uid="{00000000-0005-0000-0000-0000A40A0000}"/>
    <cellStyle name="20% - Accent4 4 3 2" xfId="2726" xr:uid="{00000000-0005-0000-0000-0000A50A0000}"/>
    <cellStyle name="20% - Accent4 4 3 2 2" xfId="2727" xr:uid="{00000000-0005-0000-0000-0000A60A0000}"/>
    <cellStyle name="20% - Accent4 4 3 2 2 2" xfId="2728" xr:uid="{00000000-0005-0000-0000-0000A70A0000}"/>
    <cellStyle name="20% - Accent4 4 3 2 2 2 2" xfId="2729" xr:uid="{00000000-0005-0000-0000-0000A80A0000}"/>
    <cellStyle name="20% - Accent4 4 3 2 2 3" xfId="2730" xr:uid="{00000000-0005-0000-0000-0000A90A0000}"/>
    <cellStyle name="20% - Accent4 4 3 2 2 3 2" xfId="2731" xr:uid="{00000000-0005-0000-0000-0000AA0A0000}"/>
    <cellStyle name="20% - Accent4 4 3 2 2 4" xfId="2732" xr:uid="{00000000-0005-0000-0000-0000AB0A0000}"/>
    <cellStyle name="20% - Accent4 4 3 2 2 5" xfId="2733" xr:uid="{00000000-0005-0000-0000-0000AC0A0000}"/>
    <cellStyle name="20% - Accent4 4 3 2 3" xfId="2734" xr:uid="{00000000-0005-0000-0000-0000AD0A0000}"/>
    <cellStyle name="20% - Accent4 4 3 2 3 2" xfId="2735" xr:uid="{00000000-0005-0000-0000-0000AE0A0000}"/>
    <cellStyle name="20% - Accent4 4 3 2 4" xfId="2736" xr:uid="{00000000-0005-0000-0000-0000AF0A0000}"/>
    <cellStyle name="20% - Accent4 4 3 2 4 2" xfId="2737" xr:uid="{00000000-0005-0000-0000-0000B00A0000}"/>
    <cellStyle name="20% - Accent4 4 3 2 5" xfId="2738" xr:uid="{00000000-0005-0000-0000-0000B10A0000}"/>
    <cellStyle name="20% - Accent4 4 3 2 6" xfId="2739" xr:uid="{00000000-0005-0000-0000-0000B20A0000}"/>
    <cellStyle name="20% - Accent4 4 3 3" xfId="2740" xr:uid="{00000000-0005-0000-0000-0000B30A0000}"/>
    <cellStyle name="20% - Accent4 4 3 3 2" xfId="2741" xr:uid="{00000000-0005-0000-0000-0000B40A0000}"/>
    <cellStyle name="20% - Accent4 4 3 3 2 2" xfId="2742" xr:uid="{00000000-0005-0000-0000-0000B50A0000}"/>
    <cellStyle name="20% - Accent4 4 3 3 3" xfId="2743" xr:uid="{00000000-0005-0000-0000-0000B60A0000}"/>
    <cellStyle name="20% - Accent4 4 3 3 3 2" xfId="2744" xr:uid="{00000000-0005-0000-0000-0000B70A0000}"/>
    <cellStyle name="20% - Accent4 4 3 3 4" xfId="2745" xr:uid="{00000000-0005-0000-0000-0000B80A0000}"/>
    <cellStyle name="20% - Accent4 4 3 3 5" xfId="2746" xr:uid="{00000000-0005-0000-0000-0000B90A0000}"/>
    <cellStyle name="20% - Accent4 4 3 4" xfId="2747" xr:uid="{00000000-0005-0000-0000-0000BA0A0000}"/>
    <cellStyle name="20% - Accent4 4 3 4 2" xfId="2748" xr:uid="{00000000-0005-0000-0000-0000BB0A0000}"/>
    <cellStyle name="20% - Accent4 4 3 5" xfId="2749" xr:uid="{00000000-0005-0000-0000-0000BC0A0000}"/>
    <cellStyle name="20% - Accent4 4 3 5 2" xfId="2750" xr:uid="{00000000-0005-0000-0000-0000BD0A0000}"/>
    <cellStyle name="20% - Accent4 4 3 6" xfId="2751" xr:uid="{00000000-0005-0000-0000-0000BE0A0000}"/>
    <cellStyle name="20% - Accent4 4 3 7" xfId="2752" xr:uid="{00000000-0005-0000-0000-0000BF0A0000}"/>
    <cellStyle name="20% - Accent4 4 3 8" xfId="2753" xr:uid="{00000000-0005-0000-0000-0000C00A0000}"/>
    <cellStyle name="20% - Accent4 4 4" xfId="2754" xr:uid="{00000000-0005-0000-0000-0000C10A0000}"/>
    <cellStyle name="20% - Accent4 4 4 2" xfId="2755" xr:uid="{00000000-0005-0000-0000-0000C20A0000}"/>
    <cellStyle name="20% - Accent4 4 4 2 2" xfId="2756" xr:uid="{00000000-0005-0000-0000-0000C30A0000}"/>
    <cellStyle name="20% - Accent4 4 4 2 2 2" xfId="2757" xr:uid="{00000000-0005-0000-0000-0000C40A0000}"/>
    <cellStyle name="20% - Accent4 4 4 2 3" xfId="2758" xr:uid="{00000000-0005-0000-0000-0000C50A0000}"/>
    <cellStyle name="20% - Accent4 4 4 2 3 2" xfId="2759" xr:uid="{00000000-0005-0000-0000-0000C60A0000}"/>
    <cellStyle name="20% - Accent4 4 4 2 4" xfId="2760" xr:uid="{00000000-0005-0000-0000-0000C70A0000}"/>
    <cellStyle name="20% - Accent4 4 4 2 5" xfId="2761" xr:uid="{00000000-0005-0000-0000-0000C80A0000}"/>
    <cellStyle name="20% - Accent4 4 4 3" xfId="2762" xr:uid="{00000000-0005-0000-0000-0000C90A0000}"/>
    <cellStyle name="20% - Accent4 4 4 3 2" xfId="2763" xr:uid="{00000000-0005-0000-0000-0000CA0A0000}"/>
    <cellStyle name="20% - Accent4 4 4 4" xfId="2764" xr:uid="{00000000-0005-0000-0000-0000CB0A0000}"/>
    <cellStyle name="20% - Accent4 4 4 4 2" xfId="2765" xr:uid="{00000000-0005-0000-0000-0000CC0A0000}"/>
    <cellStyle name="20% - Accent4 4 4 5" xfId="2766" xr:uid="{00000000-0005-0000-0000-0000CD0A0000}"/>
    <cellStyle name="20% - Accent4 4 4 6" xfId="2767" xr:uid="{00000000-0005-0000-0000-0000CE0A0000}"/>
    <cellStyle name="20% - Accent4 4 4 7" xfId="2768" xr:uid="{00000000-0005-0000-0000-0000CF0A0000}"/>
    <cellStyle name="20% - Accent4 4 5" xfId="2769" xr:uid="{00000000-0005-0000-0000-0000D00A0000}"/>
    <cellStyle name="20% - Accent4 4 5 2" xfId="2770" xr:uid="{00000000-0005-0000-0000-0000D10A0000}"/>
    <cellStyle name="20% - Accent4 4 5 2 2" xfId="2771" xr:uid="{00000000-0005-0000-0000-0000D20A0000}"/>
    <cellStyle name="20% - Accent4 4 5 2 2 2" xfId="2772" xr:uid="{00000000-0005-0000-0000-0000D30A0000}"/>
    <cellStyle name="20% - Accent4 4 5 2 3" xfId="2773" xr:uid="{00000000-0005-0000-0000-0000D40A0000}"/>
    <cellStyle name="20% - Accent4 4 5 3" xfId="2774" xr:uid="{00000000-0005-0000-0000-0000D50A0000}"/>
    <cellStyle name="20% - Accent4 4 5 3 2" xfId="2775" xr:uid="{00000000-0005-0000-0000-0000D60A0000}"/>
    <cellStyle name="20% - Accent4 4 5 4" xfId="2776" xr:uid="{00000000-0005-0000-0000-0000D70A0000}"/>
    <cellStyle name="20% - Accent4 4 5 4 2" xfId="2777" xr:uid="{00000000-0005-0000-0000-0000D80A0000}"/>
    <cellStyle name="20% - Accent4 4 5 5" xfId="2778" xr:uid="{00000000-0005-0000-0000-0000D90A0000}"/>
    <cellStyle name="20% - Accent4 4 5 6" xfId="2779" xr:uid="{00000000-0005-0000-0000-0000DA0A0000}"/>
    <cellStyle name="20% - Accent4 4 6" xfId="2780" xr:uid="{00000000-0005-0000-0000-0000DB0A0000}"/>
    <cellStyle name="20% - Accent4 4 6 2" xfId="2781" xr:uid="{00000000-0005-0000-0000-0000DC0A0000}"/>
    <cellStyle name="20% - Accent4 4 6 2 2" xfId="2782" xr:uid="{00000000-0005-0000-0000-0000DD0A0000}"/>
    <cellStyle name="20% - Accent4 4 6 3" xfId="2783" xr:uid="{00000000-0005-0000-0000-0000DE0A0000}"/>
    <cellStyle name="20% - Accent4 4 7" xfId="2784" xr:uid="{00000000-0005-0000-0000-0000DF0A0000}"/>
    <cellStyle name="20% - Accent4 4 7 2" xfId="2785" xr:uid="{00000000-0005-0000-0000-0000E00A0000}"/>
    <cellStyle name="20% - Accent4 4 8" xfId="2786" xr:uid="{00000000-0005-0000-0000-0000E10A0000}"/>
    <cellStyle name="20% - Accent4 4 8 2" xfId="2787" xr:uid="{00000000-0005-0000-0000-0000E20A0000}"/>
    <cellStyle name="20% - Accent4 4 9" xfId="2788" xr:uid="{00000000-0005-0000-0000-0000E30A0000}"/>
    <cellStyle name="20% - Accent4 5" xfId="2789" xr:uid="{00000000-0005-0000-0000-0000E40A0000}"/>
    <cellStyle name="20% - Accent4 5 2" xfId="2790" xr:uid="{00000000-0005-0000-0000-0000E50A0000}"/>
    <cellStyle name="20% - Accent4 5 2 2" xfId="2791" xr:uid="{00000000-0005-0000-0000-0000E60A0000}"/>
    <cellStyle name="20% - Accent4 5 2 2 2" xfId="2792" xr:uid="{00000000-0005-0000-0000-0000E70A0000}"/>
    <cellStyle name="20% - Accent4 5 2 2 2 2" xfId="2793" xr:uid="{00000000-0005-0000-0000-0000E80A0000}"/>
    <cellStyle name="20% - Accent4 5 2 2 2 2 2" xfId="2794" xr:uid="{00000000-0005-0000-0000-0000E90A0000}"/>
    <cellStyle name="20% - Accent4 5 2 2 2 2 2 2" xfId="2795" xr:uid="{00000000-0005-0000-0000-0000EA0A0000}"/>
    <cellStyle name="20% - Accent4 5 2 2 2 2 3" xfId="2796" xr:uid="{00000000-0005-0000-0000-0000EB0A0000}"/>
    <cellStyle name="20% - Accent4 5 2 2 2 2 3 2" xfId="2797" xr:uid="{00000000-0005-0000-0000-0000EC0A0000}"/>
    <cellStyle name="20% - Accent4 5 2 2 2 2 4" xfId="2798" xr:uid="{00000000-0005-0000-0000-0000ED0A0000}"/>
    <cellStyle name="20% - Accent4 5 2 2 2 2 5" xfId="2799" xr:uid="{00000000-0005-0000-0000-0000EE0A0000}"/>
    <cellStyle name="20% - Accent4 5 2 2 2 3" xfId="2800" xr:uid="{00000000-0005-0000-0000-0000EF0A0000}"/>
    <cellStyle name="20% - Accent4 5 2 2 2 3 2" xfId="2801" xr:uid="{00000000-0005-0000-0000-0000F00A0000}"/>
    <cellStyle name="20% - Accent4 5 2 2 2 4" xfId="2802" xr:uid="{00000000-0005-0000-0000-0000F10A0000}"/>
    <cellStyle name="20% - Accent4 5 2 2 2 4 2" xfId="2803" xr:uid="{00000000-0005-0000-0000-0000F20A0000}"/>
    <cellStyle name="20% - Accent4 5 2 2 2 5" xfId="2804" xr:uid="{00000000-0005-0000-0000-0000F30A0000}"/>
    <cellStyle name="20% - Accent4 5 2 2 2 6" xfId="2805" xr:uid="{00000000-0005-0000-0000-0000F40A0000}"/>
    <cellStyle name="20% - Accent4 5 2 2 3" xfId="2806" xr:uid="{00000000-0005-0000-0000-0000F50A0000}"/>
    <cellStyle name="20% - Accent4 5 2 2 3 2" xfId="2807" xr:uid="{00000000-0005-0000-0000-0000F60A0000}"/>
    <cellStyle name="20% - Accent4 5 2 2 3 2 2" xfId="2808" xr:uid="{00000000-0005-0000-0000-0000F70A0000}"/>
    <cellStyle name="20% - Accent4 5 2 2 3 3" xfId="2809" xr:uid="{00000000-0005-0000-0000-0000F80A0000}"/>
    <cellStyle name="20% - Accent4 5 2 2 3 3 2" xfId="2810" xr:uid="{00000000-0005-0000-0000-0000F90A0000}"/>
    <cellStyle name="20% - Accent4 5 2 2 3 4" xfId="2811" xr:uid="{00000000-0005-0000-0000-0000FA0A0000}"/>
    <cellStyle name="20% - Accent4 5 2 2 3 5" xfId="2812" xr:uid="{00000000-0005-0000-0000-0000FB0A0000}"/>
    <cellStyle name="20% - Accent4 5 2 2 4" xfId="2813" xr:uid="{00000000-0005-0000-0000-0000FC0A0000}"/>
    <cellStyle name="20% - Accent4 5 2 2 4 2" xfId="2814" xr:uid="{00000000-0005-0000-0000-0000FD0A0000}"/>
    <cellStyle name="20% - Accent4 5 2 2 5" xfId="2815" xr:uid="{00000000-0005-0000-0000-0000FE0A0000}"/>
    <cellStyle name="20% - Accent4 5 2 2 5 2" xfId="2816" xr:uid="{00000000-0005-0000-0000-0000FF0A0000}"/>
    <cellStyle name="20% - Accent4 5 2 2 6" xfId="2817" xr:uid="{00000000-0005-0000-0000-0000000B0000}"/>
    <cellStyle name="20% - Accent4 5 2 2 7" xfId="2818" xr:uid="{00000000-0005-0000-0000-0000010B0000}"/>
    <cellStyle name="20% - Accent4 5 2 3" xfId="2819" xr:uid="{00000000-0005-0000-0000-0000020B0000}"/>
    <cellStyle name="20% - Accent4 5 2 3 2" xfId="2820" xr:uid="{00000000-0005-0000-0000-0000030B0000}"/>
    <cellStyle name="20% - Accent4 5 2 3 2 2" xfId="2821" xr:uid="{00000000-0005-0000-0000-0000040B0000}"/>
    <cellStyle name="20% - Accent4 5 2 3 2 2 2" xfId="2822" xr:uid="{00000000-0005-0000-0000-0000050B0000}"/>
    <cellStyle name="20% - Accent4 5 2 3 2 3" xfId="2823" xr:uid="{00000000-0005-0000-0000-0000060B0000}"/>
    <cellStyle name="20% - Accent4 5 2 3 2 3 2" xfId="2824" xr:uid="{00000000-0005-0000-0000-0000070B0000}"/>
    <cellStyle name="20% - Accent4 5 2 3 2 4" xfId="2825" xr:uid="{00000000-0005-0000-0000-0000080B0000}"/>
    <cellStyle name="20% - Accent4 5 2 3 2 5" xfId="2826" xr:uid="{00000000-0005-0000-0000-0000090B0000}"/>
    <cellStyle name="20% - Accent4 5 2 3 3" xfId="2827" xr:uid="{00000000-0005-0000-0000-00000A0B0000}"/>
    <cellStyle name="20% - Accent4 5 2 3 3 2" xfId="2828" xr:uid="{00000000-0005-0000-0000-00000B0B0000}"/>
    <cellStyle name="20% - Accent4 5 2 3 4" xfId="2829" xr:uid="{00000000-0005-0000-0000-00000C0B0000}"/>
    <cellStyle name="20% - Accent4 5 2 3 4 2" xfId="2830" xr:uid="{00000000-0005-0000-0000-00000D0B0000}"/>
    <cellStyle name="20% - Accent4 5 2 3 5" xfId="2831" xr:uid="{00000000-0005-0000-0000-00000E0B0000}"/>
    <cellStyle name="20% - Accent4 5 2 3 6" xfId="2832" xr:uid="{00000000-0005-0000-0000-00000F0B0000}"/>
    <cellStyle name="20% - Accent4 5 2 4" xfId="2833" xr:uid="{00000000-0005-0000-0000-0000100B0000}"/>
    <cellStyle name="20% - Accent4 5 2 4 2" xfId="2834" xr:uid="{00000000-0005-0000-0000-0000110B0000}"/>
    <cellStyle name="20% - Accent4 5 2 4 2 2" xfId="2835" xr:uid="{00000000-0005-0000-0000-0000120B0000}"/>
    <cellStyle name="20% - Accent4 5 2 4 3" xfId="2836" xr:uid="{00000000-0005-0000-0000-0000130B0000}"/>
    <cellStyle name="20% - Accent4 5 2 4 3 2" xfId="2837" xr:uid="{00000000-0005-0000-0000-0000140B0000}"/>
    <cellStyle name="20% - Accent4 5 2 4 4" xfId="2838" xr:uid="{00000000-0005-0000-0000-0000150B0000}"/>
    <cellStyle name="20% - Accent4 5 2 4 5" xfId="2839" xr:uid="{00000000-0005-0000-0000-0000160B0000}"/>
    <cellStyle name="20% - Accent4 5 2 5" xfId="2840" xr:uid="{00000000-0005-0000-0000-0000170B0000}"/>
    <cellStyle name="20% - Accent4 5 2 5 2" xfId="2841" xr:uid="{00000000-0005-0000-0000-0000180B0000}"/>
    <cellStyle name="20% - Accent4 5 2 6" xfId="2842" xr:uid="{00000000-0005-0000-0000-0000190B0000}"/>
    <cellStyle name="20% - Accent4 5 2 6 2" xfId="2843" xr:uid="{00000000-0005-0000-0000-00001A0B0000}"/>
    <cellStyle name="20% - Accent4 5 2 7" xfId="2844" xr:uid="{00000000-0005-0000-0000-00001B0B0000}"/>
    <cellStyle name="20% - Accent4 5 2 8" xfId="2845" xr:uid="{00000000-0005-0000-0000-00001C0B0000}"/>
    <cellStyle name="20% - Accent4 5 3" xfId="2846" xr:uid="{00000000-0005-0000-0000-00001D0B0000}"/>
    <cellStyle name="20% - Accent4 5 3 2" xfId="2847" xr:uid="{00000000-0005-0000-0000-00001E0B0000}"/>
    <cellStyle name="20% - Accent4 5 3 2 2" xfId="2848" xr:uid="{00000000-0005-0000-0000-00001F0B0000}"/>
    <cellStyle name="20% - Accent4 5 3 2 2 2" xfId="2849" xr:uid="{00000000-0005-0000-0000-0000200B0000}"/>
    <cellStyle name="20% - Accent4 5 3 2 2 2 2" xfId="2850" xr:uid="{00000000-0005-0000-0000-0000210B0000}"/>
    <cellStyle name="20% - Accent4 5 3 2 2 3" xfId="2851" xr:uid="{00000000-0005-0000-0000-0000220B0000}"/>
    <cellStyle name="20% - Accent4 5 3 2 2 3 2" xfId="2852" xr:uid="{00000000-0005-0000-0000-0000230B0000}"/>
    <cellStyle name="20% - Accent4 5 3 2 2 4" xfId="2853" xr:uid="{00000000-0005-0000-0000-0000240B0000}"/>
    <cellStyle name="20% - Accent4 5 3 2 2 5" xfId="2854" xr:uid="{00000000-0005-0000-0000-0000250B0000}"/>
    <cellStyle name="20% - Accent4 5 3 2 3" xfId="2855" xr:uid="{00000000-0005-0000-0000-0000260B0000}"/>
    <cellStyle name="20% - Accent4 5 3 2 3 2" xfId="2856" xr:uid="{00000000-0005-0000-0000-0000270B0000}"/>
    <cellStyle name="20% - Accent4 5 3 2 4" xfId="2857" xr:uid="{00000000-0005-0000-0000-0000280B0000}"/>
    <cellStyle name="20% - Accent4 5 3 2 4 2" xfId="2858" xr:uid="{00000000-0005-0000-0000-0000290B0000}"/>
    <cellStyle name="20% - Accent4 5 3 2 5" xfId="2859" xr:uid="{00000000-0005-0000-0000-00002A0B0000}"/>
    <cellStyle name="20% - Accent4 5 3 2 6" xfId="2860" xr:uid="{00000000-0005-0000-0000-00002B0B0000}"/>
    <cellStyle name="20% - Accent4 5 3 3" xfId="2861" xr:uid="{00000000-0005-0000-0000-00002C0B0000}"/>
    <cellStyle name="20% - Accent4 5 3 3 2" xfId="2862" xr:uid="{00000000-0005-0000-0000-00002D0B0000}"/>
    <cellStyle name="20% - Accent4 5 3 3 2 2" xfId="2863" xr:uid="{00000000-0005-0000-0000-00002E0B0000}"/>
    <cellStyle name="20% - Accent4 5 3 3 3" xfId="2864" xr:uid="{00000000-0005-0000-0000-00002F0B0000}"/>
    <cellStyle name="20% - Accent4 5 3 3 3 2" xfId="2865" xr:uid="{00000000-0005-0000-0000-0000300B0000}"/>
    <cellStyle name="20% - Accent4 5 3 3 4" xfId="2866" xr:uid="{00000000-0005-0000-0000-0000310B0000}"/>
    <cellStyle name="20% - Accent4 5 3 3 5" xfId="2867" xr:uid="{00000000-0005-0000-0000-0000320B0000}"/>
    <cellStyle name="20% - Accent4 5 3 4" xfId="2868" xr:uid="{00000000-0005-0000-0000-0000330B0000}"/>
    <cellStyle name="20% - Accent4 5 3 4 2" xfId="2869" xr:uid="{00000000-0005-0000-0000-0000340B0000}"/>
    <cellStyle name="20% - Accent4 5 3 5" xfId="2870" xr:uid="{00000000-0005-0000-0000-0000350B0000}"/>
    <cellStyle name="20% - Accent4 5 3 5 2" xfId="2871" xr:uid="{00000000-0005-0000-0000-0000360B0000}"/>
    <cellStyle name="20% - Accent4 5 3 6" xfId="2872" xr:uid="{00000000-0005-0000-0000-0000370B0000}"/>
    <cellStyle name="20% - Accent4 5 3 7" xfId="2873" xr:uid="{00000000-0005-0000-0000-0000380B0000}"/>
    <cellStyle name="20% - Accent4 5 4" xfId="2874" xr:uid="{00000000-0005-0000-0000-0000390B0000}"/>
    <cellStyle name="20% - Accent4 5 4 2" xfId="2875" xr:uid="{00000000-0005-0000-0000-00003A0B0000}"/>
    <cellStyle name="20% - Accent4 5 4 2 2" xfId="2876" xr:uid="{00000000-0005-0000-0000-00003B0B0000}"/>
    <cellStyle name="20% - Accent4 5 4 2 2 2" xfId="2877" xr:uid="{00000000-0005-0000-0000-00003C0B0000}"/>
    <cellStyle name="20% - Accent4 5 4 2 3" xfId="2878" xr:uid="{00000000-0005-0000-0000-00003D0B0000}"/>
    <cellStyle name="20% - Accent4 5 4 2 3 2" xfId="2879" xr:uid="{00000000-0005-0000-0000-00003E0B0000}"/>
    <cellStyle name="20% - Accent4 5 4 2 4" xfId="2880" xr:uid="{00000000-0005-0000-0000-00003F0B0000}"/>
    <cellStyle name="20% - Accent4 5 4 2 5" xfId="2881" xr:uid="{00000000-0005-0000-0000-0000400B0000}"/>
    <cellStyle name="20% - Accent4 5 4 3" xfId="2882" xr:uid="{00000000-0005-0000-0000-0000410B0000}"/>
    <cellStyle name="20% - Accent4 5 4 3 2" xfId="2883" xr:uid="{00000000-0005-0000-0000-0000420B0000}"/>
    <cellStyle name="20% - Accent4 5 4 4" xfId="2884" xr:uid="{00000000-0005-0000-0000-0000430B0000}"/>
    <cellStyle name="20% - Accent4 5 4 4 2" xfId="2885" xr:uid="{00000000-0005-0000-0000-0000440B0000}"/>
    <cellStyle name="20% - Accent4 5 4 5" xfId="2886" xr:uid="{00000000-0005-0000-0000-0000450B0000}"/>
    <cellStyle name="20% - Accent4 5 4 6" xfId="2887" xr:uid="{00000000-0005-0000-0000-0000460B0000}"/>
    <cellStyle name="20% - Accent4 5 5" xfId="2888" xr:uid="{00000000-0005-0000-0000-0000470B0000}"/>
    <cellStyle name="20% - Accent4 5 5 2" xfId="2889" xr:uid="{00000000-0005-0000-0000-0000480B0000}"/>
    <cellStyle name="20% - Accent4 5 5 2 2" xfId="2890" xr:uid="{00000000-0005-0000-0000-0000490B0000}"/>
    <cellStyle name="20% - Accent4 5 5 2 2 2" xfId="2891" xr:uid="{00000000-0005-0000-0000-00004A0B0000}"/>
    <cellStyle name="20% - Accent4 5 5 2 3" xfId="2892" xr:uid="{00000000-0005-0000-0000-00004B0B0000}"/>
    <cellStyle name="20% - Accent4 5 5 3" xfId="2893" xr:uid="{00000000-0005-0000-0000-00004C0B0000}"/>
    <cellStyle name="20% - Accent4 5 5 3 2" xfId="2894" xr:uid="{00000000-0005-0000-0000-00004D0B0000}"/>
    <cellStyle name="20% - Accent4 5 5 4" xfId="2895" xr:uid="{00000000-0005-0000-0000-00004E0B0000}"/>
    <cellStyle name="20% - Accent4 5 5 4 2" xfId="2896" xr:uid="{00000000-0005-0000-0000-00004F0B0000}"/>
    <cellStyle name="20% - Accent4 5 5 5" xfId="2897" xr:uid="{00000000-0005-0000-0000-0000500B0000}"/>
    <cellStyle name="20% - Accent4 5 5 6" xfId="2898" xr:uid="{00000000-0005-0000-0000-0000510B0000}"/>
    <cellStyle name="20% - Accent4 5 6" xfId="2899" xr:uid="{00000000-0005-0000-0000-0000520B0000}"/>
    <cellStyle name="20% - Accent4 5 6 2" xfId="2900" xr:uid="{00000000-0005-0000-0000-0000530B0000}"/>
    <cellStyle name="20% - Accent4 5 7" xfId="2901" xr:uid="{00000000-0005-0000-0000-0000540B0000}"/>
    <cellStyle name="20% - Accent4 5 8" xfId="2902" xr:uid="{00000000-0005-0000-0000-0000550B0000}"/>
    <cellStyle name="20% - Accent4 6" xfId="2903" xr:uid="{00000000-0005-0000-0000-0000560B0000}"/>
    <cellStyle name="20% - Accent4 6 2" xfId="2904" xr:uid="{00000000-0005-0000-0000-0000570B0000}"/>
    <cellStyle name="20% - Accent4 6 2 2" xfId="2905" xr:uid="{00000000-0005-0000-0000-0000580B0000}"/>
    <cellStyle name="20% - Accent4 6 2 2 2" xfId="2906" xr:uid="{00000000-0005-0000-0000-0000590B0000}"/>
    <cellStyle name="20% - Accent4 6 2 2 2 2" xfId="2907" xr:uid="{00000000-0005-0000-0000-00005A0B0000}"/>
    <cellStyle name="20% - Accent4 6 2 2 2 2 2" xfId="2908" xr:uid="{00000000-0005-0000-0000-00005B0B0000}"/>
    <cellStyle name="20% - Accent4 6 2 2 2 3" xfId="2909" xr:uid="{00000000-0005-0000-0000-00005C0B0000}"/>
    <cellStyle name="20% - Accent4 6 2 2 2 3 2" xfId="2910" xr:uid="{00000000-0005-0000-0000-00005D0B0000}"/>
    <cellStyle name="20% - Accent4 6 2 2 2 4" xfId="2911" xr:uid="{00000000-0005-0000-0000-00005E0B0000}"/>
    <cellStyle name="20% - Accent4 6 2 2 2 5" xfId="2912" xr:uid="{00000000-0005-0000-0000-00005F0B0000}"/>
    <cellStyle name="20% - Accent4 6 2 2 3" xfId="2913" xr:uid="{00000000-0005-0000-0000-0000600B0000}"/>
    <cellStyle name="20% - Accent4 6 2 2 3 2" xfId="2914" xr:uid="{00000000-0005-0000-0000-0000610B0000}"/>
    <cellStyle name="20% - Accent4 6 2 2 4" xfId="2915" xr:uid="{00000000-0005-0000-0000-0000620B0000}"/>
    <cellStyle name="20% - Accent4 6 2 2 4 2" xfId="2916" xr:uid="{00000000-0005-0000-0000-0000630B0000}"/>
    <cellStyle name="20% - Accent4 6 2 2 5" xfId="2917" xr:uid="{00000000-0005-0000-0000-0000640B0000}"/>
    <cellStyle name="20% - Accent4 6 2 2 6" xfId="2918" xr:uid="{00000000-0005-0000-0000-0000650B0000}"/>
    <cellStyle name="20% - Accent4 6 2 3" xfId="2919" xr:uid="{00000000-0005-0000-0000-0000660B0000}"/>
    <cellStyle name="20% - Accent4 6 2 3 2" xfId="2920" xr:uid="{00000000-0005-0000-0000-0000670B0000}"/>
    <cellStyle name="20% - Accent4 6 2 3 2 2" xfId="2921" xr:uid="{00000000-0005-0000-0000-0000680B0000}"/>
    <cellStyle name="20% - Accent4 6 2 3 3" xfId="2922" xr:uid="{00000000-0005-0000-0000-0000690B0000}"/>
    <cellStyle name="20% - Accent4 6 2 3 3 2" xfId="2923" xr:uid="{00000000-0005-0000-0000-00006A0B0000}"/>
    <cellStyle name="20% - Accent4 6 2 3 4" xfId="2924" xr:uid="{00000000-0005-0000-0000-00006B0B0000}"/>
    <cellStyle name="20% - Accent4 6 2 3 5" xfId="2925" xr:uid="{00000000-0005-0000-0000-00006C0B0000}"/>
    <cellStyle name="20% - Accent4 6 2 4" xfId="2926" xr:uid="{00000000-0005-0000-0000-00006D0B0000}"/>
    <cellStyle name="20% - Accent4 6 2 4 2" xfId="2927" xr:uid="{00000000-0005-0000-0000-00006E0B0000}"/>
    <cellStyle name="20% - Accent4 6 2 5" xfId="2928" xr:uid="{00000000-0005-0000-0000-00006F0B0000}"/>
    <cellStyle name="20% - Accent4 6 2 5 2" xfId="2929" xr:uid="{00000000-0005-0000-0000-0000700B0000}"/>
    <cellStyle name="20% - Accent4 6 2 6" xfId="2930" xr:uid="{00000000-0005-0000-0000-0000710B0000}"/>
    <cellStyle name="20% - Accent4 6 2 7" xfId="2931" xr:uid="{00000000-0005-0000-0000-0000720B0000}"/>
    <cellStyle name="20% - Accent4 6 3" xfId="2932" xr:uid="{00000000-0005-0000-0000-0000730B0000}"/>
    <cellStyle name="20% - Accent4 6 3 2" xfId="2933" xr:uid="{00000000-0005-0000-0000-0000740B0000}"/>
    <cellStyle name="20% - Accent4 6 3 2 2" xfId="2934" xr:uid="{00000000-0005-0000-0000-0000750B0000}"/>
    <cellStyle name="20% - Accent4 6 3 2 2 2" xfId="2935" xr:uid="{00000000-0005-0000-0000-0000760B0000}"/>
    <cellStyle name="20% - Accent4 6 3 2 3" xfId="2936" xr:uid="{00000000-0005-0000-0000-0000770B0000}"/>
    <cellStyle name="20% - Accent4 6 3 2 3 2" xfId="2937" xr:uid="{00000000-0005-0000-0000-0000780B0000}"/>
    <cellStyle name="20% - Accent4 6 3 2 4" xfId="2938" xr:uid="{00000000-0005-0000-0000-0000790B0000}"/>
    <cellStyle name="20% - Accent4 6 3 2 5" xfId="2939" xr:uid="{00000000-0005-0000-0000-00007A0B0000}"/>
    <cellStyle name="20% - Accent4 6 3 3" xfId="2940" xr:uid="{00000000-0005-0000-0000-00007B0B0000}"/>
    <cellStyle name="20% - Accent4 6 3 3 2" xfId="2941" xr:uid="{00000000-0005-0000-0000-00007C0B0000}"/>
    <cellStyle name="20% - Accent4 6 3 4" xfId="2942" xr:uid="{00000000-0005-0000-0000-00007D0B0000}"/>
    <cellStyle name="20% - Accent4 6 3 4 2" xfId="2943" xr:uid="{00000000-0005-0000-0000-00007E0B0000}"/>
    <cellStyle name="20% - Accent4 6 3 5" xfId="2944" xr:uid="{00000000-0005-0000-0000-00007F0B0000}"/>
    <cellStyle name="20% - Accent4 6 3 6" xfId="2945" xr:uid="{00000000-0005-0000-0000-0000800B0000}"/>
    <cellStyle name="20% - Accent4 6 4" xfId="2946" xr:uid="{00000000-0005-0000-0000-0000810B0000}"/>
    <cellStyle name="20% - Accent4 6 4 2" xfId="2947" xr:uid="{00000000-0005-0000-0000-0000820B0000}"/>
    <cellStyle name="20% - Accent4 6 4 2 2" xfId="2948" xr:uid="{00000000-0005-0000-0000-0000830B0000}"/>
    <cellStyle name="20% - Accent4 6 4 3" xfId="2949" xr:uid="{00000000-0005-0000-0000-0000840B0000}"/>
    <cellStyle name="20% - Accent4 6 4 3 2" xfId="2950" xr:uid="{00000000-0005-0000-0000-0000850B0000}"/>
    <cellStyle name="20% - Accent4 6 4 4" xfId="2951" xr:uid="{00000000-0005-0000-0000-0000860B0000}"/>
    <cellStyle name="20% - Accent4 6 4 5" xfId="2952" xr:uid="{00000000-0005-0000-0000-0000870B0000}"/>
    <cellStyle name="20% - Accent4 6 5" xfId="2953" xr:uid="{00000000-0005-0000-0000-0000880B0000}"/>
    <cellStyle name="20% - Accent4 6 5 2" xfId="2954" xr:uid="{00000000-0005-0000-0000-0000890B0000}"/>
    <cellStyle name="20% - Accent4 6 6" xfId="2955" xr:uid="{00000000-0005-0000-0000-00008A0B0000}"/>
    <cellStyle name="20% - Accent4 6 6 2" xfId="2956" xr:uid="{00000000-0005-0000-0000-00008B0B0000}"/>
    <cellStyle name="20% - Accent4 6 7" xfId="2957" xr:uid="{00000000-0005-0000-0000-00008C0B0000}"/>
    <cellStyle name="20% - Accent4 6 8" xfId="2958" xr:uid="{00000000-0005-0000-0000-00008D0B0000}"/>
    <cellStyle name="20% - Accent4 6 9" xfId="2959" xr:uid="{00000000-0005-0000-0000-00008E0B0000}"/>
    <cellStyle name="20% - Accent4 7" xfId="2960" xr:uid="{00000000-0005-0000-0000-00008F0B0000}"/>
    <cellStyle name="20% - Accent4 7 2" xfId="2961" xr:uid="{00000000-0005-0000-0000-0000900B0000}"/>
    <cellStyle name="20% - Accent4 7 2 2" xfId="2962" xr:uid="{00000000-0005-0000-0000-0000910B0000}"/>
    <cellStyle name="20% - Accent4 7 2 2 2" xfId="2963" xr:uid="{00000000-0005-0000-0000-0000920B0000}"/>
    <cellStyle name="20% - Accent4 7 2 2 2 2" xfId="2964" xr:uid="{00000000-0005-0000-0000-0000930B0000}"/>
    <cellStyle name="20% - Accent4 7 2 2 2 2 2" xfId="2965" xr:uid="{00000000-0005-0000-0000-0000940B0000}"/>
    <cellStyle name="20% - Accent4 7 2 2 2 3" xfId="2966" xr:uid="{00000000-0005-0000-0000-0000950B0000}"/>
    <cellStyle name="20% - Accent4 7 2 2 2 3 2" xfId="2967" xr:uid="{00000000-0005-0000-0000-0000960B0000}"/>
    <cellStyle name="20% - Accent4 7 2 2 2 4" xfId="2968" xr:uid="{00000000-0005-0000-0000-0000970B0000}"/>
    <cellStyle name="20% - Accent4 7 2 2 2 5" xfId="2969" xr:uid="{00000000-0005-0000-0000-0000980B0000}"/>
    <cellStyle name="20% - Accent4 7 2 2 3" xfId="2970" xr:uid="{00000000-0005-0000-0000-0000990B0000}"/>
    <cellStyle name="20% - Accent4 7 2 2 3 2" xfId="2971" xr:uid="{00000000-0005-0000-0000-00009A0B0000}"/>
    <cellStyle name="20% - Accent4 7 2 2 4" xfId="2972" xr:uid="{00000000-0005-0000-0000-00009B0B0000}"/>
    <cellStyle name="20% - Accent4 7 2 2 4 2" xfId="2973" xr:uid="{00000000-0005-0000-0000-00009C0B0000}"/>
    <cellStyle name="20% - Accent4 7 2 2 5" xfId="2974" xr:uid="{00000000-0005-0000-0000-00009D0B0000}"/>
    <cellStyle name="20% - Accent4 7 2 2 6" xfId="2975" xr:uid="{00000000-0005-0000-0000-00009E0B0000}"/>
    <cellStyle name="20% - Accent4 7 2 3" xfId="2976" xr:uid="{00000000-0005-0000-0000-00009F0B0000}"/>
    <cellStyle name="20% - Accent4 7 2 3 2" xfId="2977" xr:uid="{00000000-0005-0000-0000-0000A00B0000}"/>
    <cellStyle name="20% - Accent4 7 2 3 2 2" xfId="2978" xr:uid="{00000000-0005-0000-0000-0000A10B0000}"/>
    <cellStyle name="20% - Accent4 7 2 3 3" xfId="2979" xr:uid="{00000000-0005-0000-0000-0000A20B0000}"/>
    <cellStyle name="20% - Accent4 7 2 3 3 2" xfId="2980" xr:uid="{00000000-0005-0000-0000-0000A30B0000}"/>
    <cellStyle name="20% - Accent4 7 2 3 4" xfId="2981" xr:uid="{00000000-0005-0000-0000-0000A40B0000}"/>
    <cellStyle name="20% - Accent4 7 2 3 5" xfId="2982" xr:uid="{00000000-0005-0000-0000-0000A50B0000}"/>
    <cellStyle name="20% - Accent4 7 2 4" xfId="2983" xr:uid="{00000000-0005-0000-0000-0000A60B0000}"/>
    <cellStyle name="20% - Accent4 7 2 4 2" xfId="2984" xr:uid="{00000000-0005-0000-0000-0000A70B0000}"/>
    <cellStyle name="20% - Accent4 7 2 5" xfId="2985" xr:uid="{00000000-0005-0000-0000-0000A80B0000}"/>
    <cellStyle name="20% - Accent4 7 2 5 2" xfId="2986" xr:uid="{00000000-0005-0000-0000-0000A90B0000}"/>
    <cellStyle name="20% - Accent4 7 2 6" xfId="2987" xr:uid="{00000000-0005-0000-0000-0000AA0B0000}"/>
    <cellStyle name="20% - Accent4 7 2 7" xfId="2988" xr:uid="{00000000-0005-0000-0000-0000AB0B0000}"/>
    <cellStyle name="20% - Accent4 7 3" xfId="2989" xr:uid="{00000000-0005-0000-0000-0000AC0B0000}"/>
    <cellStyle name="20% - Accent4 7 3 2" xfId="2990" xr:uid="{00000000-0005-0000-0000-0000AD0B0000}"/>
    <cellStyle name="20% - Accent4 7 3 2 2" xfId="2991" xr:uid="{00000000-0005-0000-0000-0000AE0B0000}"/>
    <cellStyle name="20% - Accent4 7 3 2 2 2" xfId="2992" xr:uid="{00000000-0005-0000-0000-0000AF0B0000}"/>
    <cellStyle name="20% - Accent4 7 3 2 3" xfId="2993" xr:uid="{00000000-0005-0000-0000-0000B00B0000}"/>
    <cellStyle name="20% - Accent4 7 3 2 3 2" xfId="2994" xr:uid="{00000000-0005-0000-0000-0000B10B0000}"/>
    <cellStyle name="20% - Accent4 7 3 2 4" xfId="2995" xr:uid="{00000000-0005-0000-0000-0000B20B0000}"/>
    <cellStyle name="20% - Accent4 7 3 2 5" xfId="2996" xr:uid="{00000000-0005-0000-0000-0000B30B0000}"/>
    <cellStyle name="20% - Accent4 7 3 3" xfId="2997" xr:uid="{00000000-0005-0000-0000-0000B40B0000}"/>
    <cellStyle name="20% - Accent4 7 3 3 2" xfId="2998" xr:uid="{00000000-0005-0000-0000-0000B50B0000}"/>
    <cellStyle name="20% - Accent4 7 3 4" xfId="2999" xr:uid="{00000000-0005-0000-0000-0000B60B0000}"/>
    <cellStyle name="20% - Accent4 7 3 4 2" xfId="3000" xr:uid="{00000000-0005-0000-0000-0000B70B0000}"/>
    <cellStyle name="20% - Accent4 7 3 5" xfId="3001" xr:uid="{00000000-0005-0000-0000-0000B80B0000}"/>
    <cellStyle name="20% - Accent4 7 3 6" xfId="3002" xr:uid="{00000000-0005-0000-0000-0000B90B0000}"/>
    <cellStyle name="20% - Accent4 7 4" xfId="3003" xr:uid="{00000000-0005-0000-0000-0000BA0B0000}"/>
    <cellStyle name="20% - Accent4 7 4 2" xfId="3004" xr:uid="{00000000-0005-0000-0000-0000BB0B0000}"/>
    <cellStyle name="20% - Accent4 7 4 2 2" xfId="3005" xr:uid="{00000000-0005-0000-0000-0000BC0B0000}"/>
    <cellStyle name="20% - Accent4 7 4 3" xfId="3006" xr:uid="{00000000-0005-0000-0000-0000BD0B0000}"/>
    <cellStyle name="20% - Accent4 7 4 3 2" xfId="3007" xr:uid="{00000000-0005-0000-0000-0000BE0B0000}"/>
    <cellStyle name="20% - Accent4 7 4 4" xfId="3008" xr:uid="{00000000-0005-0000-0000-0000BF0B0000}"/>
    <cellStyle name="20% - Accent4 7 4 5" xfId="3009" xr:uid="{00000000-0005-0000-0000-0000C00B0000}"/>
    <cellStyle name="20% - Accent4 7 5" xfId="3010" xr:uid="{00000000-0005-0000-0000-0000C10B0000}"/>
    <cellStyle name="20% - Accent4 7 5 2" xfId="3011" xr:uid="{00000000-0005-0000-0000-0000C20B0000}"/>
    <cellStyle name="20% - Accent4 7 6" xfId="3012" xr:uid="{00000000-0005-0000-0000-0000C30B0000}"/>
    <cellStyle name="20% - Accent4 7 6 2" xfId="3013" xr:uid="{00000000-0005-0000-0000-0000C40B0000}"/>
    <cellStyle name="20% - Accent4 7 7" xfId="3014" xr:uid="{00000000-0005-0000-0000-0000C50B0000}"/>
    <cellStyle name="20% - Accent4 7 8" xfId="3015" xr:uid="{00000000-0005-0000-0000-0000C60B0000}"/>
    <cellStyle name="20% - Accent4 7 9" xfId="3016" xr:uid="{00000000-0005-0000-0000-0000C70B0000}"/>
    <cellStyle name="20% - Accent4 8" xfId="3017" xr:uid="{00000000-0005-0000-0000-0000C80B0000}"/>
    <cellStyle name="20% - Accent4 8 2" xfId="3018" xr:uid="{00000000-0005-0000-0000-0000C90B0000}"/>
    <cellStyle name="20% - Accent4 8 2 2" xfId="3019" xr:uid="{00000000-0005-0000-0000-0000CA0B0000}"/>
    <cellStyle name="20% - Accent4 8 2 2 2" xfId="3020" xr:uid="{00000000-0005-0000-0000-0000CB0B0000}"/>
    <cellStyle name="20% - Accent4 8 2 2 2 2" xfId="3021" xr:uid="{00000000-0005-0000-0000-0000CC0B0000}"/>
    <cellStyle name="20% - Accent4 8 2 2 2 2 2" xfId="3022" xr:uid="{00000000-0005-0000-0000-0000CD0B0000}"/>
    <cellStyle name="20% - Accent4 8 2 2 2 3" xfId="3023" xr:uid="{00000000-0005-0000-0000-0000CE0B0000}"/>
    <cellStyle name="20% - Accent4 8 2 2 2 3 2" xfId="3024" xr:uid="{00000000-0005-0000-0000-0000CF0B0000}"/>
    <cellStyle name="20% - Accent4 8 2 2 2 4" xfId="3025" xr:uid="{00000000-0005-0000-0000-0000D00B0000}"/>
    <cellStyle name="20% - Accent4 8 2 2 2 5" xfId="3026" xr:uid="{00000000-0005-0000-0000-0000D10B0000}"/>
    <cellStyle name="20% - Accent4 8 2 2 3" xfId="3027" xr:uid="{00000000-0005-0000-0000-0000D20B0000}"/>
    <cellStyle name="20% - Accent4 8 2 2 3 2" xfId="3028" xr:uid="{00000000-0005-0000-0000-0000D30B0000}"/>
    <cellStyle name="20% - Accent4 8 2 2 4" xfId="3029" xr:uid="{00000000-0005-0000-0000-0000D40B0000}"/>
    <cellStyle name="20% - Accent4 8 2 2 4 2" xfId="3030" xr:uid="{00000000-0005-0000-0000-0000D50B0000}"/>
    <cellStyle name="20% - Accent4 8 2 2 5" xfId="3031" xr:uid="{00000000-0005-0000-0000-0000D60B0000}"/>
    <cellStyle name="20% - Accent4 8 2 2 6" xfId="3032" xr:uid="{00000000-0005-0000-0000-0000D70B0000}"/>
    <cellStyle name="20% - Accent4 8 2 3" xfId="3033" xr:uid="{00000000-0005-0000-0000-0000D80B0000}"/>
    <cellStyle name="20% - Accent4 8 2 3 2" xfId="3034" xr:uid="{00000000-0005-0000-0000-0000D90B0000}"/>
    <cellStyle name="20% - Accent4 8 2 3 2 2" xfId="3035" xr:uid="{00000000-0005-0000-0000-0000DA0B0000}"/>
    <cellStyle name="20% - Accent4 8 2 3 3" xfId="3036" xr:uid="{00000000-0005-0000-0000-0000DB0B0000}"/>
    <cellStyle name="20% - Accent4 8 2 3 3 2" xfId="3037" xr:uid="{00000000-0005-0000-0000-0000DC0B0000}"/>
    <cellStyle name="20% - Accent4 8 2 3 4" xfId="3038" xr:uid="{00000000-0005-0000-0000-0000DD0B0000}"/>
    <cellStyle name="20% - Accent4 8 2 3 5" xfId="3039" xr:uid="{00000000-0005-0000-0000-0000DE0B0000}"/>
    <cellStyle name="20% - Accent4 8 2 4" xfId="3040" xr:uid="{00000000-0005-0000-0000-0000DF0B0000}"/>
    <cellStyle name="20% - Accent4 8 2 4 2" xfId="3041" xr:uid="{00000000-0005-0000-0000-0000E00B0000}"/>
    <cellStyle name="20% - Accent4 8 2 5" xfId="3042" xr:uid="{00000000-0005-0000-0000-0000E10B0000}"/>
    <cellStyle name="20% - Accent4 8 2 5 2" xfId="3043" xr:uid="{00000000-0005-0000-0000-0000E20B0000}"/>
    <cellStyle name="20% - Accent4 8 2 6" xfId="3044" xr:uid="{00000000-0005-0000-0000-0000E30B0000}"/>
    <cellStyle name="20% - Accent4 8 2 7" xfId="3045" xr:uid="{00000000-0005-0000-0000-0000E40B0000}"/>
    <cellStyle name="20% - Accent4 8 3" xfId="3046" xr:uid="{00000000-0005-0000-0000-0000E50B0000}"/>
    <cellStyle name="20% - Accent4 8 3 2" xfId="3047" xr:uid="{00000000-0005-0000-0000-0000E60B0000}"/>
    <cellStyle name="20% - Accent4 8 3 2 2" xfId="3048" xr:uid="{00000000-0005-0000-0000-0000E70B0000}"/>
    <cellStyle name="20% - Accent4 8 3 2 2 2" xfId="3049" xr:uid="{00000000-0005-0000-0000-0000E80B0000}"/>
    <cellStyle name="20% - Accent4 8 3 2 3" xfId="3050" xr:uid="{00000000-0005-0000-0000-0000E90B0000}"/>
    <cellStyle name="20% - Accent4 8 3 2 3 2" xfId="3051" xr:uid="{00000000-0005-0000-0000-0000EA0B0000}"/>
    <cellStyle name="20% - Accent4 8 3 2 4" xfId="3052" xr:uid="{00000000-0005-0000-0000-0000EB0B0000}"/>
    <cellStyle name="20% - Accent4 8 3 2 5" xfId="3053" xr:uid="{00000000-0005-0000-0000-0000EC0B0000}"/>
    <cellStyle name="20% - Accent4 8 3 3" xfId="3054" xr:uid="{00000000-0005-0000-0000-0000ED0B0000}"/>
    <cellStyle name="20% - Accent4 8 3 3 2" xfId="3055" xr:uid="{00000000-0005-0000-0000-0000EE0B0000}"/>
    <cellStyle name="20% - Accent4 8 3 4" xfId="3056" xr:uid="{00000000-0005-0000-0000-0000EF0B0000}"/>
    <cellStyle name="20% - Accent4 8 3 4 2" xfId="3057" xr:uid="{00000000-0005-0000-0000-0000F00B0000}"/>
    <cellStyle name="20% - Accent4 8 3 5" xfId="3058" xr:uid="{00000000-0005-0000-0000-0000F10B0000}"/>
    <cellStyle name="20% - Accent4 8 3 6" xfId="3059" xr:uid="{00000000-0005-0000-0000-0000F20B0000}"/>
    <cellStyle name="20% - Accent4 8 4" xfId="3060" xr:uid="{00000000-0005-0000-0000-0000F30B0000}"/>
    <cellStyle name="20% - Accent4 8 4 2" xfId="3061" xr:uid="{00000000-0005-0000-0000-0000F40B0000}"/>
    <cellStyle name="20% - Accent4 8 4 2 2" xfId="3062" xr:uid="{00000000-0005-0000-0000-0000F50B0000}"/>
    <cellStyle name="20% - Accent4 8 4 3" xfId="3063" xr:uid="{00000000-0005-0000-0000-0000F60B0000}"/>
    <cellStyle name="20% - Accent4 8 4 3 2" xfId="3064" xr:uid="{00000000-0005-0000-0000-0000F70B0000}"/>
    <cellStyle name="20% - Accent4 8 4 4" xfId="3065" xr:uid="{00000000-0005-0000-0000-0000F80B0000}"/>
    <cellStyle name="20% - Accent4 8 4 5" xfId="3066" xr:uid="{00000000-0005-0000-0000-0000F90B0000}"/>
    <cellStyle name="20% - Accent4 8 5" xfId="3067" xr:uid="{00000000-0005-0000-0000-0000FA0B0000}"/>
    <cellStyle name="20% - Accent4 8 5 2" xfId="3068" xr:uid="{00000000-0005-0000-0000-0000FB0B0000}"/>
    <cellStyle name="20% - Accent4 8 6" xfId="3069" xr:uid="{00000000-0005-0000-0000-0000FC0B0000}"/>
    <cellStyle name="20% - Accent4 8 6 2" xfId="3070" xr:uid="{00000000-0005-0000-0000-0000FD0B0000}"/>
    <cellStyle name="20% - Accent4 8 7" xfId="3071" xr:uid="{00000000-0005-0000-0000-0000FE0B0000}"/>
    <cellStyle name="20% - Accent4 8 8" xfId="3072" xr:uid="{00000000-0005-0000-0000-0000FF0B0000}"/>
    <cellStyle name="20% - Accent4 9" xfId="3073" xr:uid="{00000000-0005-0000-0000-0000000C0000}"/>
    <cellStyle name="20% - Accent4 9 2" xfId="3074" xr:uid="{00000000-0005-0000-0000-0000010C0000}"/>
    <cellStyle name="20% - Accent4 9 2 2" xfId="3075" xr:uid="{00000000-0005-0000-0000-0000020C0000}"/>
    <cellStyle name="20% - Accent4 9 2 2 2" xfId="3076" xr:uid="{00000000-0005-0000-0000-0000030C0000}"/>
    <cellStyle name="20% - Accent4 9 2 2 2 2" xfId="3077" xr:uid="{00000000-0005-0000-0000-0000040C0000}"/>
    <cellStyle name="20% - Accent4 9 2 2 2 2 2" xfId="3078" xr:uid="{00000000-0005-0000-0000-0000050C0000}"/>
    <cellStyle name="20% - Accent4 9 2 2 2 3" xfId="3079" xr:uid="{00000000-0005-0000-0000-0000060C0000}"/>
    <cellStyle name="20% - Accent4 9 2 2 2 3 2" xfId="3080" xr:uid="{00000000-0005-0000-0000-0000070C0000}"/>
    <cellStyle name="20% - Accent4 9 2 2 2 4" xfId="3081" xr:uid="{00000000-0005-0000-0000-0000080C0000}"/>
    <cellStyle name="20% - Accent4 9 2 2 2 5" xfId="3082" xr:uid="{00000000-0005-0000-0000-0000090C0000}"/>
    <cellStyle name="20% - Accent4 9 2 2 3" xfId="3083" xr:uid="{00000000-0005-0000-0000-00000A0C0000}"/>
    <cellStyle name="20% - Accent4 9 2 2 3 2" xfId="3084" xr:uid="{00000000-0005-0000-0000-00000B0C0000}"/>
    <cellStyle name="20% - Accent4 9 2 2 4" xfId="3085" xr:uid="{00000000-0005-0000-0000-00000C0C0000}"/>
    <cellStyle name="20% - Accent4 9 2 2 4 2" xfId="3086" xr:uid="{00000000-0005-0000-0000-00000D0C0000}"/>
    <cellStyle name="20% - Accent4 9 2 2 5" xfId="3087" xr:uid="{00000000-0005-0000-0000-00000E0C0000}"/>
    <cellStyle name="20% - Accent4 9 2 2 6" xfId="3088" xr:uid="{00000000-0005-0000-0000-00000F0C0000}"/>
    <cellStyle name="20% - Accent4 9 2 3" xfId="3089" xr:uid="{00000000-0005-0000-0000-0000100C0000}"/>
    <cellStyle name="20% - Accent4 9 2 3 2" xfId="3090" xr:uid="{00000000-0005-0000-0000-0000110C0000}"/>
    <cellStyle name="20% - Accent4 9 2 3 2 2" xfId="3091" xr:uid="{00000000-0005-0000-0000-0000120C0000}"/>
    <cellStyle name="20% - Accent4 9 2 3 3" xfId="3092" xr:uid="{00000000-0005-0000-0000-0000130C0000}"/>
    <cellStyle name="20% - Accent4 9 2 3 3 2" xfId="3093" xr:uid="{00000000-0005-0000-0000-0000140C0000}"/>
    <cellStyle name="20% - Accent4 9 2 3 4" xfId="3094" xr:uid="{00000000-0005-0000-0000-0000150C0000}"/>
    <cellStyle name="20% - Accent4 9 2 3 5" xfId="3095" xr:uid="{00000000-0005-0000-0000-0000160C0000}"/>
    <cellStyle name="20% - Accent4 9 2 4" xfId="3096" xr:uid="{00000000-0005-0000-0000-0000170C0000}"/>
    <cellStyle name="20% - Accent4 9 2 4 2" xfId="3097" xr:uid="{00000000-0005-0000-0000-0000180C0000}"/>
    <cellStyle name="20% - Accent4 9 2 5" xfId="3098" xr:uid="{00000000-0005-0000-0000-0000190C0000}"/>
    <cellStyle name="20% - Accent4 9 2 5 2" xfId="3099" xr:uid="{00000000-0005-0000-0000-00001A0C0000}"/>
    <cellStyle name="20% - Accent4 9 2 6" xfId="3100" xr:uid="{00000000-0005-0000-0000-00001B0C0000}"/>
    <cellStyle name="20% - Accent4 9 2 7" xfId="3101" xr:uid="{00000000-0005-0000-0000-00001C0C0000}"/>
    <cellStyle name="20% - Accent4 9 3" xfId="3102" xr:uid="{00000000-0005-0000-0000-00001D0C0000}"/>
    <cellStyle name="20% - Accent4 9 3 2" xfId="3103" xr:uid="{00000000-0005-0000-0000-00001E0C0000}"/>
    <cellStyle name="20% - Accent4 9 3 2 2" xfId="3104" xr:uid="{00000000-0005-0000-0000-00001F0C0000}"/>
    <cellStyle name="20% - Accent4 9 3 2 2 2" xfId="3105" xr:uid="{00000000-0005-0000-0000-0000200C0000}"/>
    <cellStyle name="20% - Accent4 9 3 2 3" xfId="3106" xr:uid="{00000000-0005-0000-0000-0000210C0000}"/>
    <cellStyle name="20% - Accent4 9 3 2 3 2" xfId="3107" xr:uid="{00000000-0005-0000-0000-0000220C0000}"/>
    <cellStyle name="20% - Accent4 9 3 2 4" xfId="3108" xr:uid="{00000000-0005-0000-0000-0000230C0000}"/>
    <cellStyle name="20% - Accent4 9 3 2 5" xfId="3109" xr:uid="{00000000-0005-0000-0000-0000240C0000}"/>
    <cellStyle name="20% - Accent4 9 3 3" xfId="3110" xr:uid="{00000000-0005-0000-0000-0000250C0000}"/>
    <cellStyle name="20% - Accent4 9 3 3 2" xfId="3111" xr:uid="{00000000-0005-0000-0000-0000260C0000}"/>
    <cellStyle name="20% - Accent4 9 3 4" xfId="3112" xr:uid="{00000000-0005-0000-0000-0000270C0000}"/>
    <cellStyle name="20% - Accent4 9 3 4 2" xfId="3113" xr:uid="{00000000-0005-0000-0000-0000280C0000}"/>
    <cellStyle name="20% - Accent4 9 3 5" xfId="3114" xr:uid="{00000000-0005-0000-0000-0000290C0000}"/>
    <cellStyle name="20% - Accent4 9 3 6" xfId="3115" xr:uid="{00000000-0005-0000-0000-00002A0C0000}"/>
    <cellStyle name="20% - Accent4 9 4" xfId="3116" xr:uid="{00000000-0005-0000-0000-00002B0C0000}"/>
    <cellStyle name="20% - Accent4 9 4 2" xfId="3117" xr:uid="{00000000-0005-0000-0000-00002C0C0000}"/>
    <cellStyle name="20% - Accent4 9 4 2 2" xfId="3118" xr:uid="{00000000-0005-0000-0000-00002D0C0000}"/>
    <cellStyle name="20% - Accent4 9 4 3" xfId="3119" xr:uid="{00000000-0005-0000-0000-00002E0C0000}"/>
    <cellStyle name="20% - Accent4 9 4 3 2" xfId="3120" xr:uid="{00000000-0005-0000-0000-00002F0C0000}"/>
    <cellStyle name="20% - Accent4 9 4 4" xfId="3121" xr:uid="{00000000-0005-0000-0000-0000300C0000}"/>
    <cellStyle name="20% - Accent4 9 4 5" xfId="3122" xr:uid="{00000000-0005-0000-0000-0000310C0000}"/>
    <cellStyle name="20% - Accent4 9 5" xfId="3123" xr:uid="{00000000-0005-0000-0000-0000320C0000}"/>
    <cellStyle name="20% - Accent4 9 5 2" xfId="3124" xr:uid="{00000000-0005-0000-0000-0000330C0000}"/>
    <cellStyle name="20% - Accent4 9 6" xfId="3125" xr:uid="{00000000-0005-0000-0000-0000340C0000}"/>
    <cellStyle name="20% - Accent4 9 6 2" xfId="3126" xr:uid="{00000000-0005-0000-0000-0000350C0000}"/>
    <cellStyle name="20% - Accent4 9 7" xfId="3127" xr:uid="{00000000-0005-0000-0000-0000360C0000}"/>
    <cellStyle name="20% - Accent4 9 8" xfId="3128" xr:uid="{00000000-0005-0000-0000-0000370C0000}"/>
    <cellStyle name="20% - Accent5 10" xfId="3129" xr:uid="{00000000-0005-0000-0000-0000380C0000}"/>
    <cellStyle name="20% - Accent5 10 2" xfId="3130" xr:uid="{00000000-0005-0000-0000-0000390C0000}"/>
    <cellStyle name="20% - Accent5 10 2 2" xfId="3131" xr:uid="{00000000-0005-0000-0000-00003A0C0000}"/>
    <cellStyle name="20% - Accent5 10 2 2 2" xfId="3132" xr:uid="{00000000-0005-0000-0000-00003B0C0000}"/>
    <cellStyle name="20% - Accent5 10 2 2 2 2" xfId="3133" xr:uid="{00000000-0005-0000-0000-00003C0C0000}"/>
    <cellStyle name="20% - Accent5 10 2 2 2 2 2" xfId="3134" xr:uid="{00000000-0005-0000-0000-00003D0C0000}"/>
    <cellStyle name="20% - Accent5 10 2 2 2 3" xfId="3135" xr:uid="{00000000-0005-0000-0000-00003E0C0000}"/>
    <cellStyle name="20% - Accent5 10 2 2 2 3 2" xfId="3136" xr:uid="{00000000-0005-0000-0000-00003F0C0000}"/>
    <cellStyle name="20% - Accent5 10 2 2 2 4" xfId="3137" xr:uid="{00000000-0005-0000-0000-0000400C0000}"/>
    <cellStyle name="20% - Accent5 10 2 2 2 5" xfId="3138" xr:uid="{00000000-0005-0000-0000-0000410C0000}"/>
    <cellStyle name="20% - Accent5 10 2 2 3" xfId="3139" xr:uid="{00000000-0005-0000-0000-0000420C0000}"/>
    <cellStyle name="20% - Accent5 10 2 2 3 2" xfId="3140" xr:uid="{00000000-0005-0000-0000-0000430C0000}"/>
    <cellStyle name="20% - Accent5 10 2 2 4" xfId="3141" xr:uid="{00000000-0005-0000-0000-0000440C0000}"/>
    <cellStyle name="20% - Accent5 10 2 2 4 2" xfId="3142" xr:uid="{00000000-0005-0000-0000-0000450C0000}"/>
    <cellStyle name="20% - Accent5 10 2 2 5" xfId="3143" xr:uid="{00000000-0005-0000-0000-0000460C0000}"/>
    <cellStyle name="20% - Accent5 10 2 2 6" xfId="3144" xr:uid="{00000000-0005-0000-0000-0000470C0000}"/>
    <cellStyle name="20% - Accent5 10 2 3" xfId="3145" xr:uid="{00000000-0005-0000-0000-0000480C0000}"/>
    <cellStyle name="20% - Accent5 10 2 3 2" xfId="3146" xr:uid="{00000000-0005-0000-0000-0000490C0000}"/>
    <cellStyle name="20% - Accent5 10 2 3 2 2" xfId="3147" xr:uid="{00000000-0005-0000-0000-00004A0C0000}"/>
    <cellStyle name="20% - Accent5 10 2 3 3" xfId="3148" xr:uid="{00000000-0005-0000-0000-00004B0C0000}"/>
    <cellStyle name="20% - Accent5 10 2 3 3 2" xfId="3149" xr:uid="{00000000-0005-0000-0000-00004C0C0000}"/>
    <cellStyle name="20% - Accent5 10 2 3 4" xfId="3150" xr:uid="{00000000-0005-0000-0000-00004D0C0000}"/>
    <cellStyle name="20% - Accent5 10 2 3 5" xfId="3151" xr:uid="{00000000-0005-0000-0000-00004E0C0000}"/>
    <cellStyle name="20% - Accent5 10 2 4" xfId="3152" xr:uid="{00000000-0005-0000-0000-00004F0C0000}"/>
    <cellStyle name="20% - Accent5 10 2 4 2" xfId="3153" xr:uid="{00000000-0005-0000-0000-0000500C0000}"/>
    <cellStyle name="20% - Accent5 10 2 5" xfId="3154" xr:uid="{00000000-0005-0000-0000-0000510C0000}"/>
    <cellStyle name="20% - Accent5 10 2 5 2" xfId="3155" xr:uid="{00000000-0005-0000-0000-0000520C0000}"/>
    <cellStyle name="20% - Accent5 10 2 6" xfId="3156" xr:uid="{00000000-0005-0000-0000-0000530C0000}"/>
    <cellStyle name="20% - Accent5 10 2 7" xfId="3157" xr:uid="{00000000-0005-0000-0000-0000540C0000}"/>
    <cellStyle name="20% - Accent5 10 3" xfId="3158" xr:uid="{00000000-0005-0000-0000-0000550C0000}"/>
    <cellStyle name="20% - Accent5 10 3 2" xfId="3159" xr:uid="{00000000-0005-0000-0000-0000560C0000}"/>
    <cellStyle name="20% - Accent5 10 3 2 2" xfId="3160" xr:uid="{00000000-0005-0000-0000-0000570C0000}"/>
    <cellStyle name="20% - Accent5 10 3 2 2 2" xfId="3161" xr:uid="{00000000-0005-0000-0000-0000580C0000}"/>
    <cellStyle name="20% - Accent5 10 3 2 3" xfId="3162" xr:uid="{00000000-0005-0000-0000-0000590C0000}"/>
    <cellStyle name="20% - Accent5 10 3 2 3 2" xfId="3163" xr:uid="{00000000-0005-0000-0000-00005A0C0000}"/>
    <cellStyle name="20% - Accent5 10 3 2 4" xfId="3164" xr:uid="{00000000-0005-0000-0000-00005B0C0000}"/>
    <cellStyle name="20% - Accent5 10 3 2 5" xfId="3165" xr:uid="{00000000-0005-0000-0000-00005C0C0000}"/>
    <cellStyle name="20% - Accent5 10 3 3" xfId="3166" xr:uid="{00000000-0005-0000-0000-00005D0C0000}"/>
    <cellStyle name="20% - Accent5 10 3 3 2" xfId="3167" xr:uid="{00000000-0005-0000-0000-00005E0C0000}"/>
    <cellStyle name="20% - Accent5 10 3 4" xfId="3168" xr:uid="{00000000-0005-0000-0000-00005F0C0000}"/>
    <cellStyle name="20% - Accent5 10 3 4 2" xfId="3169" xr:uid="{00000000-0005-0000-0000-0000600C0000}"/>
    <cellStyle name="20% - Accent5 10 3 5" xfId="3170" xr:uid="{00000000-0005-0000-0000-0000610C0000}"/>
    <cellStyle name="20% - Accent5 10 3 6" xfId="3171" xr:uid="{00000000-0005-0000-0000-0000620C0000}"/>
    <cellStyle name="20% - Accent5 10 4" xfId="3172" xr:uid="{00000000-0005-0000-0000-0000630C0000}"/>
    <cellStyle name="20% - Accent5 10 4 2" xfId="3173" xr:uid="{00000000-0005-0000-0000-0000640C0000}"/>
    <cellStyle name="20% - Accent5 10 4 2 2" xfId="3174" xr:uid="{00000000-0005-0000-0000-0000650C0000}"/>
    <cellStyle name="20% - Accent5 10 4 3" xfId="3175" xr:uid="{00000000-0005-0000-0000-0000660C0000}"/>
    <cellStyle name="20% - Accent5 10 4 3 2" xfId="3176" xr:uid="{00000000-0005-0000-0000-0000670C0000}"/>
    <cellStyle name="20% - Accent5 10 4 4" xfId="3177" xr:uid="{00000000-0005-0000-0000-0000680C0000}"/>
    <cellStyle name="20% - Accent5 10 4 5" xfId="3178" xr:uid="{00000000-0005-0000-0000-0000690C0000}"/>
    <cellStyle name="20% - Accent5 10 5" xfId="3179" xr:uid="{00000000-0005-0000-0000-00006A0C0000}"/>
    <cellStyle name="20% - Accent5 10 5 2" xfId="3180" xr:uid="{00000000-0005-0000-0000-00006B0C0000}"/>
    <cellStyle name="20% - Accent5 10 6" xfId="3181" xr:uid="{00000000-0005-0000-0000-00006C0C0000}"/>
    <cellStyle name="20% - Accent5 10 6 2" xfId="3182" xr:uid="{00000000-0005-0000-0000-00006D0C0000}"/>
    <cellStyle name="20% - Accent5 10 7" xfId="3183" xr:uid="{00000000-0005-0000-0000-00006E0C0000}"/>
    <cellStyle name="20% - Accent5 10 8" xfId="3184" xr:uid="{00000000-0005-0000-0000-00006F0C0000}"/>
    <cellStyle name="20% - Accent5 11" xfId="3185" xr:uid="{00000000-0005-0000-0000-0000700C0000}"/>
    <cellStyle name="20% - Accent5 11 2" xfId="3186" xr:uid="{00000000-0005-0000-0000-0000710C0000}"/>
    <cellStyle name="20% - Accent5 11 2 2" xfId="3187" xr:uid="{00000000-0005-0000-0000-0000720C0000}"/>
    <cellStyle name="20% - Accent5 11 2 2 2" xfId="3188" xr:uid="{00000000-0005-0000-0000-0000730C0000}"/>
    <cellStyle name="20% - Accent5 11 2 2 2 2" xfId="3189" xr:uid="{00000000-0005-0000-0000-0000740C0000}"/>
    <cellStyle name="20% - Accent5 11 2 2 3" xfId="3190" xr:uid="{00000000-0005-0000-0000-0000750C0000}"/>
    <cellStyle name="20% - Accent5 11 2 2 3 2" xfId="3191" xr:uid="{00000000-0005-0000-0000-0000760C0000}"/>
    <cellStyle name="20% - Accent5 11 2 2 4" xfId="3192" xr:uid="{00000000-0005-0000-0000-0000770C0000}"/>
    <cellStyle name="20% - Accent5 11 2 2 5" xfId="3193" xr:uid="{00000000-0005-0000-0000-0000780C0000}"/>
    <cellStyle name="20% - Accent5 11 2 3" xfId="3194" xr:uid="{00000000-0005-0000-0000-0000790C0000}"/>
    <cellStyle name="20% - Accent5 11 2 3 2" xfId="3195" xr:uid="{00000000-0005-0000-0000-00007A0C0000}"/>
    <cellStyle name="20% - Accent5 11 2 4" xfId="3196" xr:uid="{00000000-0005-0000-0000-00007B0C0000}"/>
    <cellStyle name="20% - Accent5 11 2 4 2" xfId="3197" xr:uid="{00000000-0005-0000-0000-00007C0C0000}"/>
    <cellStyle name="20% - Accent5 11 2 5" xfId="3198" xr:uid="{00000000-0005-0000-0000-00007D0C0000}"/>
    <cellStyle name="20% - Accent5 11 2 6" xfId="3199" xr:uid="{00000000-0005-0000-0000-00007E0C0000}"/>
    <cellStyle name="20% - Accent5 11 3" xfId="3200" xr:uid="{00000000-0005-0000-0000-00007F0C0000}"/>
    <cellStyle name="20% - Accent5 11 3 2" xfId="3201" xr:uid="{00000000-0005-0000-0000-0000800C0000}"/>
    <cellStyle name="20% - Accent5 11 3 2 2" xfId="3202" xr:uid="{00000000-0005-0000-0000-0000810C0000}"/>
    <cellStyle name="20% - Accent5 11 3 3" xfId="3203" xr:uid="{00000000-0005-0000-0000-0000820C0000}"/>
    <cellStyle name="20% - Accent5 11 3 3 2" xfId="3204" xr:uid="{00000000-0005-0000-0000-0000830C0000}"/>
    <cellStyle name="20% - Accent5 11 3 4" xfId="3205" xr:uid="{00000000-0005-0000-0000-0000840C0000}"/>
    <cellStyle name="20% - Accent5 11 3 5" xfId="3206" xr:uid="{00000000-0005-0000-0000-0000850C0000}"/>
    <cellStyle name="20% - Accent5 11 4" xfId="3207" xr:uid="{00000000-0005-0000-0000-0000860C0000}"/>
    <cellStyle name="20% - Accent5 11 4 2" xfId="3208" xr:uid="{00000000-0005-0000-0000-0000870C0000}"/>
    <cellStyle name="20% - Accent5 11 5" xfId="3209" xr:uid="{00000000-0005-0000-0000-0000880C0000}"/>
    <cellStyle name="20% - Accent5 11 5 2" xfId="3210" xr:uid="{00000000-0005-0000-0000-0000890C0000}"/>
    <cellStyle name="20% - Accent5 11 6" xfId="3211" xr:uid="{00000000-0005-0000-0000-00008A0C0000}"/>
    <cellStyle name="20% - Accent5 11 7" xfId="3212" xr:uid="{00000000-0005-0000-0000-00008B0C0000}"/>
    <cellStyle name="20% - Accent5 12" xfId="3213" xr:uid="{00000000-0005-0000-0000-00008C0C0000}"/>
    <cellStyle name="20% - Accent5 12 2" xfId="3214" xr:uid="{00000000-0005-0000-0000-00008D0C0000}"/>
    <cellStyle name="20% - Accent5 12 2 2" xfId="3215" xr:uid="{00000000-0005-0000-0000-00008E0C0000}"/>
    <cellStyle name="20% - Accent5 12 2 2 2" xfId="3216" xr:uid="{00000000-0005-0000-0000-00008F0C0000}"/>
    <cellStyle name="20% - Accent5 12 2 3" xfId="3217" xr:uid="{00000000-0005-0000-0000-0000900C0000}"/>
    <cellStyle name="20% - Accent5 12 2 3 2" xfId="3218" xr:uid="{00000000-0005-0000-0000-0000910C0000}"/>
    <cellStyle name="20% - Accent5 12 2 4" xfId="3219" xr:uid="{00000000-0005-0000-0000-0000920C0000}"/>
    <cellStyle name="20% - Accent5 12 2 5" xfId="3220" xr:uid="{00000000-0005-0000-0000-0000930C0000}"/>
    <cellStyle name="20% - Accent5 12 3" xfId="3221" xr:uid="{00000000-0005-0000-0000-0000940C0000}"/>
    <cellStyle name="20% - Accent5 12 3 2" xfId="3222" xr:uid="{00000000-0005-0000-0000-0000950C0000}"/>
    <cellStyle name="20% - Accent5 12 4" xfId="3223" xr:uid="{00000000-0005-0000-0000-0000960C0000}"/>
    <cellStyle name="20% - Accent5 12 4 2" xfId="3224" xr:uid="{00000000-0005-0000-0000-0000970C0000}"/>
    <cellStyle name="20% - Accent5 12 5" xfId="3225" xr:uid="{00000000-0005-0000-0000-0000980C0000}"/>
    <cellStyle name="20% - Accent5 12 6" xfId="3226" xr:uid="{00000000-0005-0000-0000-0000990C0000}"/>
    <cellStyle name="20% - Accent5 13" xfId="3227" xr:uid="{00000000-0005-0000-0000-00009A0C0000}"/>
    <cellStyle name="20% - Accent5 13 2" xfId="3228" xr:uid="{00000000-0005-0000-0000-00009B0C0000}"/>
    <cellStyle name="20% - Accent5 13 2 2" xfId="3229" xr:uid="{00000000-0005-0000-0000-00009C0C0000}"/>
    <cellStyle name="20% - Accent5 13 2 2 2" xfId="3230" xr:uid="{00000000-0005-0000-0000-00009D0C0000}"/>
    <cellStyle name="20% - Accent5 13 2 3" xfId="3231" xr:uid="{00000000-0005-0000-0000-00009E0C0000}"/>
    <cellStyle name="20% - Accent5 13 2 3 2" xfId="3232" xr:uid="{00000000-0005-0000-0000-00009F0C0000}"/>
    <cellStyle name="20% - Accent5 13 2 4" xfId="3233" xr:uid="{00000000-0005-0000-0000-0000A00C0000}"/>
    <cellStyle name="20% - Accent5 13 2 5" xfId="3234" xr:uid="{00000000-0005-0000-0000-0000A10C0000}"/>
    <cellStyle name="20% - Accent5 13 3" xfId="3235" xr:uid="{00000000-0005-0000-0000-0000A20C0000}"/>
    <cellStyle name="20% - Accent5 13 3 2" xfId="3236" xr:uid="{00000000-0005-0000-0000-0000A30C0000}"/>
    <cellStyle name="20% - Accent5 13 4" xfId="3237" xr:uid="{00000000-0005-0000-0000-0000A40C0000}"/>
    <cellStyle name="20% - Accent5 13 4 2" xfId="3238" xr:uid="{00000000-0005-0000-0000-0000A50C0000}"/>
    <cellStyle name="20% - Accent5 13 5" xfId="3239" xr:uid="{00000000-0005-0000-0000-0000A60C0000}"/>
    <cellStyle name="20% - Accent5 13 6" xfId="3240" xr:uid="{00000000-0005-0000-0000-0000A70C0000}"/>
    <cellStyle name="20% - Accent5 14" xfId="3241" xr:uid="{00000000-0005-0000-0000-0000A80C0000}"/>
    <cellStyle name="20% - Accent5 14 2" xfId="3242" xr:uid="{00000000-0005-0000-0000-0000A90C0000}"/>
    <cellStyle name="20% - Accent5 14 2 2" xfId="3243" xr:uid="{00000000-0005-0000-0000-0000AA0C0000}"/>
    <cellStyle name="20% - Accent5 14 2 2 2" xfId="3244" xr:uid="{00000000-0005-0000-0000-0000AB0C0000}"/>
    <cellStyle name="20% - Accent5 14 2 3" xfId="3245" xr:uid="{00000000-0005-0000-0000-0000AC0C0000}"/>
    <cellStyle name="20% - Accent5 14 2 3 2" xfId="3246" xr:uid="{00000000-0005-0000-0000-0000AD0C0000}"/>
    <cellStyle name="20% - Accent5 14 2 4" xfId="3247" xr:uid="{00000000-0005-0000-0000-0000AE0C0000}"/>
    <cellStyle name="20% - Accent5 14 2 5" xfId="3248" xr:uid="{00000000-0005-0000-0000-0000AF0C0000}"/>
    <cellStyle name="20% - Accent5 14 3" xfId="3249" xr:uid="{00000000-0005-0000-0000-0000B00C0000}"/>
    <cellStyle name="20% - Accent5 14 3 2" xfId="3250" xr:uid="{00000000-0005-0000-0000-0000B10C0000}"/>
    <cellStyle name="20% - Accent5 14 4" xfId="3251" xr:uid="{00000000-0005-0000-0000-0000B20C0000}"/>
    <cellStyle name="20% - Accent5 14 4 2" xfId="3252" xr:uid="{00000000-0005-0000-0000-0000B30C0000}"/>
    <cellStyle name="20% - Accent5 14 5" xfId="3253" xr:uid="{00000000-0005-0000-0000-0000B40C0000}"/>
    <cellStyle name="20% - Accent5 14 6" xfId="3254" xr:uid="{00000000-0005-0000-0000-0000B50C0000}"/>
    <cellStyle name="20% - Accent5 15" xfId="3255" xr:uid="{00000000-0005-0000-0000-0000B60C0000}"/>
    <cellStyle name="20% - Accent5 15 2" xfId="3256" xr:uid="{00000000-0005-0000-0000-0000B70C0000}"/>
    <cellStyle name="20% - Accent5 15 2 2" xfId="3257" xr:uid="{00000000-0005-0000-0000-0000B80C0000}"/>
    <cellStyle name="20% - Accent5 15 2 2 2" xfId="3258" xr:uid="{00000000-0005-0000-0000-0000B90C0000}"/>
    <cellStyle name="20% - Accent5 15 2 3" xfId="3259" xr:uid="{00000000-0005-0000-0000-0000BA0C0000}"/>
    <cellStyle name="20% - Accent5 15 2 3 2" xfId="3260" xr:uid="{00000000-0005-0000-0000-0000BB0C0000}"/>
    <cellStyle name="20% - Accent5 15 2 4" xfId="3261" xr:uid="{00000000-0005-0000-0000-0000BC0C0000}"/>
    <cellStyle name="20% - Accent5 15 2 5" xfId="3262" xr:uid="{00000000-0005-0000-0000-0000BD0C0000}"/>
    <cellStyle name="20% - Accent5 15 3" xfId="3263" xr:uid="{00000000-0005-0000-0000-0000BE0C0000}"/>
    <cellStyle name="20% - Accent5 15 3 2" xfId="3264" xr:uid="{00000000-0005-0000-0000-0000BF0C0000}"/>
    <cellStyle name="20% - Accent5 15 4" xfId="3265" xr:uid="{00000000-0005-0000-0000-0000C00C0000}"/>
    <cellStyle name="20% - Accent5 15 4 2" xfId="3266" xr:uid="{00000000-0005-0000-0000-0000C10C0000}"/>
    <cellStyle name="20% - Accent5 15 5" xfId="3267" xr:uid="{00000000-0005-0000-0000-0000C20C0000}"/>
    <cellStyle name="20% - Accent5 15 6" xfId="3268" xr:uid="{00000000-0005-0000-0000-0000C30C0000}"/>
    <cellStyle name="20% - Accent5 16" xfId="3269" xr:uid="{00000000-0005-0000-0000-0000C40C0000}"/>
    <cellStyle name="20% - Accent5 16 2" xfId="3270" xr:uid="{00000000-0005-0000-0000-0000C50C0000}"/>
    <cellStyle name="20% - Accent5 16 2 2" xfId="3271" xr:uid="{00000000-0005-0000-0000-0000C60C0000}"/>
    <cellStyle name="20% - Accent5 16 2 3" xfId="3272" xr:uid="{00000000-0005-0000-0000-0000C70C0000}"/>
    <cellStyle name="20% - Accent5 16 3" xfId="3273" xr:uid="{00000000-0005-0000-0000-0000C80C0000}"/>
    <cellStyle name="20% - Accent5 16 4" xfId="3274" xr:uid="{00000000-0005-0000-0000-0000C90C0000}"/>
    <cellStyle name="20% - Accent5 17" xfId="3275" xr:uid="{00000000-0005-0000-0000-0000CA0C0000}"/>
    <cellStyle name="20% - Accent5 17 2" xfId="3276" xr:uid="{00000000-0005-0000-0000-0000CB0C0000}"/>
    <cellStyle name="20% - Accent5 17 2 2" xfId="3277" xr:uid="{00000000-0005-0000-0000-0000CC0C0000}"/>
    <cellStyle name="20% - Accent5 17 2 3" xfId="3278" xr:uid="{00000000-0005-0000-0000-0000CD0C0000}"/>
    <cellStyle name="20% - Accent5 17 3" xfId="3279" xr:uid="{00000000-0005-0000-0000-0000CE0C0000}"/>
    <cellStyle name="20% - Accent5 17 4" xfId="3280" xr:uid="{00000000-0005-0000-0000-0000CF0C0000}"/>
    <cellStyle name="20% - Accent5 18" xfId="3281" xr:uid="{00000000-0005-0000-0000-0000D00C0000}"/>
    <cellStyle name="20% - Accent5 18 2" xfId="3282" xr:uid="{00000000-0005-0000-0000-0000D10C0000}"/>
    <cellStyle name="20% - Accent5 18 2 2" xfId="3283" xr:uid="{00000000-0005-0000-0000-0000D20C0000}"/>
    <cellStyle name="20% - Accent5 18 2 3" xfId="3284" xr:uid="{00000000-0005-0000-0000-0000D30C0000}"/>
    <cellStyle name="20% - Accent5 18 3" xfId="3285" xr:uid="{00000000-0005-0000-0000-0000D40C0000}"/>
    <cellStyle name="20% - Accent5 18 4" xfId="3286" xr:uid="{00000000-0005-0000-0000-0000D50C0000}"/>
    <cellStyle name="20% - Accent5 19" xfId="3287" xr:uid="{00000000-0005-0000-0000-0000D60C0000}"/>
    <cellStyle name="20% - Accent5 19 2" xfId="3288" xr:uid="{00000000-0005-0000-0000-0000D70C0000}"/>
    <cellStyle name="20% - Accent5 19 2 2" xfId="3289" xr:uid="{00000000-0005-0000-0000-0000D80C0000}"/>
    <cellStyle name="20% - Accent5 19 2 3" xfId="3290" xr:uid="{00000000-0005-0000-0000-0000D90C0000}"/>
    <cellStyle name="20% - Accent5 19 3" xfId="3291" xr:uid="{00000000-0005-0000-0000-0000DA0C0000}"/>
    <cellStyle name="20% - Accent5 19 4" xfId="3292" xr:uid="{00000000-0005-0000-0000-0000DB0C0000}"/>
    <cellStyle name="20% - Accent5 2" xfId="3293" xr:uid="{00000000-0005-0000-0000-0000DC0C0000}"/>
    <cellStyle name="20% - Accent5 2 2" xfId="3294" xr:uid="{00000000-0005-0000-0000-0000DD0C0000}"/>
    <cellStyle name="20% - Accent5 2 2 2" xfId="3295" xr:uid="{00000000-0005-0000-0000-0000DE0C0000}"/>
    <cellStyle name="20% - Accent5 2 2 3" xfId="3296" xr:uid="{00000000-0005-0000-0000-0000DF0C0000}"/>
    <cellStyle name="20% - Accent5 2 2 4" xfId="3297" xr:uid="{00000000-0005-0000-0000-0000E00C0000}"/>
    <cellStyle name="20% - Accent5 2 2 5" xfId="3298" xr:uid="{00000000-0005-0000-0000-0000E10C0000}"/>
    <cellStyle name="20% - Accent5 2 3" xfId="3299" xr:uid="{00000000-0005-0000-0000-0000E20C0000}"/>
    <cellStyle name="20% - Accent5 2 3 2" xfId="3300" xr:uid="{00000000-0005-0000-0000-0000E30C0000}"/>
    <cellStyle name="20% - Accent5 2 4" xfId="3301" xr:uid="{00000000-0005-0000-0000-0000E40C0000}"/>
    <cellStyle name="20% - Accent5 2 4 2" xfId="3302" xr:uid="{00000000-0005-0000-0000-0000E50C0000}"/>
    <cellStyle name="20% - Accent5 2 4 2 2" xfId="3303" xr:uid="{00000000-0005-0000-0000-0000E60C0000}"/>
    <cellStyle name="20% - Accent5 2 4 3" xfId="3304" xr:uid="{00000000-0005-0000-0000-0000E70C0000}"/>
    <cellStyle name="20% - Accent5 2 4 4" xfId="3305" xr:uid="{00000000-0005-0000-0000-0000E80C0000}"/>
    <cellStyle name="20% - Accent5 2 5" xfId="3306" xr:uid="{00000000-0005-0000-0000-0000E90C0000}"/>
    <cellStyle name="20% - Accent5 2 5 2" xfId="3307" xr:uid="{00000000-0005-0000-0000-0000EA0C0000}"/>
    <cellStyle name="20% - Accent5 2 5 3" xfId="3308" xr:uid="{00000000-0005-0000-0000-0000EB0C0000}"/>
    <cellStyle name="20% - Accent5 2 6" xfId="3309" xr:uid="{00000000-0005-0000-0000-0000EC0C0000}"/>
    <cellStyle name="20% - Accent5 2 7" xfId="3310" xr:uid="{00000000-0005-0000-0000-0000ED0C0000}"/>
    <cellStyle name="20% - Accent5 20" xfId="3311" xr:uid="{00000000-0005-0000-0000-0000EE0C0000}"/>
    <cellStyle name="20% - Accent5 20 2" xfId="3312" xr:uid="{00000000-0005-0000-0000-0000EF0C0000}"/>
    <cellStyle name="20% - Accent5 20 3" xfId="3313" xr:uid="{00000000-0005-0000-0000-0000F00C0000}"/>
    <cellStyle name="20% - Accent5 21" xfId="3314" xr:uid="{00000000-0005-0000-0000-0000F10C0000}"/>
    <cellStyle name="20% - Accent5 21 2" xfId="3315" xr:uid="{00000000-0005-0000-0000-0000F20C0000}"/>
    <cellStyle name="20% - Accent5 22" xfId="3316" xr:uid="{00000000-0005-0000-0000-0000F30C0000}"/>
    <cellStyle name="20% - Accent5 23" xfId="3317" xr:uid="{00000000-0005-0000-0000-0000F40C0000}"/>
    <cellStyle name="20% - Accent5 24" xfId="3318" xr:uid="{00000000-0005-0000-0000-0000F50C0000}"/>
    <cellStyle name="20% - Accent5 3" xfId="3319" xr:uid="{00000000-0005-0000-0000-0000F60C0000}"/>
    <cellStyle name="20% - Accent5 3 10" xfId="3320" xr:uid="{00000000-0005-0000-0000-0000F70C0000}"/>
    <cellStyle name="20% - Accent5 3 11" xfId="3321" xr:uid="{00000000-0005-0000-0000-0000F80C0000}"/>
    <cellStyle name="20% - Accent5 3 2" xfId="3322" xr:uid="{00000000-0005-0000-0000-0000F90C0000}"/>
    <cellStyle name="20% - Accent5 3 2 2" xfId="3323" xr:uid="{00000000-0005-0000-0000-0000FA0C0000}"/>
    <cellStyle name="20% - Accent5 3 2 2 2" xfId="3324" xr:uid="{00000000-0005-0000-0000-0000FB0C0000}"/>
    <cellStyle name="20% - Accent5 3 2 2 2 2" xfId="3325" xr:uid="{00000000-0005-0000-0000-0000FC0C0000}"/>
    <cellStyle name="20% - Accent5 3 2 2 2 2 2" xfId="3326" xr:uid="{00000000-0005-0000-0000-0000FD0C0000}"/>
    <cellStyle name="20% - Accent5 3 2 2 2 2 2 2" xfId="3327" xr:uid="{00000000-0005-0000-0000-0000FE0C0000}"/>
    <cellStyle name="20% - Accent5 3 2 2 2 2 3" xfId="3328" xr:uid="{00000000-0005-0000-0000-0000FF0C0000}"/>
    <cellStyle name="20% - Accent5 3 2 2 2 2 3 2" xfId="3329" xr:uid="{00000000-0005-0000-0000-0000000D0000}"/>
    <cellStyle name="20% - Accent5 3 2 2 2 2 4" xfId="3330" xr:uid="{00000000-0005-0000-0000-0000010D0000}"/>
    <cellStyle name="20% - Accent5 3 2 2 2 2 5" xfId="3331" xr:uid="{00000000-0005-0000-0000-0000020D0000}"/>
    <cellStyle name="20% - Accent5 3 2 2 2 3" xfId="3332" xr:uid="{00000000-0005-0000-0000-0000030D0000}"/>
    <cellStyle name="20% - Accent5 3 2 2 2 3 2" xfId="3333" xr:uid="{00000000-0005-0000-0000-0000040D0000}"/>
    <cellStyle name="20% - Accent5 3 2 2 2 4" xfId="3334" xr:uid="{00000000-0005-0000-0000-0000050D0000}"/>
    <cellStyle name="20% - Accent5 3 2 2 2 4 2" xfId="3335" xr:uid="{00000000-0005-0000-0000-0000060D0000}"/>
    <cellStyle name="20% - Accent5 3 2 2 2 5" xfId="3336" xr:uid="{00000000-0005-0000-0000-0000070D0000}"/>
    <cellStyle name="20% - Accent5 3 2 2 2 6" xfId="3337" xr:uid="{00000000-0005-0000-0000-0000080D0000}"/>
    <cellStyle name="20% - Accent5 3 2 2 3" xfId="3338" xr:uid="{00000000-0005-0000-0000-0000090D0000}"/>
    <cellStyle name="20% - Accent5 3 2 2 3 2" xfId="3339" xr:uid="{00000000-0005-0000-0000-00000A0D0000}"/>
    <cellStyle name="20% - Accent5 3 2 2 3 2 2" xfId="3340" xr:uid="{00000000-0005-0000-0000-00000B0D0000}"/>
    <cellStyle name="20% - Accent5 3 2 2 3 3" xfId="3341" xr:uid="{00000000-0005-0000-0000-00000C0D0000}"/>
    <cellStyle name="20% - Accent5 3 2 2 3 3 2" xfId="3342" xr:uid="{00000000-0005-0000-0000-00000D0D0000}"/>
    <cellStyle name="20% - Accent5 3 2 2 3 4" xfId="3343" xr:uid="{00000000-0005-0000-0000-00000E0D0000}"/>
    <cellStyle name="20% - Accent5 3 2 2 3 5" xfId="3344" xr:uid="{00000000-0005-0000-0000-00000F0D0000}"/>
    <cellStyle name="20% - Accent5 3 2 2 4" xfId="3345" xr:uid="{00000000-0005-0000-0000-0000100D0000}"/>
    <cellStyle name="20% - Accent5 3 2 2 4 2" xfId="3346" xr:uid="{00000000-0005-0000-0000-0000110D0000}"/>
    <cellStyle name="20% - Accent5 3 2 2 5" xfId="3347" xr:uid="{00000000-0005-0000-0000-0000120D0000}"/>
    <cellStyle name="20% - Accent5 3 2 2 5 2" xfId="3348" xr:uid="{00000000-0005-0000-0000-0000130D0000}"/>
    <cellStyle name="20% - Accent5 3 2 2 6" xfId="3349" xr:uid="{00000000-0005-0000-0000-0000140D0000}"/>
    <cellStyle name="20% - Accent5 3 2 2 7" xfId="3350" xr:uid="{00000000-0005-0000-0000-0000150D0000}"/>
    <cellStyle name="20% - Accent5 3 2 2 8" xfId="3351" xr:uid="{00000000-0005-0000-0000-0000160D0000}"/>
    <cellStyle name="20% - Accent5 3 2 3" xfId="3352" xr:uid="{00000000-0005-0000-0000-0000170D0000}"/>
    <cellStyle name="20% - Accent5 3 2 3 2" xfId="3353" xr:uid="{00000000-0005-0000-0000-0000180D0000}"/>
    <cellStyle name="20% - Accent5 3 2 3 2 2" xfId="3354" xr:uid="{00000000-0005-0000-0000-0000190D0000}"/>
    <cellStyle name="20% - Accent5 3 2 3 2 2 2" xfId="3355" xr:uid="{00000000-0005-0000-0000-00001A0D0000}"/>
    <cellStyle name="20% - Accent5 3 2 3 2 3" xfId="3356" xr:uid="{00000000-0005-0000-0000-00001B0D0000}"/>
    <cellStyle name="20% - Accent5 3 2 3 2 3 2" xfId="3357" xr:uid="{00000000-0005-0000-0000-00001C0D0000}"/>
    <cellStyle name="20% - Accent5 3 2 3 2 4" xfId="3358" xr:uid="{00000000-0005-0000-0000-00001D0D0000}"/>
    <cellStyle name="20% - Accent5 3 2 3 2 5" xfId="3359" xr:uid="{00000000-0005-0000-0000-00001E0D0000}"/>
    <cellStyle name="20% - Accent5 3 2 3 3" xfId="3360" xr:uid="{00000000-0005-0000-0000-00001F0D0000}"/>
    <cellStyle name="20% - Accent5 3 2 3 3 2" xfId="3361" xr:uid="{00000000-0005-0000-0000-0000200D0000}"/>
    <cellStyle name="20% - Accent5 3 2 3 4" xfId="3362" xr:uid="{00000000-0005-0000-0000-0000210D0000}"/>
    <cellStyle name="20% - Accent5 3 2 3 4 2" xfId="3363" xr:uid="{00000000-0005-0000-0000-0000220D0000}"/>
    <cellStyle name="20% - Accent5 3 2 3 5" xfId="3364" xr:uid="{00000000-0005-0000-0000-0000230D0000}"/>
    <cellStyle name="20% - Accent5 3 2 3 6" xfId="3365" xr:uid="{00000000-0005-0000-0000-0000240D0000}"/>
    <cellStyle name="20% - Accent5 3 2 3 7" xfId="3366" xr:uid="{00000000-0005-0000-0000-0000250D0000}"/>
    <cellStyle name="20% - Accent5 3 2 4" xfId="3367" xr:uid="{00000000-0005-0000-0000-0000260D0000}"/>
    <cellStyle name="20% - Accent5 3 2 4 2" xfId="3368" xr:uid="{00000000-0005-0000-0000-0000270D0000}"/>
    <cellStyle name="20% - Accent5 3 2 4 2 2" xfId="3369" xr:uid="{00000000-0005-0000-0000-0000280D0000}"/>
    <cellStyle name="20% - Accent5 3 2 4 3" xfId="3370" xr:uid="{00000000-0005-0000-0000-0000290D0000}"/>
    <cellStyle name="20% - Accent5 3 2 4 3 2" xfId="3371" xr:uid="{00000000-0005-0000-0000-00002A0D0000}"/>
    <cellStyle name="20% - Accent5 3 2 4 4" xfId="3372" xr:uid="{00000000-0005-0000-0000-00002B0D0000}"/>
    <cellStyle name="20% - Accent5 3 2 4 5" xfId="3373" xr:uid="{00000000-0005-0000-0000-00002C0D0000}"/>
    <cellStyle name="20% - Accent5 3 2 4 6" xfId="3374" xr:uid="{00000000-0005-0000-0000-00002D0D0000}"/>
    <cellStyle name="20% - Accent5 3 2 5" xfId="3375" xr:uid="{00000000-0005-0000-0000-00002E0D0000}"/>
    <cellStyle name="20% - Accent5 3 2 5 2" xfId="3376" xr:uid="{00000000-0005-0000-0000-00002F0D0000}"/>
    <cellStyle name="20% - Accent5 3 2 6" xfId="3377" xr:uid="{00000000-0005-0000-0000-0000300D0000}"/>
    <cellStyle name="20% - Accent5 3 2 6 2" xfId="3378" xr:uid="{00000000-0005-0000-0000-0000310D0000}"/>
    <cellStyle name="20% - Accent5 3 2 7" xfId="3379" xr:uid="{00000000-0005-0000-0000-0000320D0000}"/>
    <cellStyle name="20% - Accent5 3 2 8" xfId="3380" xr:uid="{00000000-0005-0000-0000-0000330D0000}"/>
    <cellStyle name="20% - Accent5 3 2 9" xfId="3381" xr:uid="{00000000-0005-0000-0000-0000340D0000}"/>
    <cellStyle name="20% - Accent5 3 3" xfId="3382" xr:uid="{00000000-0005-0000-0000-0000350D0000}"/>
    <cellStyle name="20% - Accent5 3 3 2" xfId="3383" xr:uid="{00000000-0005-0000-0000-0000360D0000}"/>
    <cellStyle name="20% - Accent5 3 3 2 2" xfId="3384" xr:uid="{00000000-0005-0000-0000-0000370D0000}"/>
    <cellStyle name="20% - Accent5 3 3 2 2 2" xfId="3385" xr:uid="{00000000-0005-0000-0000-0000380D0000}"/>
    <cellStyle name="20% - Accent5 3 3 2 2 2 2" xfId="3386" xr:uid="{00000000-0005-0000-0000-0000390D0000}"/>
    <cellStyle name="20% - Accent5 3 3 2 2 3" xfId="3387" xr:uid="{00000000-0005-0000-0000-00003A0D0000}"/>
    <cellStyle name="20% - Accent5 3 3 2 2 3 2" xfId="3388" xr:uid="{00000000-0005-0000-0000-00003B0D0000}"/>
    <cellStyle name="20% - Accent5 3 3 2 2 4" xfId="3389" xr:uid="{00000000-0005-0000-0000-00003C0D0000}"/>
    <cellStyle name="20% - Accent5 3 3 2 2 5" xfId="3390" xr:uid="{00000000-0005-0000-0000-00003D0D0000}"/>
    <cellStyle name="20% - Accent5 3 3 2 3" xfId="3391" xr:uid="{00000000-0005-0000-0000-00003E0D0000}"/>
    <cellStyle name="20% - Accent5 3 3 2 3 2" xfId="3392" xr:uid="{00000000-0005-0000-0000-00003F0D0000}"/>
    <cellStyle name="20% - Accent5 3 3 2 4" xfId="3393" xr:uid="{00000000-0005-0000-0000-0000400D0000}"/>
    <cellStyle name="20% - Accent5 3 3 2 4 2" xfId="3394" xr:uid="{00000000-0005-0000-0000-0000410D0000}"/>
    <cellStyle name="20% - Accent5 3 3 2 5" xfId="3395" xr:uid="{00000000-0005-0000-0000-0000420D0000}"/>
    <cellStyle name="20% - Accent5 3 3 2 6" xfId="3396" xr:uid="{00000000-0005-0000-0000-0000430D0000}"/>
    <cellStyle name="20% - Accent5 3 3 3" xfId="3397" xr:uid="{00000000-0005-0000-0000-0000440D0000}"/>
    <cellStyle name="20% - Accent5 3 3 3 2" xfId="3398" xr:uid="{00000000-0005-0000-0000-0000450D0000}"/>
    <cellStyle name="20% - Accent5 3 3 3 2 2" xfId="3399" xr:uid="{00000000-0005-0000-0000-0000460D0000}"/>
    <cellStyle name="20% - Accent5 3 3 3 3" xfId="3400" xr:uid="{00000000-0005-0000-0000-0000470D0000}"/>
    <cellStyle name="20% - Accent5 3 3 3 3 2" xfId="3401" xr:uid="{00000000-0005-0000-0000-0000480D0000}"/>
    <cellStyle name="20% - Accent5 3 3 3 4" xfId="3402" xr:uid="{00000000-0005-0000-0000-0000490D0000}"/>
    <cellStyle name="20% - Accent5 3 3 3 5" xfId="3403" xr:uid="{00000000-0005-0000-0000-00004A0D0000}"/>
    <cellStyle name="20% - Accent5 3 3 4" xfId="3404" xr:uid="{00000000-0005-0000-0000-00004B0D0000}"/>
    <cellStyle name="20% - Accent5 3 3 4 2" xfId="3405" xr:uid="{00000000-0005-0000-0000-00004C0D0000}"/>
    <cellStyle name="20% - Accent5 3 3 5" xfId="3406" xr:uid="{00000000-0005-0000-0000-00004D0D0000}"/>
    <cellStyle name="20% - Accent5 3 3 5 2" xfId="3407" xr:uid="{00000000-0005-0000-0000-00004E0D0000}"/>
    <cellStyle name="20% - Accent5 3 3 6" xfId="3408" xr:uid="{00000000-0005-0000-0000-00004F0D0000}"/>
    <cellStyle name="20% - Accent5 3 3 7" xfId="3409" xr:uid="{00000000-0005-0000-0000-0000500D0000}"/>
    <cellStyle name="20% - Accent5 3 3 8" xfId="3410" xr:uid="{00000000-0005-0000-0000-0000510D0000}"/>
    <cellStyle name="20% - Accent5 3 4" xfId="3411" xr:uid="{00000000-0005-0000-0000-0000520D0000}"/>
    <cellStyle name="20% - Accent5 3 4 2" xfId="3412" xr:uid="{00000000-0005-0000-0000-0000530D0000}"/>
    <cellStyle name="20% - Accent5 3 4 2 2" xfId="3413" xr:uid="{00000000-0005-0000-0000-0000540D0000}"/>
    <cellStyle name="20% - Accent5 3 4 2 2 2" xfId="3414" xr:uid="{00000000-0005-0000-0000-0000550D0000}"/>
    <cellStyle name="20% - Accent5 3 4 2 3" xfId="3415" xr:uid="{00000000-0005-0000-0000-0000560D0000}"/>
    <cellStyle name="20% - Accent5 3 4 2 3 2" xfId="3416" xr:uid="{00000000-0005-0000-0000-0000570D0000}"/>
    <cellStyle name="20% - Accent5 3 4 2 4" xfId="3417" xr:uid="{00000000-0005-0000-0000-0000580D0000}"/>
    <cellStyle name="20% - Accent5 3 4 2 5" xfId="3418" xr:uid="{00000000-0005-0000-0000-0000590D0000}"/>
    <cellStyle name="20% - Accent5 3 4 3" xfId="3419" xr:uid="{00000000-0005-0000-0000-00005A0D0000}"/>
    <cellStyle name="20% - Accent5 3 4 3 2" xfId="3420" xr:uid="{00000000-0005-0000-0000-00005B0D0000}"/>
    <cellStyle name="20% - Accent5 3 4 4" xfId="3421" xr:uid="{00000000-0005-0000-0000-00005C0D0000}"/>
    <cellStyle name="20% - Accent5 3 4 4 2" xfId="3422" xr:uid="{00000000-0005-0000-0000-00005D0D0000}"/>
    <cellStyle name="20% - Accent5 3 4 5" xfId="3423" xr:uid="{00000000-0005-0000-0000-00005E0D0000}"/>
    <cellStyle name="20% - Accent5 3 4 6" xfId="3424" xr:uid="{00000000-0005-0000-0000-00005F0D0000}"/>
    <cellStyle name="20% - Accent5 3 4 7" xfId="3425" xr:uid="{00000000-0005-0000-0000-0000600D0000}"/>
    <cellStyle name="20% - Accent5 3 5" xfId="3426" xr:uid="{00000000-0005-0000-0000-0000610D0000}"/>
    <cellStyle name="20% - Accent5 3 5 2" xfId="3427" xr:uid="{00000000-0005-0000-0000-0000620D0000}"/>
    <cellStyle name="20% - Accent5 3 5 2 2" xfId="3428" xr:uid="{00000000-0005-0000-0000-0000630D0000}"/>
    <cellStyle name="20% - Accent5 3 5 2 2 2" xfId="3429" xr:uid="{00000000-0005-0000-0000-0000640D0000}"/>
    <cellStyle name="20% - Accent5 3 5 2 3" xfId="3430" xr:uid="{00000000-0005-0000-0000-0000650D0000}"/>
    <cellStyle name="20% - Accent5 3 5 3" xfId="3431" xr:uid="{00000000-0005-0000-0000-0000660D0000}"/>
    <cellStyle name="20% - Accent5 3 5 3 2" xfId="3432" xr:uid="{00000000-0005-0000-0000-0000670D0000}"/>
    <cellStyle name="20% - Accent5 3 5 4" xfId="3433" xr:uid="{00000000-0005-0000-0000-0000680D0000}"/>
    <cellStyle name="20% - Accent5 3 5 4 2" xfId="3434" xr:uid="{00000000-0005-0000-0000-0000690D0000}"/>
    <cellStyle name="20% - Accent5 3 5 5" xfId="3435" xr:uid="{00000000-0005-0000-0000-00006A0D0000}"/>
    <cellStyle name="20% - Accent5 3 5 6" xfId="3436" xr:uid="{00000000-0005-0000-0000-00006B0D0000}"/>
    <cellStyle name="20% - Accent5 3 5 7" xfId="3437" xr:uid="{00000000-0005-0000-0000-00006C0D0000}"/>
    <cellStyle name="20% - Accent5 3 6" xfId="3438" xr:uid="{00000000-0005-0000-0000-00006D0D0000}"/>
    <cellStyle name="20% - Accent5 3 6 2" xfId="3439" xr:uid="{00000000-0005-0000-0000-00006E0D0000}"/>
    <cellStyle name="20% - Accent5 3 6 2 2" xfId="3440" xr:uid="{00000000-0005-0000-0000-00006F0D0000}"/>
    <cellStyle name="20% - Accent5 3 6 3" xfId="3441" xr:uid="{00000000-0005-0000-0000-0000700D0000}"/>
    <cellStyle name="20% - Accent5 3 7" xfId="3442" xr:uid="{00000000-0005-0000-0000-0000710D0000}"/>
    <cellStyle name="20% - Accent5 3 7 2" xfId="3443" xr:uid="{00000000-0005-0000-0000-0000720D0000}"/>
    <cellStyle name="20% - Accent5 3 8" xfId="3444" xr:uid="{00000000-0005-0000-0000-0000730D0000}"/>
    <cellStyle name="20% - Accent5 3 8 2" xfId="3445" xr:uid="{00000000-0005-0000-0000-0000740D0000}"/>
    <cellStyle name="20% - Accent5 3 9" xfId="3446" xr:uid="{00000000-0005-0000-0000-0000750D0000}"/>
    <cellStyle name="20% - Accent5 4" xfId="3447" xr:uid="{00000000-0005-0000-0000-0000760D0000}"/>
    <cellStyle name="20% - Accent5 4 10" xfId="3448" xr:uid="{00000000-0005-0000-0000-0000770D0000}"/>
    <cellStyle name="20% - Accent5 4 11" xfId="3449" xr:uid="{00000000-0005-0000-0000-0000780D0000}"/>
    <cellStyle name="20% - Accent5 4 2" xfId="3450" xr:uid="{00000000-0005-0000-0000-0000790D0000}"/>
    <cellStyle name="20% - Accent5 4 2 2" xfId="3451" xr:uid="{00000000-0005-0000-0000-00007A0D0000}"/>
    <cellStyle name="20% - Accent5 4 2 2 2" xfId="3452" xr:uid="{00000000-0005-0000-0000-00007B0D0000}"/>
    <cellStyle name="20% - Accent5 4 2 2 2 2" xfId="3453" xr:uid="{00000000-0005-0000-0000-00007C0D0000}"/>
    <cellStyle name="20% - Accent5 4 2 2 2 2 2" xfId="3454" xr:uid="{00000000-0005-0000-0000-00007D0D0000}"/>
    <cellStyle name="20% - Accent5 4 2 2 2 2 2 2" xfId="3455" xr:uid="{00000000-0005-0000-0000-00007E0D0000}"/>
    <cellStyle name="20% - Accent5 4 2 2 2 2 3" xfId="3456" xr:uid="{00000000-0005-0000-0000-00007F0D0000}"/>
    <cellStyle name="20% - Accent5 4 2 2 2 2 3 2" xfId="3457" xr:uid="{00000000-0005-0000-0000-0000800D0000}"/>
    <cellStyle name="20% - Accent5 4 2 2 2 2 4" xfId="3458" xr:uid="{00000000-0005-0000-0000-0000810D0000}"/>
    <cellStyle name="20% - Accent5 4 2 2 2 2 5" xfId="3459" xr:uid="{00000000-0005-0000-0000-0000820D0000}"/>
    <cellStyle name="20% - Accent5 4 2 2 2 3" xfId="3460" xr:uid="{00000000-0005-0000-0000-0000830D0000}"/>
    <cellStyle name="20% - Accent5 4 2 2 2 3 2" xfId="3461" xr:uid="{00000000-0005-0000-0000-0000840D0000}"/>
    <cellStyle name="20% - Accent5 4 2 2 2 4" xfId="3462" xr:uid="{00000000-0005-0000-0000-0000850D0000}"/>
    <cellStyle name="20% - Accent5 4 2 2 2 4 2" xfId="3463" xr:uid="{00000000-0005-0000-0000-0000860D0000}"/>
    <cellStyle name="20% - Accent5 4 2 2 2 5" xfId="3464" xr:uid="{00000000-0005-0000-0000-0000870D0000}"/>
    <cellStyle name="20% - Accent5 4 2 2 2 6" xfId="3465" xr:uid="{00000000-0005-0000-0000-0000880D0000}"/>
    <cellStyle name="20% - Accent5 4 2 2 3" xfId="3466" xr:uid="{00000000-0005-0000-0000-0000890D0000}"/>
    <cellStyle name="20% - Accent5 4 2 2 3 2" xfId="3467" xr:uid="{00000000-0005-0000-0000-00008A0D0000}"/>
    <cellStyle name="20% - Accent5 4 2 2 3 2 2" xfId="3468" xr:uid="{00000000-0005-0000-0000-00008B0D0000}"/>
    <cellStyle name="20% - Accent5 4 2 2 3 3" xfId="3469" xr:uid="{00000000-0005-0000-0000-00008C0D0000}"/>
    <cellStyle name="20% - Accent5 4 2 2 3 3 2" xfId="3470" xr:uid="{00000000-0005-0000-0000-00008D0D0000}"/>
    <cellStyle name="20% - Accent5 4 2 2 3 4" xfId="3471" xr:uid="{00000000-0005-0000-0000-00008E0D0000}"/>
    <cellStyle name="20% - Accent5 4 2 2 3 5" xfId="3472" xr:uid="{00000000-0005-0000-0000-00008F0D0000}"/>
    <cellStyle name="20% - Accent5 4 2 2 4" xfId="3473" xr:uid="{00000000-0005-0000-0000-0000900D0000}"/>
    <cellStyle name="20% - Accent5 4 2 2 4 2" xfId="3474" xr:uid="{00000000-0005-0000-0000-0000910D0000}"/>
    <cellStyle name="20% - Accent5 4 2 2 5" xfId="3475" xr:uid="{00000000-0005-0000-0000-0000920D0000}"/>
    <cellStyle name="20% - Accent5 4 2 2 5 2" xfId="3476" xr:uid="{00000000-0005-0000-0000-0000930D0000}"/>
    <cellStyle name="20% - Accent5 4 2 2 6" xfId="3477" xr:uid="{00000000-0005-0000-0000-0000940D0000}"/>
    <cellStyle name="20% - Accent5 4 2 2 7" xfId="3478" xr:uid="{00000000-0005-0000-0000-0000950D0000}"/>
    <cellStyle name="20% - Accent5 4 2 3" xfId="3479" xr:uid="{00000000-0005-0000-0000-0000960D0000}"/>
    <cellStyle name="20% - Accent5 4 2 3 2" xfId="3480" xr:uid="{00000000-0005-0000-0000-0000970D0000}"/>
    <cellStyle name="20% - Accent5 4 2 3 2 2" xfId="3481" xr:uid="{00000000-0005-0000-0000-0000980D0000}"/>
    <cellStyle name="20% - Accent5 4 2 3 2 2 2" xfId="3482" xr:uid="{00000000-0005-0000-0000-0000990D0000}"/>
    <cellStyle name="20% - Accent5 4 2 3 2 3" xfId="3483" xr:uid="{00000000-0005-0000-0000-00009A0D0000}"/>
    <cellStyle name="20% - Accent5 4 2 3 2 3 2" xfId="3484" xr:uid="{00000000-0005-0000-0000-00009B0D0000}"/>
    <cellStyle name="20% - Accent5 4 2 3 2 4" xfId="3485" xr:uid="{00000000-0005-0000-0000-00009C0D0000}"/>
    <cellStyle name="20% - Accent5 4 2 3 2 5" xfId="3486" xr:uid="{00000000-0005-0000-0000-00009D0D0000}"/>
    <cellStyle name="20% - Accent5 4 2 3 3" xfId="3487" xr:uid="{00000000-0005-0000-0000-00009E0D0000}"/>
    <cellStyle name="20% - Accent5 4 2 3 3 2" xfId="3488" xr:uid="{00000000-0005-0000-0000-00009F0D0000}"/>
    <cellStyle name="20% - Accent5 4 2 3 4" xfId="3489" xr:uid="{00000000-0005-0000-0000-0000A00D0000}"/>
    <cellStyle name="20% - Accent5 4 2 3 4 2" xfId="3490" xr:uid="{00000000-0005-0000-0000-0000A10D0000}"/>
    <cellStyle name="20% - Accent5 4 2 3 5" xfId="3491" xr:uid="{00000000-0005-0000-0000-0000A20D0000}"/>
    <cellStyle name="20% - Accent5 4 2 3 6" xfId="3492" xr:uid="{00000000-0005-0000-0000-0000A30D0000}"/>
    <cellStyle name="20% - Accent5 4 2 4" xfId="3493" xr:uid="{00000000-0005-0000-0000-0000A40D0000}"/>
    <cellStyle name="20% - Accent5 4 2 4 2" xfId="3494" xr:uid="{00000000-0005-0000-0000-0000A50D0000}"/>
    <cellStyle name="20% - Accent5 4 2 4 2 2" xfId="3495" xr:uid="{00000000-0005-0000-0000-0000A60D0000}"/>
    <cellStyle name="20% - Accent5 4 2 4 3" xfId="3496" xr:uid="{00000000-0005-0000-0000-0000A70D0000}"/>
    <cellStyle name="20% - Accent5 4 2 4 3 2" xfId="3497" xr:uid="{00000000-0005-0000-0000-0000A80D0000}"/>
    <cellStyle name="20% - Accent5 4 2 4 4" xfId="3498" xr:uid="{00000000-0005-0000-0000-0000A90D0000}"/>
    <cellStyle name="20% - Accent5 4 2 4 5" xfId="3499" xr:uid="{00000000-0005-0000-0000-0000AA0D0000}"/>
    <cellStyle name="20% - Accent5 4 2 5" xfId="3500" xr:uid="{00000000-0005-0000-0000-0000AB0D0000}"/>
    <cellStyle name="20% - Accent5 4 2 5 2" xfId="3501" xr:uid="{00000000-0005-0000-0000-0000AC0D0000}"/>
    <cellStyle name="20% - Accent5 4 2 6" xfId="3502" xr:uid="{00000000-0005-0000-0000-0000AD0D0000}"/>
    <cellStyle name="20% - Accent5 4 2 6 2" xfId="3503" xr:uid="{00000000-0005-0000-0000-0000AE0D0000}"/>
    <cellStyle name="20% - Accent5 4 2 7" xfId="3504" xr:uid="{00000000-0005-0000-0000-0000AF0D0000}"/>
    <cellStyle name="20% - Accent5 4 2 8" xfId="3505" xr:uid="{00000000-0005-0000-0000-0000B00D0000}"/>
    <cellStyle name="20% - Accent5 4 2 9" xfId="3506" xr:uid="{00000000-0005-0000-0000-0000B10D0000}"/>
    <cellStyle name="20% - Accent5 4 3" xfId="3507" xr:uid="{00000000-0005-0000-0000-0000B20D0000}"/>
    <cellStyle name="20% - Accent5 4 3 2" xfId="3508" xr:uid="{00000000-0005-0000-0000-0000B30D0000}"/>
    <cellStyle name="20% - Accent5 4 3 2 2" xfId="3509" xr:uid="{00000000-0005-0000-0000-0000B40D0000}"/>
    <cellStyle name="20% - Accent5 4 3 2 2 2" xfId="3510" xr:uid="{00000000-0005-0000-0000-0000B50D0000}"/>
    <cellStyle name="20% - Accent5 4 3 2 2 2 2" xfId="3511" xr:uid="{00000000-0005-0000-0000-0000B60D0000}"/>
    <cellStyle name="20% - Accent5 4 3 2 2 3" xfId="3512" xr:uid="{00000000-0005-0000-0000-0000B70D0000}"/>
    <cellStyle name="20% - Accent5 4 3 2 2 3 2" xfId="3513" xr:uid="{00000000-0005-0000-0000-0000B80D0000}"/>
    <cellStyle name="20% - Accent5 4 3 2 2 4" xfId="3514" xr:uid="{00000000-0005-0000-0000-0000B90D0000}"/>
    <cellStyle name="20% - Accent5 4 3 2 2 5" xfId="3515" xr:uid="{00000000-0005-0000-0000-0000BA0D0000}"/>
    <cellStyle name="20% - Accent5 4 3 2 3" xfId="3516" xr:uid="{00000000-0005-0000-0000-0000BB0D0000}"/>
    <cellStyle name="20% - Accent5 4 3 2 3 2" xfId="3517" xr:uid="{00000000-0005-0000-0000-0000BC0D0000}"/>
    <cellStyle name="20% - Accent5 4 3 2 4" xfId="3518" xr:uid="{00000000-0005-0000-0000-0000BD0D0000}"/>
    <cellStyle name="20% - Accent5 4 3 2 4 2" xfId="3519" xr:uid="{00000000-0005-0000-0000-0000BE0D0000}"/>
    <cellStyle name="20% - Accent5 4 3 2 5" xfId="3520" xr:uid="{00000000-0005-0000-0000-0000BF0D0000}"/>
    <cellStyle name="20% - Accent5 4 3 2 6" xfId="3521" xr:uid="{00000000-0005-0000-0000-0000C00D0000}"/>
    <cellStyle name="20% - Accent5 4 3 3" xfId="3522" xr:uid="{00000000-0005-0000-0000-0000C10D0000}"/>
    <cellStyle name="20% - Accent5 4 3 3 2" xfId="3523" xr:uid="{00000000-0005-0000-0000-0000C20D0000}"/>
    <cellStyle name="20% - Accent5 4 3 3 2 2" xfId="3524" xr:uid="{00000000-0005-0000-0000-0000C30D0000}"/>
    <cellStyle name="20% - Accent5 4 3 3 3" xfId="3525" xr:uid="{00000000-0005-0000-0000-0000C40D0000}"/>
    <cellStyle name="20% - Accent5 4 3 3 3 2" xfId="3526" xr:uid="{00000000-0005-0000-0000-0000C50D0000}"/>
    <cellStyle name="20% - Accent5 4 3 3 4" xfId="3527" xr:uid="{00000000-0005-0000-0000-0000C60D0000}"/>
    <cellStyle name="20% - Accent5 4 3 3 5" xfId="3528" xr:uid="{00000000-0005-0000-0000-0000C70D0000}"/>
    <cellStyle name="20% - Accent5 4 3 4" xfId="3529" xr:uid="{00000000-0005-0000-0000-0000C80D0000}"/>
    <cellStyle name="20% - Accent5 4 3 4 2" xfId="3530" xr:uid="{00000000-0005-0000-0000-0000C90D0000}"/>
    <cellStyle name="20% - Accent5 4 3 5" xfId="3531" xr:uid="{00000000-0005-0000-0000-0000CA0D0000}"/>
    <cellStyle name="20% - Accent5 4 3 5 2" xfId="3532" xr:uid="{00000000-0005-0000-0000-0000CB0D0000}"/>
    <cellStyle name="20% - Accent5 4 3 6" xfId="3533" xr:uid="{00000000-0005-0000-0000-0000CC0D0000}"/>
    <cellStyle name="20% - Accent5 4 3 7" xfId="3534" xr:uid="{00000000-0005-0000-0000-0000CD0D0000}"/>
    <cellStyle name="20% - Accent5 4 3 8" xfId="3535" xr:uid="{00000000-0005-0000-0000-0000CE0D0000}"/>
    <cellStyle name="20% - Accent5 4 4" xfId="3536" xr:uid="{00000000-0005-0000-0000-0000CF0D0000}"/>
    <cellStyle name="20% - Accent5 4 4 2" xfId="3537" xr:uid="{00000000-0005-0000-0000-0000D00D0000}"/>
    <cellStyle name="20% - Accent5 4 4 2 2" xfId="3538" xr:uid="{00000000-0005-0000-0000-0000D10D0000}"/>
    <cellStyle name="20% - Accent5 4 4 2 2 2" xfId="3539" xr:uid="{00000000-0005-0000-0000-0000D20D0000}"/>
    <cellStyle name="20% - Accent5 4 4 2 3" xfId="3540" xr:uid="{00000000-0005-0000-0000-0000D30D0000}"/>
    <cellStyle name="20% - Accent5 4 4 2 3 2" xfId="3541" xr:uid="{00000000-0005-0000-0000-0000D40D0000}"/>
    <cellStyle name="20% - Accent5 4 4 2 4" xfId="3542" xr:uid="{00000000-0005-0000-0000-0000D50D0000}"/>
    <cellStyle name="20% - Accent5 4 4 2 5" xfId="3543" xr:uid="{00000000-0005-0000-0000-0000D60D0000}"/>
    <cellStyle name="20% - Accent5 4 4 3" xfId="3544" xr:uid="{00000000-0005-0000-0000-0000D70D0000}"/>
    <cellStyle name="20% - Accent5 4 4 3 2" xfId="3545" xr:uid="{00000000-0005-0000-0000-0000D80D0000}"/>
    <cellStyle name="20% - Accent5 4 4 4" xfId="3546" xr:uid="{00000000-0005-0000-0000-0000D90D0000}"/>
    <cellStyle name="20% - Accent5 4 4 4 2" xfId="3547" xr:uid="{00000000-0005-0000-0000-0000DA0D0000}"/>
    <cellStyle name="20% - Accent5 4 4 5" xfId="3548" xr:uid="{00000000-0005-0000-0000-0000DB0D0000}"/>
    <cellStyle name="20% - Accent5 4 4 6" xfId="3549" xr:uid="{00000000-0005-0000-0000-0000DC0D0000}"/>
    <cellStyle name="20% - Accent5 4 4 7" xfId="3550" xr:uid="{00000000-0005-0000-0000-0000DD0D0000}"/>
    <cellStyle name="20% - Accent5 4 5" xfId="3551" xr:uid="{00000000-0005-0000-0000-0000DE0D0000}"/>
    <cellStyle name="20% - Accent5 4 5 2" xfId="3552" xr:uid="{00000000-0005-0000-0000-0000DF0D0000}"/>
    <cellStyle name="20% - Accent5 4 5 2 2" xfId="3553" xr:uid="{00000000-0005-0000-0000-0000E00D0000}"/>
    <cellStyle name="20% - Accent5 4 5 2 2 2" xfId="3554" xr:uid="{00000000-0005-0000-0000-0000E10D0000}"/>
    <cellStyle name="20% - Accent5 4 5 2 3" xfId="3555" xr:uid="{00000000-0005-0000-0000-0000E20D0000}"/>
    <cellStyle name="20% - Accent5 4 5 3" xfId="3556" xr:uid="{00000000-0005-0000-0000-0000E30D0000}"/>
    <cellStyle name="20% - Accent5 4 5 3 2" xfId="3557" xr:uid="{00000000-0005-0000-0000-0000E40D0000}"/>
    <cellStyle name="20% - Accent5 4 5 4" xfId="3558" xr:uid="{00000000-0005-0000-0000-0000E50D0000}"/>
    <cellStyle name="20% - Accent5 4 5 4 2" xfId="3559" xr:uid="{00000000-0005-0000-0000-0000E60D0000}"/>
    <cellStyle name="20% - Accent5 4 5 5" xfId="3560" xr:uid="{00000000-0005-0000-0000-0000E70D0000}"/>
    <cellStyle name="20% - Accent5 4 5 6" xfId="3561" xr:uid="{00000000-0005-0000-0000-0000E80D0000}"/>
    <cellStyle name="20% - Accent5 4 6" xfId="3562" xr:uid="{00000000-0005-0000-0000-0000E90D0000}"/>
    <cellStyle name="20% - Accent5 4 6 2" xfId="3563" xr:uid="{00000000-0005-0000-0000-0000EA0D0000}"/>
    <cellStyle name="20% - Accent5 4 6 2 2" xfId="3564" xr:uid="{00000000-0005-0000-0000-0000EB0D0000}"/>
    <cellStyle name="20% - Accent5 4 6 3" xfId="3565" xr:uid="{00000000-0005-0000-0000-0000EC0D0000}"/>
    <cellStyle name="20% - Accent5 4 7" xfId="3566" xr:uid="{00000000-0005-0000-0000-0000ED0D0000}"/>
    <cellStyle name="20% - Accent5 4 7 2" xfId="3567" xr:uid="{00000000-0005-0000-0000-0000EE0D0000}"/>
    <cellStyle name="20% - Accent5 4 8" xfId="3568" xr:uid="{00000000-0005-0000-0000-0000EF0D0000}"/>
    <cellStyle name="20% - Accent5 4 8 2" xfId="3569" xr:uid="{00000000-0005-0000-0000-0000F00D0000}"/>
    <cellStyle name="20% - Accent5 4 9" xfId="3570" xr:uid="{00000000-0005-0000-0000-0000F10D0000}"/>
    <cellStyle name="20% - Accent5 5" xfId="3571" xr:uid="{00000000-0005-0000-0000-0000F20D0000}"/>
    <cellStyle name="20% - Accent5 5 2" xfId="3572" xr:uid="{00000000-0005-0000-0000-0000F30D0000}"/>
    <cellStyle name="20% - Accent5 5 2 2" xfId="3573" xr:uid="{00000000-0005-0000-0000-0000F40D0000}"/>
    <cellStyle name="20% - Accent5 5 2 2 2" xfId="3574" xr:uid="{00000000-0005-0000-0000-0000F50D0000}"/>
    <cellStyle name="20% - Accent5 5 2 2 2 2" xfId="3575" xr:uid="{00000000-0005-0000-0000-0000F60D0000}"/>
    <cellStyle name="20% - Accent5 5 2 2 2 2 2" xfId="3576" xr:uid="{00000000-0005-0000-0000-0000F70D0000}"/>
    <cellStyle name="20% - Accent5 5 2 2 2 2 2 2" xfId="3577" xr:uid="{00000000-0005-0000-0000-0000F80D0000}"/>
    <cellStyle name="20% - Accent5 5 2 2 2 2 3" xfId="3578" xr:uid="{00000000-0005-0000-0000-0000F90D0000}"/>
    <cellStyle name="20% - Accent5 5 2 2 2 2 3 2" xfId="3579" xr:uid="{00000000-0005-0000-0000-0000FA0D0000}"/>
    <cellStyle name="20% - Accent5 5 2 2 2 2 4" xfId="3580" xr:uid="{00000000-0005-0000-0000-0000FB0D0000}"/>
    <cellStyle name="20% - Accent5 5 2 2 2 2 5" xfId="3581" xr:uid="{00000000-0005-0000-0000-0000FC0D0000}"/>
    <cellStyle name="20% - Accent5 5 2 2 2 3" xfId="3582" xr:uid="{00000000-0005-0000-0000-0000FD0D0000}"/>
    <cellStyle name="20% - Accent5 5 2 2 2 3 2" xfId="3583" xr:uid="{00000000-0005-0000-0000-0000FE0D0000}"/>
    <cellStyle name="20% - Accent5 5 2 2 2 4" xfId="3584" xr:uid="{00000000-0005-0000-0000-0000FF0D0000}"/>
    <cellStyle name="20% - Accent5 5 2 2 2 4 2" xfId="3585" xr:uid="{00000000-0005-0000-0000-0000000E0000}"/>
    <cellStyle name="20% - Accent5 5 2 2 2 5" xfId="3586" xr:uid="{00000000-0005-0000-0000-0000010E0000}"/>
    <cellStyle name="20% - Accent5 5 2 2 2 6" xfId="3587" xr:uid="{00000000-0005-0000-0000-0000020E0000}"/>
    <cellStyle name="20% - Accent5 5 2 2 3" xfId="3588" xr:uid="{00000000-0005-0000-0000-0000030E0000}"/>
    <cellStyle name="20% - Accent5 5 2 2 3 2" xfId="3589" xr:uid="{00000000-0005-0000-0000-0000040E0000}"/>
    <cellStyle name="20% - Accent5 5 2 2 3 2 2" xfId="3590" xr:uid="{00000000-0005-0000-0000-0000050E0000}"/>
    <cellStyle name="20% - Accent5 5 2 2 3 3" xfId="3591" xr:uid="{00000000-0005-0000-0000-0000060E0000}"/>
    <cellStyle name="20% - Accent5 5 2 2 3 3 2" xfId="3592" xr:uid="{00000000-0005-0000-0000-0000070E0000}"/>
    <cellStyle name="20% - Accent5 5 2 2 3 4" xfId="3593" xr:uid="{00000000-0005-0000-0000-0000080E0000}"/>
    <cellStyle name="20% - Accent5 5 2 2 3 5" xfId="3594" xr:uid="{00000000-0005-0000-0000-0000090E0000}"/>
    <cellStyle name="20% - Accent5 5 2 2 4" xfId="3595" xr:uid="{00000000-0005-0000-0000-00000A0E0000}"/>
    <cellStyle name="20% - Accent5 5 2 2 4 2" xfId="3596" xr:uid="{00000000-0005-0000-0000-00000B0E0000}"/>
    <cellStyle name="20% - Accent5 5 2 2 5" xfId="3597" xr:uid="{00000000-0005-0000-0000-00000C0E0000}"/>
    <cellStyle name="20% - Accent5 5 2 2 5 2" xfId="3598" xr:uid="{00000000-0005-0000-0000-00000D0E0000}"/>
    <cellStyle name="20% - Accent5 5 2 2 6" xfId="3599" xr:uid="{00000000-0005-0000-0000-00000E0E0000}"/>
    <cellStyle name="20% - Accent5 5 2 2 7" xfId="3600" xr:uid="{00000000-0005-0000-0000-00000F0E0000}"/>
    <cellStyle name="20% - Accent5 5 2 3" xfId="3601" xr:uid="{00000000-0005-0000-0000-0000100E0000}"/>
    <cellStyle name="20% - Accent5 5 2 3 2" xfId="3602" xr:uid="{00000000-0005-0000-0000-0000110E0000}"/>
    <cellStyle name="20% - Accent5 5 2 3 2 2" xfId="3603" xr:uid="{00000000-0005-0000-0000-0000120E0000}"/>
    <cellStyle name="20% - Accent5 5 2 3 2 2 2" xfId="3604" xr:uid="{00000000-0005-0000-0000-0000130E0000}"/>
    <cellStyle name="20% - Accent5 5 2 3 2 3" xfId="3605" xr:uid="{00000000-0005-0000-0000-0000140E0000}"/>
    <cellStyle name="20% - Accent5 5 2 3 2 3 2" xfId="3606" xr:uid="{00000000-0005-0000-0000-0000150E0000}"/>
    <cellStyle name="20% - Accent5 5 2 3 2 4" xfId="3607" xr:uid="{00000000-0005-0000-0000-0000160E0000}"/>
    <cellStyle name="20% - Accent5 5 2 3 2 5" xfId="3608" xr:uid="{00000000-0005-0000-0000-0000170E0000}"/>
    <cellStyle name="20% - Accent5 5 2 3 3" xfId="3609" xr:uid="{00000000-0005-0000-0000-0000180E0000}"/>
    <cellStyle name="20% - Accent5 5 2 3 3 2" xfId="3610" xr:uid="{00000000-0005-0000-0000-0000190E0000}"/>
    <cellStyle name="20% - Accent5 5 2 3 4" xfId="3611" xr:uid="{00000000-0005-0000-0000-00001A0E0000}"/>
    <cellStyle name="20% - Accent5 5 2 3 4 2" xfId="3612" xr:uid="{00000000-0005-0000-0000-00001B0E0000}"/>
    <cellStyle name="20% - Accent5 5 2 3 5" xfId="3613" xr:uid="{00000000-0005-0000-0000-00001C0E0000}"/>
    <cellStyle name="20% - Accent5 5 2 3 6" xfId="3614" xr:uid="{00000000-0005-0000-0000-00001D0E0000}"/>
    <cellStyle name="20% - Accent5 5 2 4" xfId="3615" xr:uid="{00000000-0005-0000-0000-00001E0E0000}"/>
    <cellStyle name="20% - Accent5 5 2 4 2" xfId="3616" xr:uid="{00000000-0005-0000-0000-00001F0E0000}"/>
    <cellStyle name="20% - Accent5 5 2 4 2 2" xfId="3617" xr:uid="{00000000-0005-0000-0000-0000200E0000}"/>
    <cellStyle name="20% - Accent5 5 2 4 3" xfId="3618" xr:uid="{00000000-0005-0000-0000-0000210E0000}"/>
    <cellStyle name="20% - Accent5 5 2 4 3 2" xfId="3619" xr:uid="{00000000-0005-0000-0000-0000220E0000}"/>
    <cellStyle name="20% - Accent5 5 2 4 4" xfId="3620" xr:uid="{00000000-0005-0000-0000-0000230E0000}"/>
    <cellStyle name="20% - Accent5 5 2 4 5" xfId="3621" xr:uid="{00000000-0005-0000-0000-0000240E0000}"/>
    <cellStyle name="20% - Accent5 5 2 5" xfId="3622" xr:uid="{00000000-0005-0000-0000-0000250E0000}"/>
    <cellStyle name="20% - Accent5 5 2 5 2" xfId="3623" xr:uid="{00000000-0005-0000-0000-0000260E0000}"/>
    <cellStyle name="20% - Accent5 5 2 6" xfId="3624" xr:uid="{00000000-0005-0000-0000-0000270E0000}"/>
    <cellStyle name="20% - Accent5 5 2 6 2" xfId="3625" xr:uid="{00000000-0005-0000-0000-0000280E0000}"/>
    <cellStyle name="20% - Accent5 5 2 7" xfId="3626" xr:uid="{00000000-0005-0000-0000-0000290E0000}"/>
    <cellStyle name="20% - Accent5 5 2 8" xfId="3627" xr:uid="{00000000-0005-0000-0000-00002A0E0000}"/>
    <cellStyle name="20% - Accent5 5 3" xfId="3628" xr:uid="{00000000-0005-0000-0000-00002B0E0000}"/>
    <cellStyle name="20% - Accent5 5 3 2" xfId="3629" xr:uid="{00000000-0005-0000-0000-00002C0E0000}"/>
    <cellStyle name="20% - Accent5 5 3 2 2" xfId="3630" xr:uid="{00000000-0005-0000-0000-00002D0E0000}"/>
    <cellStyle name="20% - Accent5 5 3 2 2 2" xfId="3631" xr:uid="{00000000-0005-0000-0000-00002E0E0000}"/>
    <cellStyle name="20% - Accent5 5 3 2 2 2 2" xfId="3632" xr:uid="{00000000-0005-0000-0000-00002F0E0000}"/>
    <cellStyle name="20% - Accent5 5 3 2 2 3" xfId="3633" xr:uid="{00000000-0005-0000-0000-0000300E0000}"/>
    <cellStyle name="20% - Accent5 5 3 2 2 3 2" xfId="3634" xr:uid="{00000000-0005-0000-0000-0000310E0000}"/>
    <cellStyle name="20% - Accent5 5 3 2 2 4" xfId="3635" xr:uid="{00000000-0005-0000-0000-0000320E0000}"/>
    <cellStyle name="20% - Accent5 5 3 2 2 5" xfId="3636" xr:uid="{00000000-0005-0000-0000-0000330E0000}"/>
    <cellStyle name="20% - Accent5 5 3 2 3" xfId="3637" xr:uid="{00000000-0005-0000-0000-0000340E0000}"/>
    <cellStyle name="20% - Accent5 5 3 2 3 2" xfId="3638" xr:uid="{00000000-0005-0000-0000-0000350E0000}"/>
    <cellStyle name="20% - Accent5 5 3 2 4" xfId="3639" xr:uid="{00000000-0005-0000-0000-0000360E0000}"/>
    <cellStyle name="20% - Accent5 5 3 2 4 2" xfId="3640" xr:uid="{00000000-0005-0000-0000-0000370E0000}"/>
    <cellStyle name="20% - Accent5 5 3 2 5" xfId="3641" xr:uid="{00000000-0005-0000-0000-0000380E0000}"/>
    <cellStyle name="20% - Accent5 5 3 2 6" xfId="3642" xr:uid="{00000000-0005-0000-0000-0000390E0000}"/>
    <cellStyle name="20% - Accent5 5 3 3" xfId="3643" xr:uid="{00000000-0005-0000-0000-00003A0E0000}"/>
    <cellStyle name="20% - Accent5 5 3 3 2" xfId="3644" xr:uid="{00000000-0005-0000-0000-00003B0E0000}"/>
    <cellStyle name="20% - Accent5 5 3 3 2 2" xfId="3645" xr:uid="{00000000-0005-0000-0000-00003C0E0000}"/>
    <cellStyle name="20% - Accent5 5 3 3 3" xfId="3646" xr:uid="{00000000-0005-0000-0000-00003D0E0000}"/>
    <cellStyle name="20% - Accent5 5 3 3 3 2" xfId="3647" xr:uid="{00000000-0005-0000-0000-00003E0E0000}"/>
    <cellStyle name="20% - Accent5 5 3 3 4" xfId="3648" xr:uid="{00000000-0005-0000-0000-00003F0E0000}"/>
    <cellStyle name="20% - Accent5 5 3 3 5" xfId="3649" xr:uid="{00000000-0005-0000-0000-0000400E0000}"/>
    <cellStyle name="20% - Accent5 5 3 4" xfId="3650" xr:uid="{00000000-0005-0000-0000-0000410E0000}"/>
    <cellStyle name="20% - Accent5 5 3 4 2" xfId="3651" xr:uid="{00000000-0005-0000-0000-0000420E0000}"/>
    <cellStyle name="20% - Accent5 5 3 5" xfId="3652" xr:uid="{00000000-0005-0000-0000-0000430E0000}"/>
    <cellStyle name="20% - Accent5 5 3 5 2" xfId="3653" xr:uid="{00000000-0005-0000-0000-0000440E0000}"/>
    <cellStyle name="20% - Accent5 5 3 6" xfId="3654" xr:uid="{00000000-0005-0000-0000-0000450E0000}"/>
    <cellStyle name="20% - Accent5 5 3 7" xfId="3655" xr:uid="{00000000-0005-0000-0000-0000460E0000}"/>
    <cellStyle name="20% - Accent5 5 4" xfId="3656" xr:uid="{00000000-0005-0000-0000-0000470E0000}"/>
    <cellStyle name="20% - Accent5 5 4 2" xfId="3657" xr:uid="{00000000-0005-0000-0000-0000480E0000}"/>
    <cellStyle name="20% - Accent5 5 4 2 2" xfId="3658" xr:uid="{00000000-0005-0000-0000-0000490E0000}"/>
    <cellStyle name="20% - Accent5 5 4 2 2 2" xfId="3659" xr:uid="{00000000-0005-0000-0000-00004A0E0000}"/>
    <cellStyle name="20% - Accent5 5 4 2 3" xfId="3660" xr:uid="{00000000-0005-0000-0000-00004B0E0000}"/>
    <cellStyle name="20% - Accent5 5 4 2 3 2" xfId="3661" xr:uid="{00000000-0005-0000-0000-00004C0E0000}"/>
    <cellStyle name="20% - Accent5 5 4 2 4" xfId="3662" xr:uid="{00000000-0005-0000-0000-00004D0E0000}"/>
    <cellStyle name="20% - Accent5 5 4 2 5" xfId="3663" xr:uid="{00000000-0005-0000-0000-00004E0E0000}"/>
    <cellStyle name="20% - Accent5 5 4 3" xfId="3664" xr:uid="{00000000-0005-0000-0000-00004F0E0000}"/>
    <cellStyle name="20% - Accent5 5 4 3 2" xfId="3665" xr:uid="{00000000-0005-0000-0000-0000500E0000}"/>
    <cellStyle name="20% - Accent5 5 4 4" xfId="3666" xr:uid="{00000000-0005-0000-0000-0000510E0000}"/>
    <cellStyle name="20% - Accent5 5 4 4 2" xfId="3667" xr:uid="{00000000-0005-0000-0000-0000520E0000}"/>
    <cellStyle name="20% - Accent5 5 4 5" xfId="3668" xr:uid="{00000000-0005-0000-0000-0000530E0000}"/>
    <cellStyle name="20% - Accent5 5 4 6" xfId="3669" xr:uid="{00000000-0005-0000-0000-0000540E0000}"/>
    <cellStyle name="20% - Accent5 5 5" xfId="3670" xr:uid="{00000000-0005-0000-0000-0000550E0000}"/>
    <cellStyle name="20% - Accent5 5 5 2" xfId="3671" xr:uid="{00000000-0005-0000-0000-0000560E0000}"/>
    <cellStyle name="20% - Accent5 5 5 2 2" xfId="3672" xr:uid="{00000000-0005-0000-0000-0000570E0000}"/>
    <cellStyle name="20% - Accent5 5 5 2 2 2" xfId="3673" xr:uid="{00000000-0005-0000-0000-0000580E0000}"/>
    <cellStyle name="20% - Accent5 5 5 2 3" xfId="3674" xr:uid="{00000000-0005-0000-0000-0000590E0000}"/>
    <cellStyle name="20% - Accent5 5 5 3" xfId="3675" xr:uid="{00000000-0005-0000-0000-00005A0E0000}"/>
    <cellStyle name="20% - Accent5 5 5 3 2" xfId="3676" xr:uid="{00000000-0005-0000-0000-00005B0E0000}"/>
    <cellStyle name="20% - Accent5 5 5 4" xfId="3677" xr:uid="{00000000-0005-0000-0000-00005C0E0000}"/>
    <cellStyle name="20% - Accent5 5 5 4 2" xfId="3678" xr:uid="{00000000-0005-0000-0000-00005D0E0000}"/>
    <cellStyle name="20% - Accent5 5 5 5" xfId="3679" xr:uid="{00000000-0005-0000-0000-00005E0E0000}"/>
    <cellStyle name="20% - Accent5 5 5 6" xfId="3680" xr:uid="{00000000-0005-0000-0000-00005F0E0000}"/>
    <cellStyle name="20% - Accent5 5 6" xfId="3681" xr:uid="{00000000-0005-0000-0000-0000600E0000}"/>
    <cellStyle name="20% - Accent5 5 6 2" xfId="3682" xr:uid="{00000000-0005-0000-0000-0000610E0000}"/>
    <cellStyle name="20% - Accent5 5 7" xfId="3683" xr:uid="{00000000-0005-0000-0000-0000620E0000}"/>
    <cellStyle name="20% - Accent5 5 8" xfId="3684" xr:uid="{00000000-0005-0000-0000-0000630E0000}"/>
    <cellStyle name="20% - Accent5 6" xfId="3685" xr:uid="{00000000-0005-0000-0000-0000640E0000}"/>
    <cellStyle name="20% - Accent5 6 2" xfId="3686" xr:uid="{00000000-0005-0000-0000-0000650E0000}"/>
    <cellStyle name="20% - Accent5 6 2 2" xfId="3687" xr:uid="{00000000-0005-0000-0000-0000660E0000}"/>
    <cellStyle name="20% - Accent5 6 2 2 2" xfId="3688" xr:uid="{00000000-0005-0000-0000-0000670E0000}"/>
    <cellStyle name="20% - Accent5 6 2 2 2 2" xfId="3689" xr:uid="{00000000-0005-0000-0000-0000680E0000}"/>
    <cellStyle name="20% - Accent5 6 2 2 2 2 2" xfId="3690" xr:uid="{00000000-0005-0000-0000-0000690E0000}"/>
    <cellStyle name="20% - Accent5 6 2 2 2 3" xfId="3691" xr:uid="{00000000-0005-0000-0000-00006A0E0000}"/>
    <cellStyle name="20% - Accent5 6 2 2 2 3 2" xfId="3692" xr:uid="{00000000-0005-0000-0000-00006B0E0000}"/>
    <cellStyle name="20% - Accent5 6 2 2 2 4" xfId="3693" xr:uid="{00000000-0005-0000-0000-00006C0E0000}"/>
    <cellStyle name="20% - Accent5 6 2 2 2 5" xfId="3694" xr:uid="{00000000-0005-0000-0000-00006D0E0000}"/>
    <cellStyle name="20% - Accent5 6 2 2 3" xfId="3695" xr:uid="{00000000-0005-0000-0000-00006E0E0000}"/>
    <cellStyle name="20% - Accent5 6 2 2 3 2" xfId="3696" xr:uid="{00000000-0005-0000-0000-00006F0E0000}"/>
    <cellStyle name="20% - Accent5 6 2 2 4" xfId="3697" xr:uid="{00000000-0005-0000-0000-0000700E0000}"/>
    <cellStyle name="20% - Accent5 6 2 2 4 2" xfId="3698" xr:uid="{00000000-0005-0000-0000-0000710E0000}"/>
    <cellStyle name="20% - Accent5 6 2 2 5" xfId="3699" xr:uid="{00000000-0005-0000-0000-0000720E0000}"/>
    <cellStyle name="20% - Accent5 6 2 2 6" xfId="3700" xr:uid="{00000000-0005-0000-0000-0000730E0000}"/>
    <cellStyle name="20% - Accent5 6 2 3" xfId="3701" xr:uid="{00000000-0005-0000-0000-0000740E0000}"/>
    <cellStyle name="20% - Accent5 6 2 3 2" xfId="3702" xr:uid="{00000000-0005-0000-0000-0000750E0000}"/>
    <cellStyle name="20% - Accent5 6 2 3 2 2" xfId="3703" xr:uid="{00000000-0005-0000-0000-0000760E0000}"/>
    <cellStyle name="20% - Accent5 6 2 3 3" xfId="3704" xr:uid="{00000000-0005-0000-0000-0000770E0000}"/>
    <cellStyle name="20% - Accent5 6 2 3 3 2" xfId="3705" xr:uid="{00000000-0005-0000-0000-0000780E0000}"/>
    <cellStyle name="20% - Accent5 6 2 3 4" xfId="3706" xr:uid="{00000000-0005-0000-0000-0000790E0000}"/>
    <cellStyle name="20% - Accent5 6 2 3 5" xfId="3707" xr:uid="{00000000-0005-0000-0000-00007A0E0000}"/>
    <cellStyle name="20% - Accent5 6 2 4" xfId="3708" xr:uid="{00000000-0005-0000-0000-00007B0E0000}"/>
    <cellStyle name="20% - Accent5 6 2 4 2" xfId="3709" xr:uid="{00000000-0005-0000-0000-00007C0E0000}"/>
    <cellStyle name="20% - Accent5 6 2 5" xfId="3710" xr:uid="{00000000-0005-0000-0000-00007D0E0000}"/>
    <cellStyle name="20% - Accent5 6 2 5 2" xfId="3711" xr:uid="{00000000-0005-0000-0000-00007E0E0000}"/>
    <cellStyle name="20% - Accent5 6 2 6" xfId="3712" xr:uid="{00000000-0005-0000-0000-00007F0E0000}"/>
    <cellStyle name="20% - Accent5 6 2 7" xfId="3713" xr:uid="{00000000-0005-0000-0000-0000800E0000}"/>
    <cellStyle name="20% - Accent5 6 3" xfId="3714" xr:uid="{00000000-0005-0000-0000-0000810E0000}"/>
    <cellStyle name="20% - Accent5 6 3 2" xfId="3715" xr:uid="{00000000-0005-0000-0000-0000820E0000}"/>
    <cellStyle name="20% - Accent5 6 3 2 2" xfId="3716" xr:uid="{00000000-0005-0000-0000-0000830E0000}"/>
    <cellStyle name="20% - Accent5 6 3 2 2 2" xfId="3717" xr:uid="{00000000-0005-0000-0000-0000840E0000}"/>
    <cellStyle name="20% - Accent5 6 3 2 3" xfId="3718" xr:uid="{00000000-0005-0000-0000-0000850E0000}"/>
    <cellStyle name="20% - Accent5 6 3 2 3 2" xfId="3719" xr:uid="{00000000-0005-0000-0000-0000860E0000}"/>
    <cellStyle name="20% - Accent5 6 3 2 4" xfId="3720" xr:uid="{00000000-0005-0000-0000-0000870E0000}"/>
    <cellStyle name="20% - Accent5 6 3 2 5" xfId="3721" xr:uid="{00000000-0005-0000-0000-0000880E0000}"/>
    <cellStyle name="20% - Accent5 6 3 3" xfId="3722" xr:uid="{00000000-0005-0000-0000-0000890E0000}"/>
    <cellStyle name="20% - Accent5 6 3 3 2" xfId="3723" xr:uid="{00000000-0005-0000-0000-00008A0E0000}"/>
    <cellStyle name="20% - Accent5 6 3 4" xfId="3724" xr:uid="{00000000-0005-0000-0000-00008B0E0000}"/>
    <cellStyle name="20% - Accent5 6 3 4 2" xfId="3725" xr:uid="{00000000-0005-0000-0000-00008C0E0000}"/>
    <cellStyle name="20% - Accent5 6 3 5" xfId="3726" xr:uid="{00000000-0005-0000-0000-00008D0E0000}"/>
    <cellStyle name="20% - Accent5 6 3 6" xfId="3727" xr:uid="{00000000-0005-0000-0000-00008E0E0000}"/>
    <cellStyle name="20% - Accent5 6 4" xfId="3728" xr:uid="{00000000-0005-0000-0000-00008F0E0000}"/>
    <cellStyle name="20% - Accent5 6 4 2" xfId="3729" xr:uid="{00000000-0005-0000-0000-0000900E0000}"/>
    <cellStyle name="20% - Accent5 6 4 2 2" xfId="3730" xr:uid="{00000000-0005-0000-0000-0000910E0000}"/>
    <cellStyle name="20% - Accent5 6 4 3" xfId="3731" xr:uid="{00000000-0005-0000-0000-0000920E0000}"/>
    <cellStyle name="20% - Accent5 6 4 3 2" xfId="3732" xr:uid="{00000000-0005-0000-0000-0000930E0000}"/>
    <cellStyle name="20% - Accent5 6 4 4" xfId="3733" xr:uid="{00000000-0005-0000-0000-0000940E0000}"/>
    <cellStyle name="20% - Accent5 6 4 5" xfId="3734" xr:uid="{00000000-0005-0000-0000-0000950E0000}"/>
    <cellStyle name="20% - Accent5 6 5" xfId="3735" xr:uid="{00000000-0005-0000-0000-0000960E0000}"/>
    <cellStyle name="20% - Accent5 6 5 2" xfId="3736" xr:uid="{00000000-0005-0000-0000-0000970E0000}"/>
    <cellStyle name="20% - Accent5 6 6" xfId="3737" xr:uid="{00000000-0005-0000-0000-0000980E0000}"/>
    <cellStyle name="20% - Accent5 6 6 2" xfId="3738" xr:uid="{00000000-0005-0000-0000-0000990E0000}"/>
    <cellStyle name="20% - Accent5 6 7" xfId="3739" xr:uid="{00000000-0005-0000-0000-00009A0E0000}"/>
    <cellStyle name="20% - Accent5 6 8" xfId="3740" xr:uid="{00000000-0005-0000-0000-00009B0E0000}"/>
    <cellStyle name="20% - Accent5 6 9" xfId="3741" xr:uid="{00000000-0005-0000-0000-00009C0E0000}"/>
    <cellStyle name="20% - Accent5 7" xfId="3742" xr:uid="{00000000-0005-0000-0000-00009D0E0000}"/>
    <cellStyle name="20% - Accent5 7 2" xfId="3743" xr:uid="{00000000-0005-0000-0000-00009E0E0000}"/>
    <cellStyle name="20% - Accent5 7 2 2" xfId="3744" xr:uid="{00000000-0005-0000-0000-00009F0E0000}"/>
    <cellStyle name="20% - Accent5 7 2 2 2" xfId="3745" xr:uid="{00000000-0005-0000-0000-0000A00E0000}"/>
    <cellStyle name="20% - Accent5 7 2 2 2 2" xfId="3746" xr:uid="{00000000-0005-0000-0000-0000A10E0000}"/>
    <cellStyle name="20% - Accent5 7 2 2 2 2 2" xfId="3747" xr:uid="{00000000-0005-0000-0000-0000A20E0000}"/>
    <cellStyle name="20% - Accent5 7 2 2 2 3" xfId="3748" xr:uid="{00000000-0005-0000-0000-0000A30E0000}"/>
    <cellStyle name="20% - Accent5 7 2 2 2 3 2" xfId="3749" xr:uid="{00000000-0005-0000-0000-0000A40E0000}"/>
    <cellStyle name="20% - Accent5 7 2 2 2 4" xfId="3750" xr:uid="{00000000-0005-0000-0000-0000A50E0000}"/>
    <cellStyle name="20% - Accent5 7 2 2 2 5" xfId="3751" xr:uid="{00000000-0005-0000-0000-0000A60E0000}"/>
    <cellStyle name="20% - Accent5 7 2 2 3" xfId="3752" xr:uid="{00000000-0005-0000-0000-0000A70E0000}"/>
    <cellStyle name="20% - Accent5 7 2 2 3 2" xfId="3753" xr:uid="{00000000-0005-0000-0000-0000A80E0000}"/>
    <cellStyle name="20% - Accent5 7 2 2 4" xfId="3754" xr:uid="{00000000-0005-0000-0000-0000A90E0000}"/>
    <cellStyle name="20% - Accent5 7 2 2 4 2" xfId="3755" xr:uid="{00000000-0005-0000-0000-0000AA0E0000}"/>
    <cellStyle name="20% - Accent5 7 2 2 5" xfId="3756" xr:uid="{00000000-0005-0000-0000-0000AB0E0000}"/>
    <cellStyle name="20% - Accent5 7 2 2 6" xfId="3757" xr:uid="{00000000-0005-0000-0000-0000AC0E0000}"/>
    <cellStyle name="20% - Accent5 7 2 3" xfId="3758" xr:uid="{00000000-0005-0000-0000-0000AD0E0000}"/>
    <cellStyle name="20% - Accent5 7 2 3 2" xfId="3759" xr:uid="{00000000-0005-0000-0000-0000AE0E0000}"/>
    <cellStyle name="20% - Accent5 7 2 3 2 2" xfId="3760" xr:uid="{00000000-0005-0000-0000-0000AF0E0000}"/>
    <cellStyle name="20% - Accent5 7 2 3 3" xfId="3761" xr:uid="{00000000-0005-0000-0000-0000B00E0000}"/>
    <cellStyle name="20% - Accent5 7 2 3 3 2" xfId="3762" xr:uid="{00000000-0005-0000-0000-0000B10E0000}"/>
    <cellStyle name="20% - Accent5 7 2 3 4" xfId="3763" xr:uid="{00000000-0005-0000-0000-0000B20E0000}"/>
    <cellStyle name="20% - Accent5 7 2 3 5" xfId="3764" xr:uid="{00000000-0005-0000-0000-0000B30E0000}"/>
    <cellStyle name="20% - Accent5 7 2 4" xfId="3765" xr:uid="{00000000-0005-0000-0000-0000B40E0000}"/>
    <cellStyle name="20% - Accent5 7 2 4 2" xfId="3766" xr:uid="{00000000-0005-0000-0000-0000B50E0000}"/>
    <cellStyle name="20% - Accent5 7 2 5" xfId="3767" xr:uid="{00000000-0005-0000-0000-0000B60E0000}"/>
    <cellStyle name="20% - Accent5 7 2 5 2" xfId="3768" xr:uid="{00000000-0005-0000-0000-0000B70E0000}"/>
    <cellStyle name="20% - Accent5 7 2 6" xfId="3769" xr:uid="{00000000-0005-0000-0000-0000B80E0000}"/>
    <cellStyle name="20% - Accent5 7 2 7" xfId="3770" xr:uid="{00000000-0005-0000-0000-0000B90E0000}"/>
    <cellStyle name="20% - Accent5 7 3" xfId="3771" xr:uid="{00000000-0005-0000-0000-0000BA0E0000}"/>
    <cellStyle name="20% - Accent5 7 3 2" xfId="3772" xr:uid="{00000000-0005-0000-0000-0000BB0E0000}"/>
    <cellStyle name="20% - Accent5 7 3 2 2" xfId="3773" xr:uid="{00000000-0005-0000-0000-0000BC0E0000}"/>
    <cellStyle name="20% - Accent5 7 3 2 2 2" xfId="3774" xr:uid="{00000000-0005-0000-0000-0000BD0E0000}"/>
    <cellStyle name="20% - Accent5 7 3 2 3" xfId="3775" xr:uid="{00000000-0005-0000-0000-0000BE0E0000}"/>
    <cellStyle name="20% - Accent5 7 3 2 3 2" xfId="3776" xr:uid="{00000000-0005-0000-0000-0000BF0E0000}"/>
    <cellStyle name="20% - Accent5 7 3 2 4" xfId="3777" xr:uid="{00000000-0005-0000-0000-0000C00E0000}"/>
    <cellStyle name="20% - Accent5 7 3 2 5" xfId="3778" xr:uid="{00000000-0005-0000-0000-0000C10E0000}"/>
    <cellStyle name="20% - Accent5 7 3 3" xfId="3779" xr:uid="{00000000-0005-0000-0000-0000C20E0000}"/>
    <cellStyle name="20% - Accent5 7 3 3 2" xfId="3780" xr:uid="{00000000-0005-0000-0000-0000C30E0000}"/>
    <cellStyle name="20% - Accent5 7 3 4" xfId="3781" xr:uid="{00000000-0005-0000-0000-0000C40E0000}"/>
    <cellStyle name="20% - Accent5 7 3 4 2" xfId="3782" xr:uid="{00000000-0005-0000-0000-0000C50E0000}"/>
    <cellStyle name="20% - Accent5 7 3 5" xfId="3783" xr:uid="{00000000-0005-0000-0000-0000C60E0000}"/>
    <cellStyle name="20% - Accent5 7 3 6" xfId="3784" xr:uid="{00000000-0005-0000-0000-0000C70E0000}"/>
    <cellStyle name="20% - Accent5 7 4" xfId="3785" xr:uid="{00000000-0005-0000-0000-0000C80E0000}"/>
    <cellStyle name="20% - Accent5 7 4 2" xfId="3786" xr:uid="{00000000-0005-0000-0000-0000C90E0000}"/>
    <cellStyle name="20% - Accent5 7 4 2 2" xfId="3787" xr:uid="{00000000-0005-0000-0000-0000CA0E0000}"/>
    <cellStyle name="20% - Accent5 7 4 3" xfId="3788" xr:uid="{00000000-0005-0000-0000-0000CB0E0000}"/>
    <cellStyle name="20% - Accent5 7 4 3 2" xfId="3789" xr:uid="{00000000-0005-0000-0000-0000CC0E0000}"/>
    <cellStyle name="20% - Accent5 7 4 4" xfId="3790" xr:uid="{00000000-0005-0000-0000-0000CD0E0000}"/>
    <cellStyle name="20% - Accent5 7 4 5" xfId="3791" xr:uid="{00000000-0005-0000-0000-0000CE0E0000}"/>
    <cellStyle name="20% - Accent5 7 5" xfId="3792" xr:uid="{00000000-0005-0000-0000-0000CF0E0000}"/>
    <cellStyle name="20% - Accent5 7 5 2" xfId="3793" xr:uid="{00000000-0005-0000-0000-0000D00E0000}"/>
    <cellStyle name="20% - Accent5 7 6" xfId="3794" xr:uid="{00000000-0005-0000-0000-0000D10E0000}"/>
    <cellStyle name="20% - Accent5 7 6 2" xfId="3795" xr:uid="{00000000-0005-0000-0000-0000D20E0000}"/>
    <cellStyle name="20% - Accent5 7 7" xfId="3796" xr:uid="{00000000-0005-0000-0000-0000D30E0000}"/>
    <cellStyle name="20% - Accent5 7 8" xfId="3797" xr:uid="{00000000-0005-0000-0000-0000D40E0000}"/>
    <cellStyle name="20% - Accent5 7 9" xfId="3798" xr:uid="{00000000-0005-0000-0000-0000D50E0000}"/>
    <cellStyle name="20% - Accent5 8" xfId="3799" xr:uid="{00000000-0005-0000-0000-0000D60E0000}"/>
    <cellStyle name="20% - Accent5 8 2" xfId="3800" xr:uid="{00000000-0005-0000-0000-0000D70E0000}"/>
    <cellStyle name="20% - Accent5 8 2 2" xfId="3801" xr:uid="{00000000-0005-0000-0000-0000D80E0000}"/>
    <cellStyle name="20% - Accent5 8 2 2 2" xfId="3802" xr:uid="{00000000-0005-0000-0000-0000D90E0000}"/>
    <cellStyle name="20% - Accent5 8 2 2 2 2" xfId="3803" xr:uid="{00000000-0005-0000-0000-0000DA0E0000}"/>
    <cellStyle name="20% - Accent5 8 2 2 2 2 2" xfId="3804" xr:uid="{00000000-0005-0000-0000-0000DB0E0000}"/>
    <cellStyle name="20% - Accent5 8 2 2 2 3" xfId="3805" xr:uid="{00000000-0005-0000-0000-0000DC0E0000}"/>
    <cellStyle name="20% - Accent5 8 2 2 2 3 2" xfId="3806" xr:uid="{00000000-0005-0000-0000-0000DD0E0000}"/>
    <cellStyle name="20% - Accent5 8 2 2 2 4" xfId="3807" xr:uid="{00000000-0005-0000-0000-0000DE0E0000}"/>
    <cellStyle name="20% - Accent5 8 2 2 2 5" xfId="3808" xr:uid="{00000000-0005-0000-0000-0000DF0E0000}"/>
    <cellStyle name="20% - Accent5 8 2 2 3" xfId="3809" xr:uid="{00000000-0005-0000-0000-0000E00E0000}"/>
    <cellStyle name="20% - Accent5 8 2 2 3 2" xfId="3810" xr:uid="{00000000-0005-0000-0000-0000E10E0000}"/>
    <cellStyle name="20% - Accent5 8 2 2 4" xfId="3811" xr:uid="{00000000-0005-0000-0000-0000E20E0000}"/>
    <cellStyle name="20% - Accent5 8 2 2 4 2" xfId="3812" xr:uid="{00000000-0005-0000-0000-0000E30E0000}"/>
    <cellStyle name="20% - Accent5 8 2 2 5" xfId="3813" xr:uid="{00000000-0005-0000-0000-0000E40E0000}"/>
    <cellStyle name="20% - Accent5 8 2 2 6" xfId="3814" xr:uid="{00000000-0005-0000-0000-0000E50E0000}"/>
    <cellStyle name="20% - Accent5 8 2 3" xfId="3815" xr:uid="{00000000-0005-0000-0000-0000E60E0000}"/>
    <cellStyle name="20% - Accent5 8 2 3 2" xfId="3816" xr:uid="{00000000-0005-0000-0000-0000E70E0000}"/>
    <cellStyle name="20% - Accent5 8 2 3 2 2" xfId="3817" xr:uid="{00000000-0005-0000-0000-0000E80E0000}"/>
    <cellStyle name="20% - Accent5 8 2 3 3" xfId="3818" xr:uid="{00000000-0005-0000-0000-0000E90E0000}"/>
    <cellStyle name="20% - Accent5 8 2 3 3 2" xfId="3819" xr:uid="{00000000-0005-0000-0000-0000EA0E0000}"/>
    <cellStyle name="20% - Accent5 8 2 3 4" xfId="3820" xr:uid="{00000000-0005-0000-0000-0000EB0E0000}"/>
    <cellStyle name="20% - Accent5 8 2 3 5" xfId="3821" xr:uid="{00000000-0005-0000-0000-0000EC0E0000}"/>
    <cellStyle name="20% - Accent5 8 2 4" xfId="3822" xr:uid="{00000000-0005-0000-0000-0000ED0E0000}"/>
    <cellStyle name="20% - Accent5 8 2 4 2" xfId="3823" xr:uid="{00000000-0005-0000-0000-0000EE0E0000}"/>
    <cellStyle name="20% - Accent5 8 2 5" xfId="3824" xr:uid="{00000000-0005-0000-0000-0000EF0E0000}"/>
    <cellStyle name="20% - Accent5 8 2 5 2" xfId="3825" xr:uid="{00000000-0005-0000-0000-0000F00E0000}"/>
    <cellStyle name="20% - Accent5 8 2 6" xfId="3826" xr:uid="{00000000-0005-0000-0000-0000F10E0000}"/>
    <cellStyle name="20% - Accent5 8 2 7" xfId="3827" xr:uid="{00000000-0005-0000-0000-0000F20E0000}"/>
    <cellStyle name="20% - Accent5 8 3" xfId="3828" xr:uid="{00000000-0005-0000-0000-0000F30E0000}"/>
    <cellStyle name="20% - Accent5 8 3 2" xfId="3829" xr:uid="{00000000-0005-0000-0000-0000F40E0000}"/>
    <cellStyle name="20% - Accent5 8 3 2 2" xfId="3830" xr:uid="{00000000-0005-0000-0000-0000F50E0000}"/>
    <cellStyle name="20% - Accent5 8 3 2 2 2" xfId="3831" xr:uid="{00000000-0005-0000-0000-0000F60E0000}"/>
    <cellStyle name="20% - Accent5 8 3 2 3" xfId="3832" xr:uid="{00000000-0005-0000-0000-0000F70E0000}"/>
    <cellStyle name="20% - Accent5 8 3 2 3 2" xfId="3833" xr:uid="{00000000-0005-0000-0000-0000F80E0000}"/>
    <cellStyle name="20% - Accent5 8 3 2 4" xfId="3834" xr:uid="{00000000-0005-0000-0000-0000F90E0000}"/>
    <cellStyle name="20% - Accent5 8 3 2 5" xfId="3835" xr:uid="{00000000-0005-0000-0000-0000FA0E0000}"/>
    <cellStyle name="20% - Accent5 8 3 3" xfId="3836" xr:uid="{00000000-0005-0000-0000-0000FB0E0000}"/>
    <cellStyle name="20% - Accent5 8 3 3 2" xfId="3837" xr:uid="{00000000-0005-0000-0000-0000FC0E0000}"/>
    <cellStyle name="20% - Accent5 8 3 4" xfId="3838" xr:uid="{00000000-0005-0000-0000-0000FD0E0000}"/>
    <cellStyle name="20% - Accent5 8 3 4 2" xfId="3839" xr:uid="{00000000-0005-0000-0000-0000FE0E0000}"/>
    <cellStyle name="20% - Accent5 8 3 5" xfId="3840" xr:uid="{00000000-0005-0000-0000-0000FF0E0000}"/>
    <cellStyle name="20% - Accent5 8 3 6" xfId="3841" xr:uid="{00000000-0005-0000-0000-0000000F0000}"/>
    <cellStyle name="20% - Accent5 8 4" xfId="3842" xr:uid="{00000000-0005-0000-0000-0000010F0000}"/>
    <cellStyle name="20% - Accent5 8 4 2" xfId="3843" xr:uid="{00000000-0005-0000-0000-0000020F0000}"/>
    <cellStyle name="20% - Accent5 8 4 2 2" xfId="3844" xr:uid="{00000000-0005-0000-0000-0000030F0000}"/>
    <cellStyle name="20% - Accent5 8 4 3" xfId="3845" xr:uid="{00000000-0005-0000-0000-0000040F0000}"/>
    <cellStyle name="20% - Accent5 8 4 3 2" xfId="3846" xr:uid="{00000000-0005-0000-0000-0000050F0000}"/>
    <cellStyle name="20% - Accent5 8 4 4" xfId="3847" xr:uid="{00000000-0005-0000-0000-0000060F0000}"/>
    <cellStyle name="20% - Accent5 8 4 5" xfId="3848" xr:uid="{00000000-0005-0000-0000-0000070F0000}"/>
    <cellStyle name="20% - Accent5 8 5" xfId="3849" xr:uid="{00000000-0005-0000-0000-0000080F0000}"/>
    <cellStyle name="20% - Accent5 8 5 2" xfId="3850" xr:uid="{00000000-0005-0000-0000-0000090F0000}"/>
    <cellStyle name="20% - Accent5 8 6" xfId="3851" xr:uid="{00000000-0005-0000-0000-00000A0F0000}"/>
    <cellStyle name="20% - Accent5 8 6 2" xfId="3852" xr:uid="{00000000-0005-0000-0000-00000B0F0000}"/>
    <cellStyle name="20% - Accent5 8 7" xfId="3853" xr:uid="{00000000-0005-0000-0000-00000C0F0000}"/>
    <cellStyle name="20% - Accent5 8 8" xfId="3854" xr:uid="{00000000-0005-0000-0000-00000D0F0000}"/>
    <cellStyle name="20% - Accent5 9" xfId="3855" xr:uid="{00000000-0005-0000-0000-00000E0F0000}"/>
    <cellStyle name="20% - Accent5 9 2" xfId="3856" xr:uid="{00000000-0005-0000-0000-00000F0F0000}"/>
    <cellStyle name="20% - Accent5 9 2 2" xfId="3857" xr:uid="{00000000-0005-0000-0000-0000100F0000}"/>
    <cellStyle name="20% - Accent5 9 2 2 2" xfId="3858" xr:uid="{00000000-0005-0000-0000-0000110F0000}"/>
    <cellStyle name="20% - Accent5 9 2 2 2 2" xfId="3859" xr:uid="{00000000-0005-0000-0000-0000120F0000}"/>
    <cellStyle name="20% - Accent5 9 2 2 2 2 2" xfId="3860" xr:uid="{00000000-0005-0000-0000-0000130F0000}"/>
    <cellStyle name="20% - Accent5 9 2 2 2 3" xfId="3861" xr:uid="{00000000-0005-0000-0000-0000140F0000}"/>
    <cellStyle name="20% - Accent5 9 2 2 2 3 2" xfId="3862" xr:uid="{00000000-0005-0000-0000-0000150F0000}"/>
    <cellStyle name="20% - Accent5 9 2 2 2 4" xfId="3863" xr:uid="{00000000-0005-0000-0000-0000160F0000}"/>
    <cellStyle name="20% - Accent5 9 2 2 2 5" xfId="3864" xr:uid="{00000000-0005-0000-0000-0000170F0000}"/>
    <cellStyle name="20% - Accent5 9 2 2 3" xfId="3865" xr:uid="{00000000-0005-0000-0000-0000180F0000}"/>
    <cellStyle name="20% - Accent5 9 2 2 3 2" xfId="3866" xr:uid="{00000000-0005-0000-0000-0000190F0000}"/>
    <cellStyle name="20% - Accent5 9 2 2 4" xfId="3867" xr:uid="{00000000-0005-0000-0000-00001A0F0000}"/>
    <cellStyle name="20% - Accent5 9 2 2 4 2" xfId="3868" xr:uid="{00000000-0005-0000-0000-00001B0F0000}"/>
    <cellStyle name="20% - Accent5 9 2 2 5" xfId="3869" xr:uid="{00000000-0005-0000-0000-00001C0F0000}"/>
    <cellStyle name="20% - Accent5 9 2 2 6" xfId="3870" xr:uid="{00000000-0005-0000-0000-00001D0F0000}"/>
    <cellStyle name="20% - Accent5 9 2 3" xfId="3871" xr:uid="{00000000-0005-0000-0000-00001E0F0000}"/>
    <cellStyle name="20% - Accent5 9 2 3 2" xfId="3872" xr:uid="{00000000-0005-0000-0000-00001F0F0000}"/>
    <cellStyle name="20% - Accent5 9 2 3 2 2" xfId="3873" xr:uid="{00000000-0005-0000-0000-0000200F0000}"/>
    <cellStyle name="20% - Accent5 9 2 3 3" xfId="3874" xr:uid="{00000000-0005-0000-0000-0000210F0000}"/>
    <cellStyle name="20% - Accent5 9 2 3 3 2" xfId="3875" xr:uid="{00000000-0005-0000-0000-0000220F0000}"/>
    <cellStyle name="20% - Accent5 9 2 3 4" xfId="3876" xr:uid="{00000000-0005-0000-0000-0000230F0000}"/>
    <cellStyle name="20% - Accent5 9 2 3 5" xfId="3877" xr:uid="{00000000-0005-0000-0000-0000240F0000}"/>
    <cellStyle name="20% - Accent5 9 2 4" xfId="3878" xr:uid="{00000000-0005-0000-0000-0000250F0000}"/>
    <cellStyle name="20% - Accent5 9 2 4 2" xfId="3879" xr:uid="{00000000-0005-0000-0000-0000260F0000}"/>
    <cellStyle name="20% - Accent5 9 2 5" xfId="3880" xr:uid="{00000000-0005-0000-0000-0000270F0000}"/>
    <cellStyle name="20% - Accent5 9 2 5 2" xfId="3881" xr:uid="{00000000-0005-0000-0000-0000280F0000}"/>
    <cellStyle name="20% - Accent5 9 2 6" xfId="3882" xr:uid="{00000000-0005-0000-0000-0000290F0000}"/>
    <cellStyle name="20% - Accent5 9 2 7" xfId="3883" xr:uid="{00000000-0005-0000-0000-00002A0F0000}"/>
    <cellStyle name="20% - Accent5 9 3" xfId="3884" xr:uid="{00000000-0005-0000-0000-00002B0F0000}"/>
    <cellStyle name="20% - Accent5 9 3 2" xfId="3885" xr:uid="{00000000-0005-0000-0000-00002C0F0000}"/>
    <cellStyle name="20% - Accent5 9 3 2 2" xfId="3886" xr:uid="{00000000-0005-0000-0000-00002D0F0000}"/>
    <cellStyle name="20% - Accent5 9 3 2 2 2" xfId="3887" xr:uid="{00000000-0005-0000-0000-00002E0F0000}"/>
    <cellStyle name="20% - Accent5 9 3 2 3" xfId="3888" xr:uid="{00000000-0005-0000-0000-00002F0F0000}"/>
    <cellStyle name="20% - Accent5 9 3 2 3 2" xfId="3889" xr:uid="{00000000-0005-0000-0000-0000300F0000}"/>
    <cellStyle name="20% - Accent5 9 3 2 4" xfId="3890" xr:uid="{00000000-0005-0000-0000-0000310F0000}"/>
    <cellStyle name="20% - Accent5 9 3 2 5" xfId="3891" xr:uid="{00000000-0005-0000-0000-0000320F0000}"/>
    <cellStyle name="20% - Accent5 9 3 3" xfId="3892" xr:uid="{00000000-0005-0000-0000-0000330F0000}"/>
    <cellStyle name="20% - Accent5 9 3 3 2" xfId="3893" xr:uid="{00000000-0005-0000-0000-0000340F0000}"/>
    <cellStyle name="20% - Accent5 9 3 4" xfId="3894" xr:uid="{00000000-0005-0000-0000-0000350F0000}"/>
    <cellStyle name="20% - Accent5 9 3 4 2" xfId="3895" xr:uid="{00000000-0005-0000-0000-0000360F0000}"/>
    <cellStyle name="20% - Accent5 9 3 5" xfId="3896" xr:uid="{00000000-0005-0000-0000-0000370F0000}"/>
    <cellStyle name="20% - Accent5 9 3 6" xfId="3897" xr:uid="{00000000-0005-0000-0000-0000380F0000}"/>
    <cellStyle name="20% - Accent5 9 4" xfId="3898" xr:uid="{00000000-0005-0000-0000-0000390F0000}"/>
    <cellStyle name="20% - Accent5 9 4 2" xfId="3899" xr:uid="{00000000-0005-0000-0000-00003A0F0000}"/>
    <cellStyle name="20% - Accent5 9 4 2 2" xfId="3900" xr:uid="{00000000-0005-0000-0000-00003B0F0000}"/>
    <cellStyle name="20% - Accent5 9 4 3" xfId="3901" xr:uid="{00000000-0005-0000-0000-00003C0F0000}"/>
    <cellStyle name="20% - Accent5 9 4 3 2" xfId="3902" xr:uid="{00000000-0005-0000-0000-00003D0F0000}"/>
    <cellStyle name="20% - Accent5 9 4 4" xfId="3903" xr:uid="{00000000-0005-0000-0000-00003E0F0000}"/>
    <cellStyle name="20% - Accent5 9 4 5" xfId="3904" xr:uid="{00000000-0005-0000-0000-00003F0F0000}"/>
    <cellStyle name="20% - Accent5 9 5" xfId="3905" xr:uid="{00000000-0005-0000-0000-0000400F0000}"/>
    <cellStyle name="20% - Accent5 9 5 2" xfId="3906" xr:uid="{00000000-0005-0000-0000-0000410F0000}"/>
    <cellStyle name="20% - Accent5 9 6" xfId="3907" xr:uid="{00000000-0005-0000-0000-0000420F0000}"/>
    <cellStyle name="20% - Accent5 9 6 2" xfId="3908" xr:uid="{00000000-0005-0000-0000-0000430F0000}"/>
    <cellStyle name="20% - Accent5 9 7" xfId="3909" xr:uid="{00000000-0005-0000-0000-0000440F0000}"/>
    <cellStyle name="20% - Accent5 9 8" xfId="3910" xr:uid="{00000000-0005-0000-0000-0000450F0000}"/>
    <cellStyle name="20% - Accent6 10" xfId="3911" xr:uid="{00000000-0005-0000-0000-0000460F0000}"/>
    <cellStyle name="20% - Accent6 10 2" xfId="3912" xr:uid="{00000000-0005-0000-0000-0000470F0000}"/>
    <cellStyle name="20% - Accent6 10 2 2" xfId="3913" xr:uid="{00000000-0005-0000-0000-0000480F0000}"/>
    <cellStyle name="20% - Accent6 10 2 2 2" xfId="3914" xr:uid="{00000000-0005-0000-0000-0000490F0000}"/>
    <cellStyle name="20% - Accent6 10 2 2 2 2" xfId="3915" xr:uid="{00000000-0005-0000-0000-00004A0F0000}"/>
    <cellStyle name="20% - Accent6 10 2 2 2 2 2" xfId="3916" xr:uid="{00000000-0005-0000-0000-00004B0F0000}"/>
    <cellStyle name="20% - Accent6 10 2 2 2 3" xfId="3917" xr:uid="{00000000-0005-0000-0000-00004C0F0000}"/>
    <cellStyle name="20% - Accent6 10 2 2 2 3 2" xfId="3918" xr:uid="{00000000-0005-0000-0000-00004D0F0000}"/>
    <cellStyle name="20% - Accent6 10 2 2 2 4" xfId="3919" xr:uid="{00000000-0005-0000-0000-00004E0F0000}"/>
    <cellStyle name="20% - Accent6 10 2 2 2 5" xfId="3920" xr:uid="{00000000-0005-0000-0000-00004F0F0000}"/>
    <cellStyle name="20% - Accent6 10 2 2 3" xfId="3921" xr:uid="{00000000-0005-0000-0000-0000500F0000}"/>
    <cellStyle name="20% - Accent6 10 2 2 3 2" xfId="3922" xr:uid="{00000000-0005-0000-0000-0000510F0000}"/>
    <cellStyle name="20% - Accent6 10 2 2 4" xfId="3923" xr:uid="{00000000-0005-0000-0000-0000520F0000}"/>
    <cellStyle name="20% - Accent6 10 2 2 4 2" xfId="3924" xr:uid="{00000000-0005-0000-0000-0000530F0000}"/>
    <cellStyle name="20% - Accent6 10 2 2 5" xfId="3925" xr:uid="{00000000-0005-0000-0000-0000540F0000}"/>
    <cellStyle name="20% - Accent6 10 2 2 6" xfId="3926" xr:uid="{00000000-0005-0000-0000-0000550F0000}"/>
    <cellStyle name="20% - Accent6 10 2 3" xfId="3927" xr:uid="{00000000-0005-0000-0000-0000560F0000}"/>
    <cellStyle name="20% - Accent6 10 2 3 2" xfId="3928" xr:uid="{00000000-0005-0000-0000-0000570F0000}"/>
    <cellStyle name="20% - Accent6 10 2 3 2 2" xfId="3929" xr:uid="{00000000-0005-0000-0000-0000580F0000}"/>
    <cellStyle name="20% - Accent6 10 2 3 3" xfId="3930" xr:uid="{00000000-0005-0000-0000-0000590F0000}"/>
    <cellStyle name="20% - Accent6 10 2 3 3 2" xfId="3931" xr:uid="{00000000-0005-0000-0000-00005A0F0000}"/>
    <cellStyle name="20% - Accent6 10 2 3 4" xfId="3932" xr:uid="{00000000-0005-0000-0000-00005B0F0000}"/>
    <cellStyle name="20% - Accent6 10 2 3 5" xfId="3933" xr:uid="{00000000-0005-0000-0000-00005C0F0000}"/>
    <cellStyle name="20% - Accent6 10 2 4" xfId="3934" xr:uid="{00000000-0005-0000-0000-00005D0F0000}"/>
    <cellStyle name="20% - Accent6 10 2 4 2" xfId="3935" xr:uid="{00000000-0005-0000-0000-00005E0F0000}"/>
    <cellStyle name="20% - Accent6 10 2 5" xfId="3936" xr:uid="{00000000-0005-0000-0000-00005F0F0000}"/>
    <cellStyle name="20% - Accent6 10 2 5 2" xfId="3937" xr:uid="{00000000-0005-0000-0000-0000600F0000}"/>
    <cellStyle name="20% - Accent6 10 2 6" xfId="3938" xr:uid="{00000000-0005-0000-0000-0000610F0000}"/>
    <cellStyle name="20% - Accent6 10 2 7" xfId="3939" xr:uid="{00000000-0005-0000-0000-0000620F0000}"/>
    <cellStyle name="20% - Accent6 10 3" xfId="3940" xr:uid="{00000000-0005-0000-0000-0000630F0000}"/>
    <cellStyle name="20% - Accent6 10 3 2" xfId="3941" xr:uid="{00000000-0005-0000-0000-0000640F0000}"/>
    <cellStyle name="20% - Accent6 10 3 2 2" xfId="3942" xr:uid="{00000000-0005-0000-0000-0000650F0000}"/>
    <cellStyle name="20% - Accent6 10 3 2 2 2" xfId="3943" xr:uid="{00000000-0005-0000-0000-0000660F0000}"/>
    <cellStyle name="20% - Accent6 10 3 2 3" xfId="3944" xr:uid="{00000000-0005-0000-0000-0000670F0000}"/>
    <cellStyle name="20% - Accent6 10 3 2 3 2" xfId="3945" xr:uid="{00000000-0005-0000-0000-0000680F0000}"/>
    <cellStyle name="20% - Accent6 10 3 2 4" xfId="3946" xr:uid="{00000000-0005-0000-0000-0000690F0000}"/>
    <cellStyle name="20% - Accent6 10 3 2 5" xfId="3947" xr:uid="{00000000-0005-0000-0000-00006A0F0000}"/>
    <cellStyle name="20% - Accent6 10 3 3" xfId="3948" xr:uid="{00000000-0005-0000-0000-00006B0F0000}"/>
    <cellStyle name="20% - Accent6 10 3 3 2" xfId="3949" xr:uid="{00000000-0005-0000-0000-00006C0F0000}"/>
    <cellStyle name="20% - Accent6 10 3 4" xfId="3950" xr:uid="{00000000-0005-0000-0000-00006D0F0000}"/>
    <cellStyle name="20% - Accent6 10 3 4 2" xfId="3951" xr:uid="{00000000-0005-0000-0000-00006E0F0000}"/>
    <cellStyle name="20% - Accent6 10 3 5" xfId="3952" xr:uid="{00000000-0005-0000-0000-00006F0F0000}"/>
    <cellStyle name="20% - Accent6 10 3 6" xfId="3953" xr:uid="{00000000-0005-0000-0000-0000700F0000}"/>
    <cellStyle name="20% - Accent6 10 4" xfId="3954" xr:uid="{00000000-0005-0000-0000-0000710F0000}"/>
    <cellStyle name="20% - Accent6 10 4 2" xfId="3955" xr:uid="{00000000-0005-0000-0000-0000720F0000}"/>
    <cellStyle name="20% - Accent6 10 4 2 2" xfId="3956" xr:uid="{00000000-0005-0000-0000-0000730F0000}"/>
    <cellStyle name="20% - Accent6 10 4 3" xfId="3957" xr:uid="{00000000-0005-0000-0000-0000740F0000}"/>
    <cellStyle name="20% - Accent6 10 4 3 2" xfId="3958" xr:uid="{00000000-0005-0000-0000-0000750F0000}"/>
    <cellStyle name="20% - Accent6 10 4 4" xfId="3959" xr:uid="{00000000-0005-0000-0000-0000760F0000}"/>
    <cellStyle name="20% - Accent6 10 4 5" xfId="3960" xr:uid="{00000000-0005-0000-0000-0000770F0000}"/>
    <cellStyle name="20% - Accent6 10 5" xfId="3961" xr:uid="{00000000-0005-0000-0000-0000780F0000}"/>
    <cellStyle name="20% - Accent6 10 5 2" xfId="3962" xr:uid="{00000000-0005-0000-0000-0000790F0000}"/>
    <cellStyle name="20% - Accent6 10 6" xfId="3963" xr:uid="{00000000-0005-0000-0000-00007A0F0000}"/>
    <cellStyle name="20% - Accent6 10 6 2" xfId="3964" xr:uid="{00000000-0005-0000-0000-00007B0F0000}"/>
    <cellStyle name="20% - Accent6 10 7" xfId="3965" xr:uid="{00000000-0005-0000-0000-00007C0F0000}"/>
    <cellStyle name="20% - Accent6 10 8" xfId="3966" xr:uid="{00000000-0005-0000-0000-00007D0F0000}"/>
    <cellStyle name="20% - Accent6 11" xfId="3967" xr:uid="{00000000-0005-0000-0000-00007E0F0000}"/>
    <cellStyle name="20% - Accent6 11 2" xfId="3968" xr:uid="{00000000-0005-0000-0000-00007F0F0000}"/>
    <cellStyle name="20% - Accent6 11 2 2" xfId="3969" xr:uid="{00000000-0005-0000-0000-0000800F0000}"/>
    <cellStyle name="20% - Accent6 11 2 2 2" xfId="3970" xr:uid="{00000000-0005-0000-0000-0000810F0000}"/>
    <cellStyle name="20% - Accent6 11 2 2 2 2" xfId="3971" xr:uid="{00000000-0005-0000-0000-0000820F0000}"/>
    <cellStyle name="20% - Accent6 11 2 2 3" xfId="3972" xr:uid="{00000000-0005-0000-0000-0000830F0000}"/>
    <cellStyle name="20% - Accent6 11 2 2 3 2" xfId="3973" xr:uid="{00000000-0005-0000-0000-0000840F0000}"/>
    <cellStyle name="20% - Accent6 11 2 2 4" xfId="3974" xr:uid="{00000000-0005-0000-0000-0000850F0000}"/>
    <cellStyle name="20% - Accent6 11 2 2 5" xfId="3975" xr:uid="{00000000-0005-0000-0000-0000860F0000}"/>
    <cellStyle name="20% - Accent6 11 2 3" xfId="3976" xr:uid="{00000000-0005-0000-0000-0000870F0000}"/>
    <cellStyle name="20% - Accent6 11 2 3 2" xfId="3977" xr:uid="{00000000-0005-0000-0000-0000880F0000}"/>
    <cellStyle name="20% - Accent6 11 2 4" xfId="3978" xr:uid="{00000000-0005-0000-0000-0000890F0000}"/>
    <cellStyle name="20% - Accent6 11 2 4 2" xfId="3979" xr:uid="{00000000-0005-0000-0000-00008A0F0000}"/>
    <cellStyle name="20% - Accent6 11 2 5" xfId="3980" xr:uid="{00000000-0005-0000-0000-00008B0F0000}"/>
    <cellStyle name="20% - Accent6 11 2 6" xfId="3981" xr:uid="{00000000-0005-0000-0000-00008C0F0000}"/>
    <cellStyle name="20% - Accent6 11 3" xfId="3982" xr:uid="{00000000-0005-0000-0000-00008D0F0000}"/>
    <cellStyle name="20% - Accent6 11 3 2" xfId="3983" xr:uid="{00000000-0005-0000-0000-00008E0F0000}"/>
    <cellStyle name="20% - Accent6 11 3 2 2" xfId="3984" xr:uid="{00000000-0005-0000-0000-00008F0F0000}"/>
    <cellStyle name="20% - Accent6 11 3 3" xfId="3985" xr:uid="{00000000-0005-0000-0000-0000900F0000}"/>
    <cellStyle name="20% - Accent6 11 3 3 2" xfId="3986" xr:uid="{00000000-0005-0000-0000-0000910F0000}"/>
    <cellStyle name="20% - Accent6 11 3 4" xfId="3987" xr:uid="{00000000-0005-0000-0000-0000920F0000}"/>
    <cellStyle name="20% - Accent6 11 3 5" xfId="3988" xr:uid="{00000000-0005-0000-0000-0000930F0000}"/>
    <cellStyle name="20% - Accent6 11 4" xfId="3989" xr:uid="{00000000-0005-0000-0000-0000940F0000}"/>
    <cellStyle name="20% - Accent6 11 4 2" xfId="3990" xr:uid="{00000000-0005-0000-0000-0000950F0000}"/>
    <cellStyle name="20% - Accent6 11 5" xfId="3991" xr:uid="{00000000-0005-0000-0000-0000960F0000}"/>
    <cellStyle name="20% - Accent6 11 5 2" xfId="3992" xr:uid="{00000000-0005-0000-0000-0000970F0000}"/>
    <cellStyle name="20% - Accent6 11 6" xfId="3993" xr:uid="{00000000-0005-0000-0000-0000980F0000}"/>
    <cellStyle name="20% - Accent6 11 7" xfId="3994" xr:uid="{00000000-0005-0000-0000-0000990F0000}"/>
    <cellStyle name="20% - Accent6 12" xfId="3995" xr:uid="{00000000-0005-0000-0000-00009A0F0000}"/>
    <cellStyle name="20% - Accent6 12 2" xfId="3996" xr:uid="{00000000-0005-0000-0000-00009B0F0000}"/>
    <cellStyle name="20% - Accent6 12 2 2" xfId="3997" xr:uid="{00000000-0005-0000-0000-00009C0F0000}"/>
    <cellStyle name="20% - Accent6 12 2 2 2" xfId="3998" xr:uid="{00000000-0005-0000-0000-00009D0F0000}"/>
    <cellStyle name="20% - Accent6 12 2 3" xfId="3999" xr:uid="{00000000-0005-0000-0000-00009E0F0000}"/>
    <cellStyle name="20% - Accent6 12 2 3 2" xfId="4000" xr:uid="{00000000-0005-0000-0000-00009F0F0000}"/>
    <cellStyle name="20% - Accent6 12 2 4" xfId="4001" xr:uid="{00000000-0005-0000-0000-0000A00F0000}"/>
    <cellStyle name="20% - Accent6 12 2 5" xfId="4002" xr:uid="{00000000-0005-0000-0000-0000A10F0000}"/>
    <cellStyle name="20% - Accent6 12 3" xfId="4003" xr:uid="{00000000-0005-0000-0000-0000A20F0000}"/>
    <cellStyle name="20% - Accent6 12 3 2" xfId="4004" xr:uid="{00000000-0005-0000-0000-0000A30F0000}"/>
    <cellStyle name="20% - Accent6 12 4" xfId="4005" xr:uid="{00000000-0005-0000-0000-0000A40F0000}"/>
    <cellStyle name="20% - Accent6 12 4 2" xfId="4006" xr:uid="{00000000-0005-0000-0000-0000A50F0000}"/>
    <cellStyle name="20% - Accent6 12 5" xfId="4007" xr:uid="{00000000-0005-0000-0000-0000A60F0000}"/>
    <cellStyle name="20% - Accent6 12 6" xfId="4008" xr:uid="{00000000-0005-0000-0000-0000A70F0000}"/>
    <cellStyle name="20% - Accent6 13" xfId="4009" xr:uid="{00000000-0005-0000-0000-0000A80F0000}"/>
    <cellStyle name="20% - Accent6 13 2" xfId="4010" xr:uid="{00000000-0005-0000-0000-0000A90F0000}"/>
    <cellStyle name="20% - Accent6 13 2 2" xfId="4011" xr:uid="{00000000-0005-0000-0000-0000AA0F0000}"/>
    <cellStyle name="20% - Accent6 13 2 2 2" xfId="4012" xr:uid="{00000000-0005-0000-0000-0000AB0F0000}"/>
    <cellStyle name="20% - Accent6 13 2 3" xfId="4013" xr:uid="{00000000-0005-0000-0000-0000AC0F0000}"/>
    <cellStyle name="20% - Accent6 13 2 3 2" xfId="4014" xr:uid="{00000000-0005-0000-0000-0000AD0F0000}"/>
    <cellStyle name="20% - Accent6 13 2 4" xfId="4015" xr:uid="{00000000-0005-0000-0000-0000AE0F0000}"/>
    <cellStyle name="20% - Accent6 13 2 5" xfId="4016" xr:uid="{00000000-0005-0000-0000-0000AF0F0000}"/>
    <cellStyle name="20% - Accent6 13 3" xfId="4017" xr:uid="{00000000-0005-0000-0000-0000B00F0000}"/>
    <cellStyle name="20% - Accent6 13 3 2" xfId="4018" xr:uid="{00000000-0005-0000-0000-0000B10F0000}"/>
    <cellStyle name="20% - Accent6 13 4" xfId="4019" xr:uid="{00000000-0005-0000-0000-0000B20F0000}"/>
    <cellStyle name="20% - Accent6 13 4 2" xfId="4020" xr:uid="{00000000-0005-0000-0000-0000B30F0000}"/>
    <cellStyle name="20% - Accent6 13 5" xfId="4021" xr:uid="{00000000-0005-0000-0000-0000B40F0000}"/>
    <cellStyle name="20% - Accent6 13 6" xfId="4022" xr:uid="{00000000-0005-0000-0000-0000B50F0000}"/>
    <cellStyle name="20% - Accent6 14" xfId="4023" xr:uid="{00000000-0005-0000-0000-0000B60F0000}"/>
    <cellStyle name="20% - Accent6 14 2" xfId="4024" xr:uid="{00000000-0005-0000-0000-0000B70F0000}"/>
    <cellStyle name="20% - Accent6 14 2 2" xfId="4025" xr:uid="{00000000-0005-0000-0000-0000B80F0000}"/>
    <cellStyle name="20% - Accent6 14 2 2 2" xfId="4026" xr:uid="{00000000-0005-0000-0000-0000B90F0000}"/>
    <cellStyle name="20% - Accent6 14 2 3" xfId="4027" xr:uid="{00000000-0005-0000-0000-0000BA0F0000}"/>
    <cellStyle name="20% - Accent6 14 2 3 2" xfId="4028" xr:uid="{00000000-0005-0000-0000-0000BB0F0000}"/>
    <cellStyle name="20% - Accent6 14 2 4" xfId="4029" xr:uid="{00000000-0005-0000-0000-0000BC0F0000}"/>
    <cellStyle name="20% - Accent6 14 2 5" xfId="4030" xr:uid="{00000000-0005-0000-0000-0000BD0F0000}"/>
    <cellStyle name="20% - Accent6 14 3" xfId="4031" xr:uid="{00000000-0005-0000-0000-0000BE0F0000}"/>
    <cellStyle name="20% - Accent6 14 3 2" xfId="4032" xr:uid="{00000000-0005-0000-0000-0000BF0F0000}"/>
    <cellStyle name="20% - Accent6 14 4" xfId="4033" xr:uid="{00000000-0005-0000-0000-0000C00F0000}"/>
    <cellStyle name="20% - Accent6 14 4 2" xfId="4034" xr:uid="{00000000-0005-0000-0000-0000C10F0000}"/>
    <cellStyle name="20% - Accent6 14 5" xfId="4035" xr:uid="{00000000-0005-0000-0000-0000C20F0000}"/>
    <cellStyle name="20% - Accent6 14 6" xfId="4036" xr:uid="{00000000-0005-0000-0000-0000C30F0000}"/>
    <cellStyle name="20% - Accent6 15" xfId="4037" xr:uid="{00000000-0005-0000-0000-0000C40F0000}"/>
    <cellStyle name="20% - Accent6 15 2" xfId="4038" xr:uid="{00000000-0005-0000-0000-0000C50F0000}"/>
    <cellStyle name="20% - Accent6 15 2 2" xfId="4039" xr:uid="{00000000-0005-0000-0000-0000C60F0000}"/>
    <cellStyle name="20% - Accent6 15 2 2 2" xfId="4040" xr:uid="{00000000-0005-0000-0000-0000C70F0000}"/>
    <cellStyle name="20% - Accent6 15 2 3" xfId="4041" xr:uid="{00000000-0005-0000-0000-0000C80F0000}"/>
    <cellStyle name="20% - Accent6 15 2 3 2" xfId="4042" xr:uid="{00000000-0005-0000-0000-0000C90F0000}"/>
    <cellStyle name="20% - Accent6 15 2 4" xfId="4043" xr:uid="{00000000-0005-0000-0000-0000CA0F0000}"/>
    <cellStyle name="20% - Accent6 15 2 5" xfId="4044" xr:uid="{00000000-0005-0000-0000-0000CB0F0000}"/>
    <cellStyle name="20% - Accent6 15 3" xfId="4045" xr:uid="{00000000-0005-0000-0000-0000CC0F0000}"/>
    <cellStyle name="20% - Accent6 15 3 2" xfId="4046" xr:uid="{00000000-0005-0000-0000-0000CD0F0000}"/>
    <cellStyle name="20% - Accent6 15 4" xfId="4047" xr:uid="{00000000-0005-0000-0000-0000CE0F0000}"/>
    <cellStyle name="20% - Accent6 15 4 2" xfId="4048" xr:uid="{00000000-0005-0000-0000-0000CF0F0000}"/>
    <cellStyle name="20% - Accent6 15 5" xfId="4049" xr:uid="{00000000-0005-0000-0000-0000D00F0000}"/>
    <cellStyle name="20% - Accent6 15 6" xfId="4050" xr:uid="{00000000-0005-0000-0000-0000D10F0000}"/>
    <cellStyle name="20% - Accent6 16" xfId="4051" xr:uid="{00000000-0005-0000-0000-0000D20F0000}"/>
    <cellStyle name="20% - Accent6 16 2" xfId="4052" xr:uid="{00000000-0005-0000-0000-0000D30F0000}"/>
    <cellStyle name="20% - Accent6 16 2 2" xfId="4053" xr:uid="{00000000-0005-0000-0000-0000D40F0000}"/>
    <cellStyle name="20% - Accent6 16 2 3" xfId="4054" xr:uid="{00000000-0005-0000-0000-0000D50F0000}"/>
    <cellStyle name="20% - Accent6 16 3" xfId="4055" xr:uid="{00000000-0005-0000-0000-0000D60F0000}"/>
    <cellStyle name="20% - Accent6 16 4" xfId="4056" xr:uid="{00000000-0005-0000-0000-0000D70F0000}"/>
    <cellStyle name="20% - Accent6 17" xfId="4057" xr:uid="{00000000-0005-0000-0000-0000D80F0000}"/>
    <cellStyle name="20% - Accent6 17 2" xfId="4058" xr:uid="{00000000-0005-0000-0000-0000D90F0000}"/>
    <cellStyle name="20% - Accent6 17 2 2" xfId="4059" xr:uid="{00000000-0005-0000-0000-0000DA0F0000}"/>
    <cellStyle name="20% - Accent6 17 2 3" xfId="4060" xr:uid="{00000000-0005-0000-0000-0000DB0F0000}"/>
    <cellStyle name="20% - Accent6 17 3" xfId="4061" xr:uid="{00000000-0005-0000-0000-0000DC0F0000}"/>
    <cellStyle name="20% - Accent6 17 4" xfId="4062" xr:uid="{00000000-0005-0000-0000-0000DD0F0000}"/>
    <cellStyle name="20% - Accent6 18" xfId="4063" xr:uid="{00000000-0005-0000-0000-0000DE0F0000}"/>
    <cellStyle name="20% - Accent6 18 2" xfId="4064" xr:uid="{00000000-0005-0000-0000-0000DF0F0000}"/>
    <cellStyle name="20% - Accent6 18 2 2" xfId="4065" xr:uid="{00000000-0005-0000-0000-0000E00F0000}"/>
    <cellStyle name="20% - Accent6 18 2 3" xfId="4066" xr:uid="{00000000-0005-0000-0000-0000E10F0000}"/>
    <cellStyle name="20% - Accent6 18 3" xfId="4067" xr:uid="{00000000-0005-0000-0000-0000E20F0000}"/>
    <cellStyle name="20% - Accent6 18 4" xfId="4068" xr:uid="{00000000-0005-0000-0000-0000E30F0000}"/>
    <cellStyle name="20% - Accent6 19" xfId="4069" xr:uid="{00000000-0005-0000-0000-0000E40F0000}"/>
    <cellStyle name="20% - Accent6 19 2" xfId="4070" xr:uid="{00000000-0005-0000-0000-0000E50F0000}"/>
    <cellStyle name="20% - Accent6 19 2 2" xfId="4071" xr:uid="{00000000-0005-0000-0000-0000E60F0000}"/>
    <cellStyle name="20% - Accent6 19 2 3" xfId="4072" xr:uid="{00000000-0005-0000-0000-0000E70F0000}"/>
    <cellStyle name="20% - Accent6 19 3" xfId="4073" xr:uid="{00000000-0005-0000-0000-0000E80F0000}"/>
    <cellStyle name="20% - Accent6 19 4" xfId="4074" xr:uid="{00000000-0005-0000-0000-0000E90F0000}"/>
    <cellStyle name="20% - Accent6 2" xfId="4075" xr:uid="{00000000-0005-0000-0000-0000EA0F0000}"/>
    <cellStyle name="20% - Accent6 2 2" xfId="4076" xr:uid="{00000000-0005-0000-0000-0000EB0F0000}"/>
    <cellStyle name="20% - Accent6 2 2 2" xfId="4077" xr:uid="{00000000-0005-0000-0000-0000EC0F0000}"/>
    <cellStyle name="20% - Accent6 2 2 3" xfId="4078" xr:uid="{00000000-0005-0000-0000-0000ED0F0000}"/>
    <cellStyle name="20% - Accent6 2 2 4" xfId="4079" xr:uid="{00000000-0005-0000-0000-0000EE0F0000}"/>
    <cellStyle name="20% - Accent6 2 2 5" xfId="4080" xr:uid="{00000000-0005-0000-0000-0000EF0F0000}"/>
    <cellStyle name="20% - Accent6 2 3" xfId="4081" xr:uid="{00000000-0005-0000-0000-0000F00F0000}"/>
    <cellStyle name="20% - Accent6 2 3 2" xfId="4082" xr:uid="{00000000-0005-0000-0000-0000F10F0000}"/>
    <cellStyle name="20% - Accent6 2 4" xfId="4083" xr:uid="{00000000-0005-0000-0000-0000F20F0000}"/>
    <cellStyle name="20% - Accent6 2 4 2" xfId="4084" xr:uid="{00000000-0005-0000-0000-0000F30F0000}"/>
    <cellStyle name="20% - Accent6 2 4 2 2" xfId="4085" xr:uid="{00000000-0005-0000-0000-0000F40F0000}"/>
    <cellStyle name="20% - Accent6 2 4 3" xfId="4086" xr:uid="{00000000-0005-0000-0000-0000F50F0000}"/>
    <cellStyle name="20% - Accent6 2 4 4" xfId="4087" xr:uid="{00000000-0005-0000-0000-0000F60F0000}"/>
    <cellStyle name="20% - Accent6 2 5" xfId="4088" xr:uid="{00000000-0005-0000-0000-0000F70F0000}"/>
    <cellStyle name="20% - Accent6 2 5 2" xfId="4089" xr:uid="{00000000-0005-0000-0000-0000F80F0000}"/>
    <cellStyle name="20% - Accent6 2 5 3" xfId="4090" xr:uid="{00000000-0005-0000-0000-0000F90F0000}"/>
    <cellStyle name="20% - Accent6 2 6" xfId="4091" xr:uid="{00000000-0005-0000-0000-0000FA0F0000}"/>
    <cellStyle name="20% - Accent6 2 7" xfId="4092" xr:uid="{00000000-0005-0000-0000-0000FB0F0000}"/>
    <cellStyle name="20% - Accent6 20" xfId="4093" xr:uid="{00000000-0005-0000-0000-0000FC0F0000}"/>
    <cellStyle name="20% - Accent6 20 2" xfId="4094" xr:uid="{00000000-0005-0000-0000-0000FD0F0000}"/>
    <cellStyle name="20% - Accent6 20 3" xfId="4095" xr:uid="{00000000-0005-0000-0000-0000FE0F0000}"/>
    <cellStyle name="20% - Accent6 21" xfId="4096" xr:uid="{00000000-0005-0000-0000-0000FF0F0000}"/>
    <cellStyle name="20% - Accent6 21 2" xfId="4097" xr:uid="{00000000-0005-0000-0000-000000100000}"/>
    <cellStyle name="20% - Accent6 22" xfId="4098" xr:uid="{00000000-0005-0000-0000-000001100000}"/>
    <cellStyle name="20% - Accent6 23" xfId="4099" xr:uid="{00000000-0005-0000-0000-000002100000}"/>
    <cellStyle name="20% - Accent6 24" xfId="4100" xr:uid="{00000000-0005-0000-0000-000003100000}"/>
    <cellStyle name="20% - Accent6 3" xfId="4101" xr:uid="{00000000-0005-0000-0000-000004100000}"/>
    <cellStyle name="20% - Accent6 3 10" xfId="4102" xr:uid="{00000000-0005-0000-0000-000005100000}"/>
    <cellStyle name="20% - Accent6 3 11" xfId="4103" xr:uid="{00000000-0005-0000-0000-000006100000}"/>
    <cellStyle name="20% - Accent6 3 2" xfId="4104" xr:uid="{00000000-0005-0000-0000-000007100000}"/>
    <cellStyle name="20% - Accent6 3 2 2" xfId="4105" xr:uid="{00000000-0005-0000-0000-000008100000}"/>
    <cellStyle name="20% - Accent6 3 2 2 2" xfId="4106" xr:uid="{00000000-0005-0000-0000-000009100000}"/>
    <cellStyle name="20% - Accent6 3 2 2 2 2" xfId="4107" xr:uid="{00000000-0005-0000-0000-00000A100000}"/>
    <cellStyle name="20% - Accent6 3 2 2 2 2 2" xfId="4108" xr:uid="{00000000-0005-0000-0000-00000B100000}"/>
    <cellStyle name="20% - Accent6 3 2 2 2 2 2 2" xfId="4109" xr:uid="{00000000-0005-0000-0000-00000C100000}"/>
    <cellStyle name="20% - Accent6 3 2 2 2 2 3" xfId="4110" xr:uid="{00000000-0005-0000-0000-00000D100000}"/>
    <cellStyle name="20% - Accent6 3 2 2 2 2 3 2" xfId="4111" xr:uid="{00000000-0005-0000-0000-00000E100000}"/>
    <cellStyle name="20% - Accent6 3 2 2 2 2 4" xfId="4112" xr:uid="{00000000-0005-0000-0000-00000F100000}"/>
    <cellStyle name="20% - Accent6 3 2 2 2 2 5" xfId="4113" xr:uid="{00000000-0005-0000-0000-000010100000}"/>
    <cellStyle name="20% - Accent6 3 2 2 2 3" xfId="4114" xr:uid="{00000000-0005-0000-0000-000011100000}"/>
    <cellStyle name="20% - Accent6 3 2 2 2 3 2" xfId="4115" xr:uid="{00000000-0005-0000-0000-000012100000}"/>
    <cellStyle name="20% - Accent6 3 2 2 2 4" xfId="4116" xr:uid="{00000000-0005-0000-0000-000013100000}"/>
    <cellStyle name="20% - Accent6 3 2 2 2 4 2" xfId="4117" xr:uid="{00000000-0005-0000-0000-000014100000}"/>
    <cellStyle name="20% - Accent6 3 2 2 2 5" xfId="4118" xr:uid="{00000000-0005-0000-0000-000015100000}"/>
    <cellStyle name="20% - Accent6 3 2 2 2 6" xfId="4119" xr:uid="{00000000-0005-0000-0000-000016100000}"/>
    <cellStyle name="20% - Accent6 3 2 2 3" xfId="4120" xr:uid="{00000000-0005-0000-0000-000017100000}"/>
    <cellStyle name="20% - Accent6 3 2 2 3 2" xfId="4121" xr:uid="{00000000-0005-0000-0000-000018100000}"/>
    <cellStyle name="20% - Accent6 3 2 2 3 2 2" xfId="4122" xr:uid="{00000000-0005-0000-0000-000019100000}"/>
    <cellStyle name="20% - Accent6 3 2 2 3 3" xfId="4123" xr:uid="{00000000-0005-0000-0000-00001A100000}"/>
    <cellStyle name="20% - Accent6 3 2 2 3 3 2" xfId="4124" xr:uid="{00000000-0005-0000-0000-00001B100000}"/>
    <cellStyle name="20% - Accent6 3 2 2 3 4" xfId="4125" xr:uid="{00000000-0005-0000-0000-00001C100000}"/>
    <cellStyle name="20% - Accent6 3 2 2 3 5" xfId="4126" xr:uid="{00000000-0005-0000-0000-00001D100000}"/>
    <cellStyle name="20% - Accent6 3 2 2 4" xfId="4127" xr:uid="{00000000-0005-0000-0000-00001E100000}"/>
    <cellStyle name="20% - Accent6 3 2 2 4 2" xfId="4128" xr:uid="{00000000-0005-0000-0000-00001F100000}"/>
    <cellStyle name="20% - Accent6 3 2 2 5" xfId="4129" xr:uid="{00000000-0005-0000-0000-000020100000}"/>
    <cellStyle name="20% - Accent6 3 2 2 5 2" xfId="4130" xr:uid="{00000000-0005-0000-0000-000021100000}"/>
    <cellStyle name="20% - Accent6 3 2 2 6" xfId="4131" xr:uid="{00000000-0005-0000-0000-000022100000}"/>
    <cellStyle name="20% - Accent6 3 2 2 7" xfId="4132" xr:uid="{00000000-0005-0000-0000-000023100000}"/>
    <cellStyle name="20% - Accent6 3 2 2 8" xfId="4133" xr:uid="{00000000-0005-0000-0000-000024100000}"/>
    <cellStyle name="20% - Accent6 3 2 3" xfId="4134" xr:uid="{00000000-0005-0000-0000-000025100000}"/>
    <cellStyle name="20% - Accent6 3 2 3 2" xfId="4135" xr:uid="{00000000-0005-0000-0000-000026100000}"/>
    <cellStyle name="20% - Accent6 3 2 3 2 2" xfId="4136" xr:uid="{00000000-0005-0000-0000-000027100000}"/>
    <cellStyle name="20% - Accent6 3 2 3 2 2 2" xfId="4137" xr:uid="{00000000-0005-0000-0000-000028100000}"/>
    <cellStyle name="20% - Accent6 3 2 3 2 3" xfId="4138" xr:uid="{00000000-0005-0000-0000-000029100000}"/>
    <cellStyle name="20% - Accent6 3 2 3 2 3 2" xfId="4139" xr:uid="{00000000-0005-0000-0000-00002A100000}"/>
    <cellStyle name="20% - Accent6 3 2 3 2 4" xfId="4140" xr:uid="{00000000-0005-0000-0000-00002B100000}"/>
    <cellStyle name="20% - Accent6 3 2 3 2 5" xfId="4141" xr:uid="{00000000-0005-0000-0000-00002C100000}"/>
    <cellStyle name="20% - Accent6 3 2 3 3" xfId="4142" xr:uid="{00000000-0005-0000-0000-00002D100000}"/>
    <cellStyle name="20% - Accent6 3 2 3 3 2" xfId="4143" xr:uid="{00000000-0005-0000-0000-00002E100000}"/>
    <cellStyle name="20% - Accent6 3 2 3 4" xfId="4144" xr:uid="{00000000-0005-0000-0000-00002F100000}"/>
    <cellStyle name="20% - Accent6 3 2 3 4 2" xfId="4145" xr:uid="{00000000-0005-0000-0000-000030100000}"/>
    <cellStyle name="20% - Accent6 3 2 3 5" xfId="4146" xr:uid="{00000000-0005-0000-0000-000031100000}"/>
    <cellStyle name="20% - Accent6 3 2 3 6" xfId="4147" xr:uid="{00000000-0005-0000-0000-000032100000}"/>
    <cellStyle name="20% - Accent6 3 2 3 7" xfId="4148" xr:uid="{00000000-0005-0000-0000-000033100000}"/>
    <cellStyle name="20% - Accent6 3 2 4" xfId="4149" xr:uid="{00000000-0005-0000-0000-000034100000}"/>
    <cellStyle name="20% - Accent6 3 2 4 2" xfId="4150" xr:uid="{00000000-0005-0000-0000-000035100000}"/>
    <cellStyle name="20% - Accent6 3 2 4 2 2" xfId="4151" xr:uid="{00000000-0005-0000-0000-000036100000}"/>
    <cellStyle name="20% - Accent6 3 2 4 3" xfId="4152" xr:uid="{00000000-0005-0000-0000-000037100000}"/>
    <cellStyle name="20% - Accent6 3 2 4 3 2" xfId="4153" xr:uid="{00000000-0005-0000-0000-000038100000}"/>
    <cellStyle name="20% - Accent6 3 2 4 4" xfId="4154" xr:uid="{00000000-0005-0000-0000-000039100000}"/>
    <cellStyle name="20% - Accent6 3 2 4 5" xfId="4155" xr:uid="{00000000-0005-0000-0000-00003A100000}"/>
    <cellStyle name="20% - Accent6 3 2 4 6" xfId="4156" xr:uid="{00000000-0005-0000-0000-00003B100000}"/>
    <cellStyle name="20% - Accent6 3 2 5" xfId="4157" xr:uid="{00000000-0005-0000-0000-00003C100000}"/>
    <cellStyle name="20% - Accent6 3 2 5 2" xfId="4158" xr:uid="{00000000-0005-0000-0000-00003D100000}"/>
    <cellStyle name="20% - Accent6 3 2 6" xfId="4159" xr:uid="{00000000-0005-0000-0000-00003E100000}"/>
    <cellStyle name="20% - Accent6 3 2 6 2" xfId="4160" xr:uid="{00000000-0005-0000-0000-00003F100000}"/>
    <cellStyle name="20% - Accent6 3 2 7" xfId="4161" xr:uid="{00000000-0005-0000-0000-000040100000}"/>
    <cellStyle name="20% - Accent6 3 2 8" xfId="4162" xr:uid="{00000000-0005-0000-0000-000041100000}"/>
    <cellStyle name="20% - Accent6 3 2 9" xfId="4163" xr:uid="{00000000-0005-0000-0000-000042100000}"/>
    <cellStyle name="20% - Accent6 3 3" xfId="4164" xr:uid="{00000000-0005-0000-0000-000043100000}"/>
    <cellStyle name="20% - Accent6 3 3 2" xfId="4165" xr:uid="{00000000-0005-0000-0000-000044100000}"/>
    <cellStyle name="20% - Accent6 3 3 2 2" xfId="4166" xr:uid="{00000000-0005-0000-0000-000045100000}"/>
    <cellStyle name="20% - Accent6 3 3 2 2 2" xfId="4167" xr:uid="{00000000-0005-0000-0000-000046100000}"/>
    <cellStyle name="20% - Accent6 3 3 2 2 2 2" xfId="4168" xr:uid="{00000000-0005-0000-0000-000047100000}"/>
    <cellStyle name="20% - Accent6 3 3 2 2 3" xfId="4169" xr:uid="{00000000-0005-0000-0000-000048100000}"/>
    <cellStyle name="20% - Accent6 3 3 2 2 3 2" xfId="4170" xr:uid="{00000000-0005-0000-0000-000049100000}"/>
    <cellStyle name="20% - Accent6 3 3 2 2 4" xfId="4171" xr:uid="{00000000-0005-0000-0000-00004A100000}"/>
    <cellStyle name="20% - Accent6 3 3 2 2 5" xfId="4172" xr:uid="{00000000-0005-0000-0000-00004B100000}"/>
    <cellStyle name="20% - Accent6 3 3 2 3" xfId="4173" xr:uid="{00000000-0005-0000-0000-00004C100000}"/>
    <cellStyle name="20% - Accent6 3 3 2 3 2" xfId="4174" xr:uid="{00000000-0005-0000-0000-00004D100000}"/>
    <cellStyle name="20% - Accent6 3 3 2 4" xfId="4175" xr:uid="{00000000-0005-0000-0000-00004E100000}"/>
    <cellStyle name="20% - Accent6 3 3 2 4 2" xfId="4176" xr:uid="{00000000-0005-0000-0000-00004F100000}"/>
    <cellStyle name="20% - Accent6 3 3 2 5" xfId="4177" xr:uid="{00000000-0005-0000-0000-000050100000}"/>
    <cellStyle name="20% - Accent6 3 3 2 6" xfId="4178" xr:uid="{00000000-0005-0000-0000-000051100000}"/>
    <cellStyle name="20% - Accent6 3 3 3" xfId="4179" xr:uid="{00000000-0005-0000-0000-000052100000}"/>
    <cellStyle name="20% - Accent6 3 3 3 2" xfId="4180" xr:uid="{00000000-0005-0000-0000-000053100000}"/>
    <cellStyle name="20% - Accent6 3 3 3 2 2" xfId="4181" xr:uid="{00000000-0005-0000-0000-000054100000}"/>
    <cellStyle name="20% - Accent6 3 3 3 3" xfId="4182" xr:uid="{00000000-0005-0000-0000-000055100000}"/>
    <cellStyle name="20% - Accent6 3 3 3 3 2" xfId="4183" xr:uid="{00000000-0005-0000-0000-000056100000}"/>
    <cellStyle name="20% - Accent6 3 3 3 4" xfId="4184" xr:uid="{00000000-0005-0000-0000-000057100000}"/>
    <cellStyle name="20% - Accent6 3 3 3 5" xfId="4185" xr:uid="{00000000-0005-0000-0000-000058100000}"/>
    <cellStyle name="20% - Accent6 3 3 4" xfId="4186" xr:uid="{00000000-0005-0000-0000-000059100000}"/>
    <cellStyle name="20% - Accent6 3 3 4 2" xfId="4187" xr:uid="{00000000-0005-0000-0000-00005A100000}"/>
    <cellStyle name="20% - Accent6 3 3 5" xfId="4188" xr:uid="{00000000-0005-0000-0000-00005B100000}"/>
    <cellStyle name="20% - Accent6 3 3 5 2" xfId="4189" xr:uid="{00000000-0005-0000-0000-00005C100000}"/>
    <cellStyle name="20% - Accent6 3 3 6" xfId="4190" xr:uid="{00000000-0005-0000-0000-00005D100000}"/>
    <cellStyle name="20% - Accent6 3 3 7" xfId="4191" xr:uid="{00000000-0005-0000-0000-00005E100000}"/>
    <cellStyle name="20% - Accent6 3 3 8" xfId="4192" xr:uid="{00000000-0005-0000-0000-00005F100000}"/>
    <cellStyle name="20% - Accent6 3 4" xfId="4193" xr:uid="{00000000-0005-0000-0000-000060100000}"/>
    <cellStyle name="20% - Accent6 3 4 2" xfId="4194" xr:uid="{00000000-0005-0000-0000-000061100000}"/>
    <cellStyle name="20% - Accent6 3 4 2 2" xfId="4195" xr:uid="{00000000-0005-0000-0000-000062100000}"/>
    <cellStyle name="20% - Accent6 3 4 2 2 2" xfId="4196" xr:uid="{00000000-0005-0000-0000-000063100000}"/>
    <cellStyle name="20% - Accent6 3 4 2 3" xfId="4197" xr:uid="{00000000-0005-0000-0000-000064100000}"/>
    <cellStyle name="20% - Accent6 3 4 2 3 2" xfId="4198" xr:uid="{00000000-0005-0000-0000-000065100000}"/>
    <cellStyle name="20% - Accent6 3 4 2 4" xfId="4199" xr:uid="{00000000-0005-0000-0000-000066100000}"/>
    <cellStyle name="20% - Accent6 3 4 2 5" xfId="4200" xr:uid="{00000000-0005-0000-0000-000067100000}"/>
    <cellStyle name="20% - Accent6 3 4 3" xfId="4201" xr:uid="{00000000-0005-0000-0000-000068100000}"/>
    <cellStyle name="20% - Accent6 3 4 3 2" xfId="4202" xr:uid="{00000000-0005-0000-0000-000069100000}"/>
    <cellStyle name="20% - Accent6 3 4 4" xfId="4203" xr:uid="{00000000-0005-0000-0000-00006A100000}"/>
    <cellStyle name="20% - Accent6 3 4 4 2" xfId="4204" xr:uid="{00000000-0005-0000-0000-00006B100000}"/>
    <cellStyle name="20% - Accent6 3 4 5" xfId="4205" xr:uid="{00000000-0005-0000-0000-00006C100000}"/>
    <cellStyle name="20% - Accent6 3 4 6" xfId="4206" xr:uid="{00000000-0005-0000-0000-00006D100000}"/>
    <cellStyle name="20% - Accent6 3 4 7" xfId="4207" xr:uid="{00000000-0005-0000-0000-00006E100000}"/>
    <cellStyle name="20% - Accent6 3 5" xfId="4208" xr:uid="{00000000-0005-0000-0000-00006F100000}"/>
    <cellStyle name="20% - Accent6 3 5 2" xfId="4209" xr:uid="{00000000-0005-0000-0000-000070100000}"/>
    <cellStyle name="20% - Accent6 3 5 2 2" xfId="4210" xr:uid="{00000000-0005-0000-0000-000071100000}"/>
    <cellStyle name="20% - Accent6 3 5 2 2 2" xfId="4211" xr:uid="{00000000-0005-0000-0000-000072100000}"/>
    <cellStyle name="20% - Accent6 3 5 2 3" xfId="4212" xr:uid="{00000000-0005-0000-0000-000073100000}"/>
    <cellStyle name="20% - Accent6 3 5 3" xfId="4213" xr:uid="{00000000-0005-0000-0000-000074100000}"/>
    <cellStyle name="20% - Accent6 3 5 3 2" xfId="4214" xr:uid="{00000000-0005-0000-0000-000075100000}"/>
    <cellStyle name="20% - Accent6 3 5 4" xfId="4215" xr:uid="{00000000-0005-0000-0000-000076100000}"/>
    <cellStyle name="20% - Accent6 3 5 4 2" xfId="4216" xr:uid="{00000000-0005-0000-0000-000077100000}"/>
    <cellStyle name="20% - Accent6 3 5 5" xfId="4217" xr:uid="{00000000-0005-0000-0000-000078100000}"/>
    <cellStyle name="20% - Accent6 3 5 6" xfId="4218" xr:uid="{00000000-0005-0000-0000-000079100000}"/>
    <cellStyle name="20% - Accent6 3 5 7" xfId="4219" xr:uid="{00000000-0005-0000-0000-00007A100000}"/>
    <cellStyle name="20% - Accent6 3 6" xfId="4220" xr:uid="{00000000-0005-0000-0000-00007B100000}"/>
    <cellStyle name="20% - Accent6 3 6 2" xfId="4221" xr:uid="{00000000-0005-0000-0000-00007C100000}"/>
    <cellStyle name="20% - Accent6 3 6 2 2" xfId="4222" xr:uid="{00000000-0005-0000-0000-00007D100000}"/>
    <cellStyle name="20% - Accent6 3 6 3" xfId="4223" xr:uid="{00000000-0005-0000-0000-00007E100000}"/>
    <cellStyle name="20% - Accent6 3 7" xfId="4224" xr:uid="{00000000-0005-0000-0000-00007F100000}"/>
    <cellStyle name="20% - Accent6 3 7 2" xfId="4225" xr:uid="{00000000-0005-0000-0000-000080100000}"/>
    <cellStyle name="20% - Accent6 3 8" xfId="4226" xr:uid="{00000000-0005-0000-0000-000081100000}"/>
    <cellStyle name="20% - Accent6 3 8 2" xfId="4227" xr:uid="{00000000-0005-0000-0000-000082100000}"/>
    <cellStyle name="20% - Accent6 3 9" xfId="4228" xr:uid="{00000000-0005-0000-0000-000083100000}"/>
    <cellStyle name="20% - Accent6 4" xfId="4229" xr:uid="{00000000-0005-0000-0000-000084100000}"/>
    <cellStyle name="20% - Accent6 4 10" xfId="4230" xr:uid="{00000000-0005-0000-0000-000085100000}"/>
    <cellStyle name="20% - Accent6 4 11" xfId="4231" xr:uid="{00000000-0005-0000-0000-000086100000}"/>
    <cellStyle name="20% - Accent6 4 2" xfId="4232" xr:uid="{00000000-0005-0000-0000-000087100000}"/>
    <cellStyle name="20% - Accent6 4 2 2" xfId="4233" xr:uid="{00000000-0005-0000-0000-000088100000}"/>
    <cellStyle name="20% - Accent6 4 2 2 2" xfId="4234" xr:uid="{00000000-0005-0000-0000-000089100000}"/>
    <cellStyle name="20% - Accent6 4 2 2 2 2" xfId="4235" xr:uid="{00000000-0005-0000-0000-00008A100000}"/>
    <cellStyle name="20% - Accent6 4 2 2 2 2 2" xfId="4236" xr:uid="{00000000-0005-0000-0000-00008B100000}"/>
    <cellStyle name="20% - Accent6 4 2 2 2 2 2 2" xfId="4237" xr:uid="{00000000-0005-0000-0000-00008C100000}"/>
    <cellStyle name="20% - Accent6 4 2 2 2 2 3" xfId="4238" xr:uid="{00000000-0005-0000-0000-00008D100000}"/>
    <cellStyle name="20% - Accent6 4 2 2 2 2 3 2" xfId="4239" xr:uid="{00000000-0005-0000-0000-00008E100000}"/>
    <cellStyle name="20% - Accent6 4 2 2 2 2 4" xfId="4240" xr:uid="{00000000-0005-0000-0000-00008F100000}"/>
    <cellStyle name="20% - Accent6 4 2 2 2 2 5" xfId="4241" xr:uid="{00000000-0005-0000-0000-000090100000}"/>
    <cellStyle name="20% - Accent6 4 2 2 2 3" xfId="4242" xr:uid="{00000000-0005-0000-0000-000091100000}"/>
    <cellStyle name="20% - Accent6 4 2 2 2 3 2" xfId="4243" xr:uid="{00000000-0005-0000-0000-000092100000}"/>
    <cellStyle name="20% - Accent6 4 2 2 2 4" xfId="4244" xr:uid="{00000000-0005-0000-0000-000093100000}"/>
    <cellStyle name="20% - Accent6 4 2 2 2 4 2" xfId="4245" xr:uid="{00000000-0005-0000-0000-000094100000}"/>
    <cellStyle name="20% - Accent6 4 2 2 2 5" xfId="4246" xr:uid="{00000000-0005-0000-0000-000095100000}"/>
    <cellStyle name="20% - Accent6 4 2 2 2 6" xfId="4247" xr:uid="{00000000-0005-0000-0000-000096100000}"/>
    <cellStyle name="20% - Accent6 4 2 2 3" xfId="4248" xr:uid="{00000000-0005-0000-0000-000097100000}"/>
    <cellStyle name="20% - Accent6 4 2 2 3 2" xfId="4249" xr:uid="{00000000-0005-0000-0000-000098100000}"/>
    <cellStyle name="20% - Accent6 4 2 2 3 2 2" xfId="4250" xr:uid="{00000000-0005-0000-0000-000099100000}"/>
    <cellStyle name="20% - Accent6 4 2 2 3 3" xfId="4251" xr:uid="{00000000-0005-0000-0000-00009A100000}"/>
    <cellStyle name="20% - Accent6 4 2 2 3 3 2" xfId="4252" xr:uid="{00000000-0005-0000-0000-00009B100000}"/>
    <cellStyle name="20% - Accent6 4 2 2 3 4" xfId="4253" xr:uid="{00000000-0005-0000-0000-00009C100000}"/>
    <cellStyle name="20% - Accent6 4 2 2 3 5" xfId="4254" xr:uid="{00000000-0005-0000-0000-00009D100000}"/>
    <cellStyle name="20% - Accent6 4 2 2 4" xfId="4255" xr:uid="{00000000-0005-0000-0000-00009E100000}"/>
    <cellStyle name="20% - Accent6 4 2 2 4 2" xfId="4256" xr:uid="{00000000-0005-0000-0000-00009F100000}"/>
    <cellStyle name="20% - Accent6 4 2 2 5" xfId="4257" xr:uid="{00000000-0005-0000-0000-0000A0100000}"/>
    <cellStyle name="20% - Accent6 4 2 2 5 2" xfId="4258" xr:uid="{00000000-0005-0000-0000-0000A1100000}"/>
    <cellStyle name="20% - Accent6 4 2 2 6" xfId="4259" xr:uid="{00000000-0005-0000-0000-0000A2100000}"/>
    <cellStyle name="20% - Accent6 4 2 2 7" xfId="4260" xr:uid="{00000000-0005-0000-0000-0000A3100000}"/>
    <cellStyle name="20% - Accent6 4 2 3" xfId="4261" xr:uid="{00000000-0005-0000-0000-0000A4100000}"/>
    <cellStyle name="20% - Accent6 4 2 3 2" xfId="4262" xr:uid="{00000000-0005-0000-0000-0000A5100000}"/>
    <cellStyle name="20% - Accent6 4 2 3 2 2" xfId="4263" xr:uid="{00000000-0005-0000-0000-0000A6100000}"/>
    <cellStyle name="20% - Accent6 4 2 3 2 2 2" xfId="4264" xr:uid="{00000000-0005-0000-0000-0000A7100000}"/>
    <cellStyle name="20% - Accent6 4 2 3 2 3" xfId="4265" xr:uid="{00000000-0005-0000-0000-0000A8100000}"/>
    <cellStyle name="20% - Accent6 4 2 3 2 3 2" xfId="4266" xr:uid="{00000000-0005-0000-0000-0000A9100000}"/>
    <cellStyle name="20% - Accent6 4 2 3 2 4" xfId="4267" xr:uid="{00000000-0005-0000-0000-0000AA100000}"/>
    <cellStyle name="20% - Accent6 4 2 3 2 5" xfId="4268" xr:uid="{00000000-0005-0000-0000-0000AB100000}"/>
    <cellStyle name="20% - Accent6 4 2 3 3" xfId="4269" xr:uid="{00000000-0005-0000-0000-0000AC100000}"/>
    <cellStyle name="20% - Accent6 4 2 3 3 2" xfId="4270" xr:uid="{00000000-0005-0000-0000-0000AD100000}"/>
    <cellStyle name="20% - Accent6 4 2 3 4" xfId="4271" xr:uid="{00000000-0005-0000-0000-0000AE100000}"/>
    <cellStyle name="20% - Accent6 4 2 3 4 2" xfId="4272" xr:uid="{00000000-0005-0000-0000-0000AF100000}"/>
    <cellStyle name="20% - Accent6 4 2 3 5" xfId="4273" xr:uid="{00000000-0005-0000-0000-0000B0100000}"/>
    <cellStyle name="20% - Accent6 4 2 3 6" xfId="4274" xr:uid="{00000000-0005-0000-0000-0000B1100000}"/>
    <cellStyle name="20% - Accent6 4 2 4" xfId="4275" xr:uid="{00000000-0005-0000-0000-0000B2100000}"/>
    <cellStyle name="20% - Accent6 4 2 4 2" xfId="4276" xr:uid="{00000000-0005-0000-0000-0000B3100000}"/>
    <cellStyle name="20% - Accent6 4 2 4 2 2" xfId="4277" xr:uid="{00000000-0005-0000-0000-0000B4100000}"/>
    <cellStyle name="20% - Accent6 4 2 4 3" xfId="4278" xr:uid="{00000000-0005-0000-0000-0000B5100000}"/>
    <cellStyle name="20% - Accent6 4 2 4 3 2" xfId="4279" xr:uid="{00000000-0005-0000-0000-0000B6100000}"/>
    <cellStyle name="20% - Accent6 4 2 4 4" xfId="4280" xr:uid="{00000000-0005-0000-0000-0000B7100000}"/>
    <cellStyle name="20% - Accent6 4 2 4 5" xfId="4281" xr:uid="{00000000-0005-0000-0000-0000B8100000}"/>
    <cellStyle name="20% - Accent6 4 2 5" xfId="4282" xr:uid="{00000000-0005-0000-0000-0000B9100000}"/>
    <cellStyle name="20% - Accent6 4 2 5 2" xfId="4283" xr:uid="{00000000-0005-0000-0000-0000BA100000}"/>
    <cellStyle name="20% - Accent6 4 2 6" xfId="4284" xr:uid="{00000000-0005-0000-0000-0000BB100000}"/>
    <cellStyle name="20% - Accent6 4 2 6 2" xfId="4285" xr:uid="{00000000-0005-0000-0000-0000BC100000}"/>
    <cellStyle name="20% - Accent6 4 2 7" xfId="4286" xr:uid="{00000000-0005-0000-0000-0000BD100000}"/>
    <cellStyle name="20% - Accent6 4 2 8" xfId="4287" xr:uid="{00000000-0005-0000-0000-0000BE100000}"/>
    <cellStyle name="20% - Accent6 4 2 9" xfId="4288" xr:uid="{00000000-0005-0000-0000-0000BF100000}"/>
    <cellStyle name="20% - Accent6 4 3" xfId="4289" xr:uid="{00000000-0005-0000-0000-0000C0100000}"/>
    <cellStyle name="20% - Accent6 4 3 2" xfId="4290" xr:uid="{00000000-0005-0000-0000-0000C1100000}"/>
    <cellStyle name="20% - Accent6 4 3 2 2" xfId="4291" xr:uid="{00000000-0005-0000-0000-0000C2100000}"/>
    <cellStyle name="20% - Accent6 4 3 2 2 2" xfId="4292" xr:uid="{00000000-0005-0000-0000-0000C3100000}"/>
    <cellStyle name="20% - Accent6 4 3 2 2 2 2" xfId="4293" xr:uid="{00000000-0005-0000-0000-0000C4100000}"/>
    <cellStyle name="20% - Accent6 4 3 2 2 3" xfId="4294" xr:uid="{00000000-0005-0000-0000-0000C5100000}"/>
    <cellStyle name="20% - Accent6 4 3 2 2 3 2" xfId="4295" xr:uid="{00000000-0005-0000-0000-0000C6100000}"/>
    <cellStyle name="20% - Accent6 4 3 2 2 4" xfId="4296" xr:uid="{00000000-0005-0000-0000-0000C7100000}"/>
    <cellStyle name="20% - Accent6 4 3 2 2 5" xfId="4297" xr:uid="{00000000-0005-0000-0000-0000C8100000}"/>
    <cellStyle name="20% - Accent6 4 3 2 3" xfId="4298" xr:uid="{00000000-0005-0000-0000-0000C9100000}"/>
    <cellStyle name="20% - Accent6 4 3 2 3 2" xfId="4299" xr:uid="{00000000-0005-0000-0000-0000CA100000}"/>
    <cellStyle name="20% - Accent6 4 3 2 4" xfId="4300" xr:uid="{00000000-0005-0000-0000-0000CB100000}"/>
    <cellStyle name="20% - Accent6 4 3 2 4 2" xfId="4301" xr:uid="{00000000-0005-0000-0000-0000CC100000}"/>
    <cellStyle name="20% - Accent6 4 3 2 5" xfId="4302" xr:uid="{00000000-0005-0000-0000-0000CD100000}"/>
    <cellStyle name="20% - Accent6 4 3 2 6" xfId="4303" xr:uid="{00000000-0005-0000-0000-0000CE100000}"/>
    <cellStyle name="20% - Accent6 4 3 3" xfId="4304" xr:uid="{00000000-0005-0000-0000-0000CF100000}"/>
    <cellStyle name="20% - Accent6 4 3 3 2" xfId="4305" xr:uid="{00000000-0005-0000-0000-0000D0100000}"/>
    <cellStyle name="20% - Accent6 4 3 3 2 2" xfId="4306" xr:uid="{00000000-0005-0000-0000-0000D1100000}"/>
    <cellStyle name="20% - Accent6 4 3 3 3" xfId="4307" xr:uid="{00000000-0005-0000-0000-0000D2100000}"/>
    <cellStyle name="20% - Accent6 4 3 3 3 2" xfId="4308" xr:uid="{00000000-0005-0000-0000-0000D3100000}"/>
    <cellStyle name="20% - Accent6 4 3 3 4" xfId="4309" xr:uid="{00000000-0005-0000-0000-0000D4100000}"/>
    <cellStyle name="20% - Accent6 4 3 3 5" xfId="4310" xr:uid="{00000000-0005-0000-0000-0000D5100000}"/>
    <cellStyle name="20% - Accent6 4 3 4" xfId="4311" xr:uid="{00000000-0005-0000-0000-0000D6100000}"/>
    <cellStyle name="20% - Accent6 4 3 4 2" xfId="4312" xr:uid="{00000000-0005-0000-0000-0000D7100000}"/>
    <cellStyle name="20% - Accent6 4 3 5" xfId="4313" xr:uid="{00000000-0005-0000-0000-0000D8100000}"/>
    <cellStyle name="20% - Accent6 4 3 5 2" xfId="4314" xr:uid="{00000000-0005-0000-0000-0000D9100000}"/>
    <cellStyle name="20% - Accent6 4 3 6" xfId="4315" xr:uid="{00000000-0005-0000-0000-0000DA100000}"/>
    <cellStyle name="20% - Accent6 4 3 7" xfId="4316" xr:uid="{00000000-0005-0000-0000-0000DB100000}"/>
    <cellStyle name="20% - Accent6 4 3 8" xfId="4317" xr:uid="{00000000-0005-0000-0000-0000DC100000}"/>
    <cellStyle name="20% - Accent6 4 4" xfId="4318" xr:uid="{00000000-0005-0000-0000-0000DD100000}"/>
    <cellStyle name="20% - Accent6 4 4 2" xfId="4319" xr:uid="{00000000-0005-0000-0000-0000DE100000}"/>
    <cellStyle name="20% - Accent6 4 4 2 2" xfId="4320" xr:uid="{00000000-0005-0000-0000-0000DF100000}"/>
    <cellStyle name="20% - Accent6 4 4 2 2 2" xfId="4321" xr:uid="{00000000-0005-0000-0000-0000E0100000}"/>
    <cellStyle name="20% - Accent6 4 4 2 3" xfId="4322" xr:uid="{00000000-0005-0000-0000-0000E1100000}"/>
    <cellStyle name="20% - Accent6 4 4 2 3 2" xfId="4323" xr:uid="{00000000-0005-0000-0000-0000E2100000}"/>
    <cellStyle name="20% - Accent6 4 4 2 4" xfId="4324" xr:uid="{00000000-0005-0000-0000-0000E3100000}"/>
    <cellStyle name="20% - Accent6 4 4 2 5" xfId="4325" xr:uid="{00000000-0005-0000-0000-0000E4100000}"/>
    <cellStyle name="20% - Accent6 4 4 3" xfId="4326" xr:uid="{00000000-0005-0000-0000-0000E5100000}"/>
    <cellStyle name="20% - Accent6 4 4 3 2" xfId="4327" xr:uid="{00000000-0005-0000-0000-0000E6100000}"/>
    <cellStyle name="20% - Accent6 4 4 4" xfId="4328" xr:uid="{00000000-0005-0000-0000-0000E7100000}"/>
    <cellStyle name="20% - Accent6 4 4 4 2" xfId="4329" xr:uid="{00000000-0005-0000-0000-0000E8100000}"/>
    <cellStyle name="20% - Accent6 4 4 5" xfId="4330" xr:uid="{00000000-0005-0000-0000-0000E9100000}"/>
    <cellStyle name="20% - Accent6 4 4 6" xfId="4331" xr:uid="{00000000-0005-0000-0000-0000EA100000}"/>
    <cellStyle name="20% - Accent6 4 4 7" xfId="4332" xr:uid="{00000000-0005-0000-0000-0000EB100000}"/>
    <cellStyle name="20% - Accent6 4 5" xfId="4333" xr:uid="{00000000-0005-0000-0000-0000EC100000}"/>
    <cellStyle name="20% - Accent6 4 5 2" xfId="4334" xr:uid="{00000000-0005-0000-0000-0000ED100000}"/>
    <cellStyle name="20% - Accent6 4 5 2 2" xfId="4335" xr:uid="{00000000-0005-0000-0000-0000EE100000}"/>
    <cellStyle name="20% - Accent6 4 5 2 2 2" xfId="4336" xr:uid="{00000000-0005-0000-0000-0000EF100000}"/>
    <cellStyle name="20% - Accent6 4 5 2 3" xfId="4337" xr:uid="{00000000-0005-0000-0000-0000F0100000}"/>
    <cellStyle name="20% - Accent6 4 5 3" xfId="4338" xr:uid="{00000000-0005-0000-0000-0000F1100000}"/>
    <cellStyle name="20% - Accent6 4 5 3 2" xfId="4339" xr:uid="{00000000-0005-0000-0000-0000F2100000}"/>
    <cellStyle name="20% - Accent6 4 5 4" xfId="4340" xr:uid="{00000000-0005-0000-0000-0000F3100000}"/>
    <cellStyle name="20% - Accent6 4 5 4 2" xfId="4341" xr:uid="{00000000-0005-0000-0000-0000F4100000}"/>
    <cellStyle name="20% - Accent6 4 5 5" xfId="4342" xr:uid="{00000000-0005-0000-0000-0000F5100000}"/>
    <cellStyle name="20% - Accent6 4 5 6" xfId="4343" xr:uid="{00000000-0005-0000-0000-0000F6100000}"/>
    <cellStyle name="20% - Accent6 4 6" xfId="4344" xr:uid="{00000000-0005-0000-0000-0000F7100000}"/>
    <cellStyle name="20% - Accent6 4 6 2" xfId="4345" xr:uid="{00000000-0005-0000-0000-0000F8100000}"/>
    <cellStyle name="20% - Accent6 4 6 2 2" xfId="4346" xr:uid="{00000000-0005-0000-0000-0000F9100000}"/>
    <cellStyle name="20% - Accent6 4 6 3" xfId="4347" xr:uid="{00000000-0005-0000-0000-0000FA100000}"/>
    <cellStyle name="20% - Accent6 4 7" xfId="4348" xr:uid="{00000000-0005-0000-0000-0000FB100000}"/>
    <cellStyle name="20% - Accent6 4 7 2" xfId="4349" xr:uid="{00000000-0005-0000-0000-0000FC100000}"/>
    <cellStyle name="20% - Accent6 4 8" xfId="4350" xr:uid="{00000000-0005-0000-0000-0000FD100000}"/>
    <cellStyle name="20% - Accent6 4 8 2" xfId="4351" xr:uid="{00000000-0005-0000-0000-0000FE100000}"/>
    <cellStyle name="20% - Accent6 4 9" xfId="4352" xr:uid="{00000000-0005-0000-0000-0000FF100000}"/>
    <cellStyle name="20% - Accent6 5" xfId="4353" xr:uid="{00000000-0005-0000-0000-000000110000}"/>
    <cellStyle name="20% - Accent6 5 2" xfId="4354" xr:uid="{00000000-0005-0000-0000-000001110000}"/>
    <cellStyle name="20% - Accent6 5 2 2" xfId="4355" xr:uid="{00000000-0005-0000-0000-000002110000}"/>
    <cellStyle name="20% - Accent6 5 2 2 2" xfId="4356" xr:uid="{00000000-0005-0000-0000-000003110000}"/>
    <cellStyle name="20% - Accent6 5 2 2 2 2" xfId="4357" xr:uid="{00000000-0005-0000-0000-000004110000}"/>
    <cellStyle name="20% - Accent6 5 2 2 2 2 2" xfId="4358" xr:uid="{00000000-0005-0000-0000-000005110000}"/>
    <cellStyle name="20% - Accent6 5 2 2 2 2 2 2" xfId="4359" xr:uid="{00000000-0005-0000-0000-000006110000}"/>
    <cellStyle name="20% - Accent6 5 2 2 2 2 3" xfId="4360" xr:uid="{00000000-0005-0000-0000-000007110000}"/>
    <cellStyle name="20% - Accent6 5 2 2 2 2 3 2" xfId="4361" xr:uid="{00000000-0005-0000-0000-000008110000}"/>
    <cellStyle name="20% - Accent6 5 2 2 2 2 4" xfId="4362" xr:uid="{00000000-0005-0000-0000-000009110000}"/>
    <cellStyle name="20% - Accent6 5 2 2 2 2 5" xfId="4363" xr:uid="{00000000-0005-0000-0000-00000A110000}"/>
    <cellStyle name="20% - Accent6 5 2 2 2 3" xfId="4364" xr:uid="{00000000-0005-0000-0000-00000B110000}"/>
    <cellStyle name="20% - Accent6 5 2 2 2 3 2" xfId="4365" xr:uid="{00000000-0005-0000-0000-00000C110000}"/>
    <cellStyle name="20% - Accent6 5 2 2 2 4" xfId="4366" xr:uid="{00000000-0005-0000-0000-00000D110000}"/>
    <cellStyle name="20% - Accent6 5 2 2 2 4 2" xfId="4367" xr:uid="{00000000-0005-0000-0000-00000E110000}"/>
    <cellStyle name="20% - Accent6 5 2 2 2 5" xfId="4368" xr:uid="{00000000-0005-0000-0000-00000F110000}"/>
    <cellStyle name="20% - Accent6 5 2 2 2 6" xfId="4369" xr:uid="{00000000-0005-0000-0000-000010110000}"/>
    <cellStyle name="20% - Accent6 5 2 2 3" xfId="4370" xr:uid="{00000000-0005-0000-0000-000011110000}"/>
    <cellStyle name="20% - Accent6 5 2 2 3 2" xfId="4371" xr:uid="{00000000-0005-0000-0000-000012110000}"/>
    <cellStyle name="20% - Accent6 5 2 2 3 2 2" xfId="4372" xr:uid="{00000000-0005-0000-0000-000013110000}"/>
    <cellStyle name="20% - Accent6 5 2 2 3 3" xfId="4373" xr:uid="{00000000-0005-0000-0000-000014110000}"/>
    <cellStyle name="20% - Accent6 5 2 2 3 3 2" xfId="4374" xr:uid="{00000000-0005-0000-0000-000015110000}"/>
    <cellStyle name="20% - Accent6 5 2 2 3 4" xfId="4375" xr:uid="{00000000-0005-0000-0000-000016110000}"/>
    <cellStyle name="20% - Accent6 5 2 2 3 5" xfId="4376" xr:uid="{00000000-0005-0000-0000-000017110000}"/>
    <cellStyle name="20% - Accent6 5 2 2 4" xfId="4377" xr:uid="{00000000-0005-0000-0000-000018110000}"/>
    <cellStyle name="20% - Accent6 5 2 2 4 2" xfId="4378" xr:uid="{00000000-0005-0000-0000-000019110000}"/>
    <cellStyle name="20% - Accent6 5 2 2 5" xfId="4379" xr:uid="{00000000-0005-0000-0000-00001A110000}"/>
    <cellStyle name="20% - Accent6 5 2 2 5 2" xfId="4380" xr:uid="{00000000-0005-0000-0000-00001B110000}"/>
    <cellStyle name="20% - Accent6 5 2 2 6" xfId="4381" xr:uid="{00000000-0005-0000-0000-00001C110000}"/>
    <cellStyle name="20% - Accent6 5 2 2 7" xfId="4382" xr:uid="{00000000-0005-0000-0000-00001D110000}"/>
    <cellStyle name="20% - Accent6 5 2 3" xfId="4383" xr:uid="{00000000-0005-0000-0000-00001E110000}"/>
    <cellStyle name="20% - Accent6 5 2 3 2" xfId="4384" xr:uid="{00000000-0005-0000-0000-00001F110000}"/>
    <cellStyle name="20% - Accent6 5 2 3 2 2" xfId="4385" xr:uid="{00000000-0005-0000-0000-000020110000}"/>
    <cellStyle name="20% - Accent6 5 2 3 2 2 2" xfId="4386" xr:uid="{00000000-0005-0000-0000-000021110000}"/>
    <cellStyle name="20% - Accent6 5 2 3 2 3" xfId="4387" xr:uid="{00000000-0005-0000-0000-000022110000}"/>
    <cellStyle name="20% - Accent6 5 2 3 2 3 2" xfId="4388" xr:uid="{00000000-0005-0000-0000-000023110000}"/>
    <cellStyle name="20% - Accent6 5 2 3 2 4" xfId="4389" xr:uid="{00000000-0005-0000-0000-000024110000}"/>
    <cellStyle name="20% - Accent6 5 2 3 2 5" xfId="4390" xr:uid="{00000000-0005-0000-0000-000025110000}"/>
    <cellStyle name="20% - Accent6 5 2 3 3" xfId="4391" xr:uid="{00000000-0005-0000-0000-000026110000}"/>
    <cellStyle name="20% - Accent6 5 2 3 3 2" xfId="4392" xr:uid="{00000000-0005-0000-0000-000027110000}"/>
    <cellStyle name="20% - Accent6 5 2 3 4" xfId="4393" xr:uid="{00000000-0005-0000-0000-000028110000}"/>
    <cellStyle name="20% - Accent6 5 2 3 4 2" xfId="4394" xr:uid="{00000000-0005-0000-0000-000029110000}"/>
    <cellStyle name="20% - Accent6 5 2 3 5" xfId="4395" xr:uid="{00000000-0005-0000-0000-00002A110000}"/>
    <cellStyle name="20% - Accent6 5 2 3 6" xfId="4396" xr:uid="{00000000-0005-0000-0000-00002B110000}"/>
    <cellStyle name="20% - Accent6 5 2 4" xfId="4397" xr:uid="{00000000-0005-0000-0000-00002C110000}"/>
    <cellStyle name="20% - Accent6 5 2 4 2" xfId="4398" xr:uid="{00000000-0005-0000-0000-00002D110000}"/>
    <cellStyle name="20% - Accent6 5 2 4 2 2" xfId="4399" xr:uid="{00000000-0005-0000-0000-00002E110000}"/>
    <cellStyle name="20% - Accent6 5 2 4 3" xfId="4400" xr:uid="{00000000-0005-0000-0000-00002F110000}"/>
    <cellStyle name="20% - Accent6 5 2 4 3 2" xfId="4401" xr:uid="{00000000-0005-0000-0000-000030110000}"/>
    <cellStyle name="20% - Accent6 5 2 4 4" xfId="4402" xr:uid="{00000000-0005-0000-0000-000031110000}"/>
    <cellStyle name="20% - Accent6 5 2 4 5" xfId="4403" xr:uid="{00000000-0005-0000-0000-000032110000}"/>
    <cellStyle name="20% - Accent6 5 2 5" xfId="4404" xr:uid="{00000000-0005-0000-0000-000033110000}"/>
    <cellStyle name="20% - Accent6 5 2 5 2" xfId="4405" xr:uid="{00000000-0005-0000-0000-000034110000}"/>
    <cellStyle name="20% - Accent6 5 2 6" xfId="4406" xr:uid="{00000000-0005-0000-0000-000035110000}"/>
    <cellStyle name="20% - Accent6 5 2 6 2" xfId="4407" xr:uid="{00000000-0005-0000-0000-000036110000}"/>
    <cellStyle name="20% - Accent6 5 2 7" xfId="4408" xr:uid="{00000000-0005-0000-0000-000037110000}"/>
    <cellStyle name="20% - Accent6 5 2 8" xfId="4409" xr:uid="{00000000-0005-0000-0000-000038110000}"/>
    <cellStyle name="20% - Accent6 5 3" xfId="4410" xr:uid="{00000000-0005-0000-0000-000039110000}"/>
    <cellStyle name="20% - Accent6 5 3 2" xfId="4411" xr:uid="{00000000-0005-0000-0000-00003A110000}"/>
    <cellStyle name="20% - Accent6 5 3 2 2" xfId="4412" xr:uid="{00000000-0005-0000-0000-00003B110000}"/>
    <cellStyle name="20% - Accent6 5 3 2 2 2" xfId="4413" xr:uid="{00000000-0005-0000-0000-00003C110000}"/>
    <cellStyle name="20% - Accent6 5 3 2 2 2 2" xfId="4414" xr:uid="{00000000-0005-0000-0000-00003D110000}"/>
    <cellStyle name="20% - Accent6 5 3 2 2 3" xfId="4415" xr:uid="{00000000-0005-0000-0000-00003E110000}"/>
    <cellStyle name="20% - Accent6 5 3 2 2 3 2" xfId="4416" xr:uid="{00000000-0005-0000-0000-00003F110000}"/>
    <cellStyle name="20% - Accent6 5 3 2 2 4" xfId="4417" xr:uid="{00000000-0005-0000-0000-000040110000}"/>
    <cellStyle name="20% - Accent6 5 3 2 2 5" xfId="4418" xr:uid="{00000000-0005-0000-0000-000041110000}"/>
    <cellStyle name="20% - Accent6 5 3 2 3" xfId="4419" xr:uid="{00000000-0005-0000-0000-000042110000}"/>
    <cellStyle name="20% - Accent6 5 3 2 3 2" xfId="4420" xr:uid="{00000000-0005-0000-0000-000043110000}"/>
    <cellStyle name="20% - Accent6 5 3 2 4" xfId="4421" xr:uid="{00000000-0005-0000-0000-000044110000}"/>
    <cellStyle name="20% - Accent6 5 3 2 4 2" xfId="4422" xr:uid="{00000000-0005-0000-0000-000045110000}"/>
    <cellStyle name="20% - Accent6 5 3 2 5" xfId="4423" xr:uid="{00000000-0005-0000-0000-000046110000}"/>
    <cellStyle name="20% - Accent6 5 3 2 6" xfId="4424" xr:uid="{00000000-0005-0000-0000-000047110000}"/>
    <cellStyle name="20% - Accent6 5 3 3" xfId="4425" xr:uid="{00000000-0005-0000-0000-000048110000}"/>
    <cellStyle name="20% - Accent6 5 3 3 2" xfId="4426" xr:uid="{00000000-0005-0000-0000-000049110000}"/>
    <cellStyle name="20% - Accent6 5 3 3 2 2" xfId="4427" xr:uid="{00000000-0005-0000-0000-00004A110000}"/>
    <cellStyle name="20% - Accent6 5 3 3 3" xfId="4428" xr:uid="{00000000-0005-0000-0000-00004B110000}"/>
    <cellStyle name="20% - Accent6 5 3 3 3 2" xfId="4429" xr:uid="{00000000-0005-0000-0000-00004C110000}"/>
    <cellStyle name="20% - Accent6 5 3 3 4" xfId="4430" xr:uid="{00000000-0005-0000-0000-00004D110000}"/>
    <cellStyle name="20% - Accent6 5 3 3 5" xfId="4431" xr:uid="{00000000-0005-0000-0000-00004E110000}"/>
    <cellStyle name="20% - Accent6 5 3 4" xfId="4432" xr:uid="{00000000-0005-0000-0000-00004F110000}"/>
    <cellStyle name="20% - Accent6 5 3 4 2" xfId="4433" xr:uid="{00000000-0005-0000-0000-000050110000}"/>
    <cellStyle name="20% - Accent6 5 3 5" xfId="4434" xr:uid="{00000000-0005-0000-0000-000051110000}"/>
    <cellStyle name="20% - Accent6 5 3 5 2" xfId="4435" xr:uid="{00000000-0005-0000-0000-000052110000}"/>
    <cellStyle name="20% - Accent6 5 3 6" xfId="4436" xr:uid="{00000000-0005-0000-0000-000053110000}"/>
    <cellStyle name="20% - Accent6 5 3 7" xfId="4437" xr:uid="{00000000-0005-0000-0000-000054110000}"/>
    <cellStyle name="20% - Accent6 5 4" xfId="4438" xr:uid="{00000000-0005-0000-0000-000055110000}"/>
    <cellStyle name="20% - Accent6 5 4 2" xfId="4439" xr:uid="{00000000-0005-0000-0000-000056110000}"/>
    <cellStyle name="20% - Accent6 5 4 2 2" xfId="4440" xr:uid="{00000000-0005-0000-0000-000057110000}"/>
    <cellStyle name="20% - Accent6 5 4 2 2 2" xfId="4441" xr:uid="{00000000-0005-0000-0000-000058110000}"/>
    <cellStyle name="20% - Accent6 5 4 2 3" xfId="4442" xr:uid="{00000000-0005-0000-0000-000059110000}"/>
    <cellStyle name="20% - Accent6 5 4 2 3 2" xfId="4443" xr:uid="{00000000-0005-0000-0000-00005A110000}"/>
    <cellStyle name="20% - Accent6 5 4 2 4" xfId="4444" xr:uid="{00000000-0005-0000-0000-00005B110000}"/>
    <cellStyle name="20% - Accent6 5 4 2 5" xfId="4445" xr:uid="{00000000-0005-0000-0000-00005C110000}"/>
    <cellStyle name="20% - Accent6 5 4 3" xfId="4446" xr:uid="{00000000-0005-0000-0000-00005D110000}"/>
    <cellStyle name="20% - Accent6 5 4 3 2" xfId="4447" xr:uid="{00000000-0005-0000-0000-00005E110000}"/>
    <cellStyle name="20% - Accent6 5 4 4" xfId="4448" xr:uid="{00000000-0005-0000-0000-00005F110000}"/>
    <cellStyle name="20% - Accent6 5 4 4 2" xfId="4449" xr:uid="{00000000-0005-0000-0000-000060110000}"/>
    <cellStyle name="20% - Accent6 5 4 5" xfId="4450" xr:uid="{00000000-0005-0000-0000-000061110000}"/>
    <cellStyle name="20% - Accent6 5 4 6" xfId="4451" xr:uid="{00000000-0005-0000-0000-000062110000}"/>
    <cellStyle name="20% - Accent6 5 5" xfId="4452" xr:uid="{00000000-0005-0000-0000-000063110000}"/>
    <cellStyle name="20% - Accent6 5 5 2" xfId="4453" xr:uid="{00000000-0005-0000-0000-000064110000}"/>
    <cellStyle name="20% - Accent6 5 5 2 2" xfId="4454" xr:uid="{00000000-0005-0000-0000-000065110000}"/>
    <cellStyle name="20% - Accent6 5 5 2 2 2" xfId="4455" xr:uid="{00000000-0005-0000-0000-000066110000}"/>
    <cellStyle name="20% - Accent6 5 5 2 3" xfId="4456" xr:uid="{00000000-0005-0000-0000-000067110000}"/>
    <cellStyle name="20% - Accent6 5 5 3" xfId="4457" xr:uid="{00000000-0005-0000-0000-000068110000}"/>
    <cellStyle name="20% - Accent6 5 5 3 2" xfId="4458" xr:uid="{00000000-0005-0000-0000-000069110000}"/>
    <cellStyle name="20% - Accent6 5 5 4" xfId="4459" xr:uid="{00000000-0005-0000-0000-00006A110000}"/>
    <cellStyle name="20% - Accent6 5 5 4 2" xfId="4460" xr:uid="{00000000-0005-0000-0000-00006B110000}"/>
    <cellStyle name="20% - Accent6 5 5 5" xfId="4461" xr:uid="{00000000-0005-0000-0000-00006C110000}"/>
    <cellStyle name="20% - Accent6 5 5 6" xfId="4462" xr:uid="{00000000-0005-0000-0000-00006D110000}"/>
    <cellStyle name="20% - Accent6 5 6" xfId="4463" xr:uid="{00000000-0005-0000-0000-00006E110000}"/>
    <cellStyle name="20% - Accent6 5 6 2" xfId="4464" xr:uid="{00000000-0005-0000-0000-00006F110000}"/>
    <cellStyle name="20% - Accent6 5 7" xfId="4465" xr:uid="{00000000-0005-0000-0000-000070110000}"/>
    <cellStyle name="20% - Accent6 5 8" xfId="4466" xr:uid="{00000000-0005-0000-0000-000071110000}"/>
    <cellStyle name="20% - Accent6 6" xfId="4467" xr:uid="{00000000-0005-0000-0000-000072110000}"/>
    <cellStyle name="20% - Accent6 6 2" xfId="4468" xr:uid="{00000000-0005-0000-0000-000073110000}"/>
    <cellStyle name="20% - Accent6 6 2 2" xfId="4469" xr:uid="{00000000-0005-0000-0000-000074110000}"/>
    <cellStyle name="20% - Accent6 6 2 2 2" xfId="4470" xr:uid="{00000000-0005-0000-0000-000075110000}"/>
    <cellStyle name="20% - Accent6 6 2 2 2 2" xfId="4471" xr:uid="{00000000-0005-0000-0000-000076110000}"/>
    <cellStyle name="20% - Accent6 6 2 2 2 2 2" xfId="4472" xr:uid="{00000000-0005-0000-0000-000077110000}"/>
    <cellStyle name="20% - Accent6 6 2 2 2 3" xfId="4473" xr:uid="{00000000-0005-0000-0000-000078110000}"/>
    <cellStyle name="20% - Accent6 6 2 2 2 3 2" xfId="4474" xr:uid="{00000000-0005-0000-0000-000079110000}"/>
    <cellStyle name="20% - Accent6 6 2 2 2 4" xfId="4475" xr:uid="{00000000-0005-0000-0000-00007A110000}"/>
    <cellStyle name="20% - Accent6 6 2 2 2 5" xfId="4476" xr:uid="{00000000-0005-0000-0000-00007B110000}"/>
    <cellStyle name="20% - Accent6 6 2 2 3" xfId="4477" xr:uid="{00000000-0005-0000-0000-00007C110000}"/>
    <cellStyle name="20% - Accent6 6 2 2 3 2" xfId="4478" xr:uid="{00000000-0005-0000-0000-00007D110000}"/>
    <cellStyle name="20% - Accent6 6 2 2 4" xfId="4479" xr:uid="{00000000-0005-0000-0000-00007E110000}"/>
    <cellStyle name="20% - Accent6 6 2 2 4 2" xfId="4480" xr:uid="{00000000-0005-0000-0000-00007F110000}"/>
    <cellStyle name="20% - Accent6 6 2 2 5" xfId="4481" xr:uid="{00000000-0005-0000-0000-000080110000}"/>
    <cellStyle name="20% - Accent6 6 2 2 6" xfId="4482" xr:uid="{00000000-0005-0000-0000-000081110000}"/>
    <cellStyle name="20% - Accent6 6 2 3" xfId="4483" xr:uid="{00000000-0005-0000-0000-000082110000}"/>
    <cellStyle name="20% - Accent6 6 2 3 2" xfId="4484" xr:uid="{00000000-0005-0000-0000-000083110000}"/>
    <cellStyle name="20% - Accent6 6 2 3 2 2" xfId="4485" xr:uid="{00000000-0005-0000-0000-000084110000}"/>
    <cellStyle name="20% - Accent6 6 2 3 3" xfId="4486" xr:uid="{00000000-0005-0000-0000-000085110000}"/>
    <cellStyle name="20% - Accent6 6 2 3 3 2" xfId="4487" xr:uid="{00000000-0005-0000-0000-000086110000}"/>
    <cellStyle name="20% - Accent6 6 2 3 4" xfId="4488" xr:uid="{00000000-0005-0000-0000-000087110000}"/>
    <cellStyle name="20% - Accent6 6 2 3 5" xfId="4489" xr:uid="{00000000-0005-0000-0000-000088110000}"/>
    <cellStyle name="20% - Accent6 6 2 4" xfId="4490" xr:uid="{00000000-0005-0000-0000-000089110000}"/>
    <cellStyle name="20% - Accent6 6 2 4 2" xfId="4491" xr:uid="{00000000-0005-0000-0000-00008A110000}"/>
    <cellStyle name="20% - Accent6 6 2 5" xfId="4492" xr:uid="{00000000-0005-0000-0000-00008B110000}"/>
    <cellStyle name="20% - Accent6 6 2 5 2" xfId="4493" xr:uid="{00000000-0005-0000-0000-00008C110000}"/>
    <cellStyle name="20% - Accent6 6 2 6" xfId="4494" xr:uid="{00000000-0005-0000-0000-00008D110000}"/>
    <cellStyle name="20% - Accent6 6 2 7" xfId="4495" xr:uid="{00000000-0005-0000-0000-00008E110000}"/>
    <cellStyle name="20% - Accent6 6 3" xfId="4496" xr:uid="{00000000-0005-0000-0000-00008F110000}"/>
    <cellStyle name="20% - Accent6 6 3 2" xfId="4497" xr:uid="{00000000-0005-0000-0000-000090110000}"/>
    <cellStyle name="20% - Accent6 6 3 2 2" xfId="4498" xr:uid="{00000000-0005-0000-0000-000091110000}"/>
    <cellStyle name="20% - Accent6 6 3 2 2 2" xfId="4499" xr:uid="{00000000-0005-0000-0000-000092110000}"/>
    <cellStyle name="20% - Accent6 6 3 2 3" xfId="4500" xr:uid="{00000000-0005-0000-0000-000093110000}"/>
    <cellStyle name="20% - Accent6 6 3 2 3 2" xfId="4501" xr:uid="{00000000-0005-0000-0000-000094110000}"/>
    <cellStyle name="20% - Accent6 6 3 2 4" xfId="4502" xr:uid="{00000000-0005-0000-0000-000095110000}"/>
    <cellStyle name="20% - Accent6 6 3 2 5" xfId="4503" xr:uid="{00000000-0005-0000-0000-000096110000}"/>
    <cellStyle name="20% - Accent6 6 3 3" xfId="4504" xr:uid="{00000000-0005-0000-0000-000097110000}"/>
    <cellStyle name="20% - Accent6 6 3 3 2" xfId="4505" xr:uid="{00000000-0005-0000-0000-000098110000}"/>
    <cellStyle name="20% - Accent6 6 3 4" xfId="4506" xr:uid="{00000000-0005-0000-0000-000099110000}"/>
    <cellStyle name="20% - Accent6 6 3 4 2" xfId="4507" xr:uid="{00000000-0005-0000-0000-00009A110000}"/>
    <cellStyle name="20% - Accent6 6 3 5" xfId="4508" xr:uid="{00000000-0005-0000-0000-00009B110000}"/>
    <cellStyle name="20% - Accent6 6 3 6" xfId="4509" xr:uid="{00000000-0005-0000-0000-00009C110000}"/>
    <cellStyle name="20% - Accent6 6 4" xfId="4510" xr:uid="{00000000-0005-0000-0000-00009D110000}"/>
    <cellStyle name="20% - Accent6 6 4 2" xfId="4511" xr:uid="{00000000-0005-0000-0000-00009E110000}"/>
    <cellStyle name="20% - Accent6 6 4 2 2" xfId="4512" xr:uid="{00000000-0005-0000-0000-00009F110000}"/>
    <cellStyle name="20% - Accent6 6 4 3" xfId="4513" xr:uid="{00000000-0005-0000-0000-0000A0110000}"/>
    <cellStyle name="20% - Accent6 6 4 3 2" xfId="4514" xr:uid="{00000000-0005-0000-0000-0000A1110000}"/>
    <cellStyle name="20% - Accent6 6 4 4" xfId="4515" xr:uid="{00000000-0005-0000-0000-0000A2110000}"/>
    <cellStyle name="20% - Accent6 6 4 5" xfId="4516" xr:uid="{00000000-0005-0000-0000-0000A3110000}"/>
    <cellStyle name="20% - Accent6 6 5" xfId="4517" xr:uid="{00000000-0005-0000-0000-0000A4110000}"/>
    <cellStyle name="20% - Accent6 6 5 2" xfId="4518" xr:uid="{00000000-0005-0000-0000-0000A5110000}"/>
    <cellStyle name="20% - Accent6 6 6" xfId="4519" xr:uid="{00000000-0005-0000-0000-0000A6110000}"/>
    <cellStyle name="20% - Accent6 6 6 2" xfId="4520" xr:uid="{00000000-0005-0000-0000-0000A7110000}"/>
    <cellStyle name="20% - Accent6 6 7" xfId="4521" xr:uid="{00000000-0005-0000-0000-0000A8110000}"/>
    <cellStyle name="20% - Accent6 6 8" xfId="4522" xr:uid="{00000000-0005-0000-0000-0000A9110000}"/>
    <cellStyle name="20% - Accent6 6 9" xfId="4523" xr:uid="{00000000-0005-0000-0000-0000AA110000}"/>
    <cellStyle name="20% - Accent6 7" xfId="4524" xr:uid="{00000000-0005-0000-0000-0000AB110000}"/>
    <cellStyle name="20% - Accent6 7 2" xfId="4525" xr:uid="{00000000-0005-0000-0000-0000AC110000}"/>
    <cellStyle name="20% - Accent6 7 2 2" xfId="4526" xr:uid="{00000000-0005-0000-0000-0000AD110000}"/>
    <cellStyle name="20% - Accent6 7 2 2 2" xfId="4527" xr:uid="{00000000-0005-0000-0000-0000AE110000}"/>
    <cellStyle name="20% - Accent6 7 2 2 2 2" xfId="4528" xr:uid="{00000000-0005-0000-0000-0000AF110000}"/>
    <cellStyle name="20% - Accent6 7 2 2 2 2 2" xfId="4529" xr:uid="{00000000-0005-0000-0000-0000B0110000}"/>
    <cellStyle name="20% - Accent6 7 2 2 2 3" xfId="4530" xr:uid="{00000000-0005-0000-0000-0000B1110000}"/>
    <cellStyle name="20% - Accent6 7 2 2 2 3 2" xfId="4531" xr:uid="{00000000-0005-0000-0000-0000B2110000}"/>
    <cellStyle name="20% - Accent6 7 2 2 2 4" xfId="4532" xr:uid="{00000000-0005-0000-0000-0000B3110000}"/>
    <cellStyle name="20% - Accent6 7 2 2 2 5" xfId="4533" xr:uid="{00000000-0005-0000-0000-0000B4110000}"/>
    <cellStyle name="20% - Accent6 7 2 2 3" xfId="4534" xr:uid="{00000000-0005-0000-0000-0000B5110000}"/>
    <cellStyle name="20% - Accent6 7 2 2 3 2" xfId="4535" xr:uid="{00000000-0005-0000-0000-0000B6110000}"/>
    <cellStyle name="20% - Accent6 7 2 2 4" xfId="4536" xr:uid="{00000000-0005-0000-0000-0000B7110000}"/>
    <cellStyle name="20% - Accent6 7 2 2 4 2" xfId="4537" xr:uid="{00000000-0005-0000-0000-0000B8110000}"/>
    <cellStyle name="20% - Accent6 7 2 2 5" xfId="4538" xr:uid="{00000000-0005-0000-0000-0000B9110000}"/>
    <cellStyle name="20% - Accent6 7 2 2 6" xfId="4539" xr:uid="{00000000-0005-0000-0000-0000BA110000}"/>
    <cellStyle name="20% - Accent6 7 2 3" xfId="4540" xr:uid="{00000000-0005-0000-0000-0000BB110000}"/>
    <cellStyle name="20% - Accent6 7 2 3 2" xfId="4541" xr:uid="{00000000-0005-0000-0000-0000BC110000}"/>
    <cellStyle name="20% - Accent6 7 2 3 2 2" xfId="4542" xr:uid="{00000000-0005-0000-0000-0000BD110000}"/>
    <cellStyle name="20% - Accent6 7 2 3 3" xfId="4543" xr:uid="{00000000-0005-0000-0000-0000BE110000}"/>
    <cellStyle name="20% - Accent6 7 2 3 3 2" xfId="4544" xr:uid="{00000000-0005-0000-0000-0000BF110000}"/>
    <cellStyle name="20% - Accent6 7 2 3 4" xfId="4545" xr:uid="{00000000-0005-0000-0000-0000C0110000}"/>
    <cellStyle name="20% - Accent6 7 2 3 5" xfId="4546" xr:uid="{00000000-0005-0000-0000-0000C1110000}"/>
    <cellStyle name="20% - Accent6 7 2 4" xfId="4547" xr:uid="{00000000-0005-0000-0000-0000C2110000}"/>
    <cellStyle name="20% - Accent6 7 2 4 2" xfId="4548" xr:uid="{00000000-0005-0000-0000-0000C3110000}"/>
    <cellStyle name="20% - Accent6 7 2 5" xfId="4549" xr:uid="{00000000-0005-0000-0000-0000C4110000}"/>
    <cellStyle name="20% - Accent6 7 2 5 2" xfId="4550" xr:uid="{00000000-0005-0000-0000-0000C5110000}"/>
    <cellStyle name="20% - Accent6 7 2 6" xfId="4551" xr:uid="{00000000-0005-0000-0000-0000C6110000}"/>
    <cellStyle name="20% - Accent6 7 2 7" xfId="4552" xr:uid="{00000000-0005-0000-0000-0000C7110000}"/>
    <cellStyle name="20% - Accent6 7 3" xfId="4553" xr:uid="{00000000-0005-0000-0000-0000C8110000}"/>
    <cellStyle name="20% - Accent6 7 3 2" xfId="4554" xr:uid="{00000000-0005-0000-0000-0000C9110000}"/>
    <cellStyle name="20% - Accent6 7 3 2 2" xfId="4555" xr:uid="{00000000-0005-0000-0000-0000CA110000}"/>
    <cellStyle name="20% - Accent6 7 3 2 2 2" xfId="4556" xr:uid="{00000000-0005-0000-0000-0000CB110000}"/>
    <cellStyle name="20% - Accent6 7 3 2 3" xfId="4557" xr:uid="{00000000-0005-0000-0000-0000CC110000}"/>
    <cellStyle name="20% - Accent6 7 3 2 3 2" xfId="4558" xr:uid="{00000000-0005-0000-0000-0000CD110000}"/>
    <cellStyle name="20% - Accent6 7 3 2 4" xfId="4559" xr:uid="{00000000-0005-0000-0000-0000CE110000}"/>
    <cellStyle name="20% - Accent6 7 3 2 5" xfId="4560" xr:uid="{00000000-0005-0000-0000-0000CF110000}"/>
    <cellStyle name="20% - Accent6 7 3 3" xfId="4561" xr:uid="{00000000-0005-0000-0000-0000D0110000}"/>
    <cellStyle name="20% - Accent6 7 3 3 2" xfId="4562" xr:uid="{00000000-0005-0000-0000-0000D1110000}"/>
    <cellStyle name="20% - Accent6 7 3 4" xfId="4563" xr:uid="{00000000-0005-0000-0000-0000D2110000}"/>
    <cellStyle name="20% - Accent6 7 3 4 2" xfId="4564" xr:uid="{00000000-0005-0000-0000-0000D3110000}"/>
    <cellStyle name="20% - Accent6 7 3 5" xfId="4565" xr:uid="{00000000-0005-0000-0000-0000D4110000}"/>
    <cellStyle name="20% - Accent6 7 3 6" xfId="4566" xr:uid="{00000000-0005-0000-0000-0000D5110000}"/>
    <cellStyle name="20% - Accent6 7 4" xfId="4567" xr:uid="{00000000-0005-0000-0000-0000D6110000}"/>
    <cellStyle name="20% - Accent6 7 4 2" xfId="4568" xr:uid="{00000000-0005-0000-0000-0000D7110000}"/>
    <cellStyle name="20% - Accent6 7 4 2 2" xfId="4569" xr:uid="{00000000-0005-0000-0000-0000D8110000}"/>
    <cellStyle name="20% - Accent6 7 4 3" xfId="4570" xr:uid="{00000000-0005-0000-0000-0000D9110000}"/>
    <cellStyle name="20% - Accent6 7 4 3 2" xfId="4571" xr:uid="{00000000-0005-0000-0000-0000DA110000}"/>
    <cellStyle name="20% - Accent6 7 4 4" xfId="4572" xr:uid="{00000000-0005-0000-0000-0000DB110000}"/>
    <cellStyle name="20% - Accent6 7 4 5" xfId="4573" xr:uid="{00000000-0005-0000-0000-0000DC110000}"/>
    <cellStyle name="20% - Accent6 7 5" xfId="4574" xr:uid="{00000000-0005-0000-0000-0000DD110000}"/>
    <cellStyle name="20% - Accent6 7 5 2" xfId="4575" xr:uid="{00000000-0005-0000-0000-0000DE110000}"/>
    <cellStyle name="20% - Accent6 7 6" xfId="4576" xr:uid="{00000000-0005-0000-0000-0000DF110000}"/>
    <cellStyle name="20% - Accent6 7 6 2" xfId="4577" xr:uid="{00000000-0005-0000-0000-0000E0110000}"/>
    <cellStyle name="20% - Accent6 7 7" xfId="4578" xr:uid="{00000000-0005-0000-0000-0000E1110000}"/>
    <cellStyle name="20% - Accent6 7 8" xfId="4579" xr:uid="{00000000-0005-0000-0000-0000E2110000}"/>
    <cellStyle name="20% - Accent6 7 9" xfId="4580" xr:uid="{00000000-0005-0000-0000-0000E3110000}"/>
    <cellStyle name="20% - Accent6 8" xfId="4581" xr:uid="{00000000-0005-0000-0000-0000E4110000}"/>
    <cellStyle name="20% - Accent6 8 2" xfId="4582" xr:uid="{00000000-0005-0000-0000-0000E5110000}"/>
    <cellStyle name="20% - Accent6 8 2 2" xfId="4583" xr:uid="{00000000-0005-0000-0000-0000E6110000}"/>
    <cellStyle name="20% - Accent6 8 2 2 2" xfId="4584" xr:uid="{00000000-0005-0000-0000-0000E7110000}"/>
    <cellStyle name="20% - Accent6 8 2 2 2 2" xfId="4585" xr:uid="{00000000-0005-0000-0000-0000E8110000}"/>
    <cellStyle name="20% - Accent6 8 2 2 2 2 2" xfId="4586" xr:uid="{00000000-0005-0000-0000-0000E9110000}"/>
    <cellStyle name="20% - Accent6 8 2 2 2 3" xfId="4587" xr:uid="{00000000-0005-0000-0000-0000EA110000}"/>
    <cellStyle name="20% - Accent6 8 2 2 2 3 2" xfId="4588" xr:uid="{00000000-0005-0000-0000-0000EB110000}"/>
    <cellStyle name="20% - Accent6 8 2 2 2 4" xfId="4589" xr:uid="{00000000-0005-0000-0000-0000EC110000}"/>
    <cellStyle name="20% - Accent6 8 2 2 2 5" xfId="4590" xr:uid="{00000000-0005-0000-0000-0000ED110000}"/>
    <cellStyle name="20% - Accent6 8 2 2 3" xfId="4591" xr:uid="{00000000-0005-0000-0000-0000EE110000}"/>
    <cellStyle name="20% - Accent6 8 2 2 3 2" xfId="4592" xr:uid="{00000000-0005-0000-0000-0000EF110000}"/>
    <cellStyle name="20% - Accent6 8 2 2 4" xfId="4593" xr:uid="{00000000-0005-0000-0000-0000F0110000}"/>
    <cellStyle name="20% - Accent6 8 2 2 4 2" xfId="4594" xr:uid="{00000000-0005-0000-0000-0000F1110000}"/>
    <cellStyle name="20% - Accent6 8 2 2 5" xfId="4595" xr:uid="{00000000-0005-0000-0000-0000F2110000}"/>
    <cellStyle name="20% - Accent6 8 2 2 6" xfId="4596" xr:uid="{00000000-0005-0000-0000-0000F3110000}"/>
    <cellStyle name="20% - Accent6 8 2 3" xfId="4597" xr:uid="{00000000-0005-0000-0000-0000F4110000}"/>
    <cellStyle name="20% - Accent6 8 2 3 2" xfId="4598" xr:uid="{00000000-0005-0000-0000-0000F5110000}"/>
    <cellStyle name="20% - Accent6 8 2 3 2 2" xfId="4599" xr:uid="{00000000-0005-0000-0000-0000F6110000}"/>
    <cellStyle name="20% - Accent6 8 2 3 3" xfId="4600" xr:uid="{00000000-0005-0000-0000-0000F7110000}"/>
    <cellStyle name="20% - Accent6 8 2 3 3 2" xfId="4601" xr:uid="{00000000-0005-0000-0000-0000F8110000}"/>
    <cellStyle name="20% - Accent6 8 2 3 4" xfId="4602" xr:uid="{00000000-0005-0000-0000-0000F9110000}"/>
    <cellStyle name="20% - Accent6 8 2 3 5" xfId="4603" xr:uid="{00000000-0005-0000-0000-0000FA110000}"/>
    <cellStyle name="20% - Accent6 8 2 4" xfId="4604" xr:uid="{00000000-0005-0000-0000-0000FB110000}"/>
    <cellStyle name="20% - Accent6 8 2 4 2" xfId="4605" xr:uid="{00000000-0005-0000-0000-0000FC110000}"/>
    <cellStyle name="20% - Accent6 8 2 5" xfId="4606" xr:uid="{00000000-0005-0000-0000-0000FD110000}"/>
    <cellStyle name="20% - Accent6 8 2 5 2" xfId="4607" xr:uid="{00000000-0005-0000-0000-0000FE110000}"/>
    <cellStyle name="20% - Accent6 8 2 6" xfId="4608" xr:uid="{00000000-0005-0000-0000-0000FF110000}"/>
    <cellStyle name="20% - Accent6 8 2 7" xfId="4609" xr:uid="{00000000-0005-0000-0000-000000120000}"/>
    <cellStyle name="20% - Accent6 8 3" xfId="4610" xr:uid="{00000000-0005-0000-0000-000001120000}"/>
    <cellStyle name="20% - Accent6 8 3 2" xfId="4611" xr:uid="{00000000-0005-0000-0000-000002120000}"/>
    <cellStyle name="20% - Accent6 8 3 2 2" xfId="4612" xr:uid="{00000000-0005-0000-0000-000003120000}"/>
    <cellStyle name="20% - Accent6 8 3 2 2 2" xfId="4613" xr:uid="{00000000-0005-0000-0000-000004120000}"/>
    <cellStyle name="20% - Accent6 8 3 2 3" xfId="4614" xr:uid="{00000000-0005-0000-0000-000005120000}"/>
    <cellStyle name="20% - Accent6 8 3 2 3 2" xfId="4615" xr:uid="{00000000-0005-0000-0000-000006120000}"/>
    <cellStyle name="20% - Accent6 8 3 2 4" xfId="4616" xr:uid="{00000000-0005-0000-0000-000007120000}"/>
    <cellStyle name="20% - Accent6 8 3 2 5" xfId="4617" xr:uid="{00000000-0005-0000-0000-000008120000}"/>
    <cellStyle name="20% - Accent6 8 3 3" xfId="4618" xr:uid="{00000000-0005-0000-0000-000009120000}"/>
    <cellStyle name="20% - Accent6 8 3 3 2" xfId="4619" xr:uid="{00000000-0005-0000-0000-00000A120000}"/>
    <cellStyle name="20% - Accent6 8 3 4" xfId="4620" xr:uid="{00000000-0005-0000-0000-00000B120000}"/>
    <cellStyle name="20% - Accent6 8 3 4 2" xfId="4621" xr:uid="{00000000-0005-0000-0000-00000C120000}"/>
    <cellStyle name="20% - Accent6 8 3 5" xfId="4622" xr:uid="{00000000-0005-0000-0000-00000D120000}"/>
    <cellStyle name="20% - Accent6 8 3 6" xfId="4623" xr:uid="{00000000-0005-0000-0000-00000E120000}"/>
    <cellStyle name="20% - Accent6 8 4" xfId="4624" xr:uid="{00000000-0005-0000-0000-00000F120000}"/>
    <cellStyle name="20% - Accent6 8 4 2" xfId="4625" xr:uid="{00000000-0005-0000-0000-000010120000}"/>
    <cellStyle name="20% - Accent6 8 4 2 2" xfId="4626" xr:uid="{00000000-0005-0000-0000-000011120000}"/>
    <cellStyle name="20% - Accent6 8 4 3" xfId="4627" xr:uid="{00000000-0005-0000-0000-000012120000}"/>
    <cellStyle name="20% - Accent6 8 4 3 2" xfId="4628" xr:uid="{00000000-0005-0000-0000-000013120000}"/>
    <cellStyle name="20% - Accent6 8 4 4" xfId="4629" xr:uid="{00000000-0005-0000-0000-000014120000}"/>
    <cellStyle name="20% - Accent6 8 4 5" xfId="4630" xr:uid="{00000000-0005-0000-0000-000015120000}"/>
    <cellStyle name="20% - Accent6 8 5" xfId="4631" xr:uid="{00000000-0005-0000-0000-000016120000}"/>
    <cellStyle name="20% - Accent6 8 5 2" xfId="4632" xr:uid="{00000000-0005-0000-0000-000017120000}"/>
    <cellStyle name="20% - Accent6 8 6" xfId="4633" xr:uid="{00000000-0005-0000-0000-000018120000}"/>
    <cellStyle name="20% - Accent6 8 6 2" xfId="4634" xr:uid="{00000000-0005-0000-0000-000019120000}"/>
    <cellStyle name="20% - Accent6 8 7" xfId="4635" xr:uid="{00000000-0005-0000-0000-00001A120000}"/>
    <cellStyle name="20% - Accent6 8 8" xfId="4636" xr:uid="{00000000-0005-0000-0000-00001B120000}"/>
    <cellStyle name="20% - Accent6 9" xfId="4637" xr:uid="{00000000-0005-0000-0000-00001C120000}"/>
    <cellStyle name="20% - Accent6 9 2" xfId="4638" xr:uid="{00000000-0005-0000-0000-00001D120000}"/>
    <cellStyle name="20% - Accent6 9 2 2" xfId="4639" xr:uid="{00000000-0005-0000-0000-00001E120000}"/>
    <cellStyle name="20% - Accent6 9 2 2 2" xfId="4640" xr:uid="{00000000-0005-0000-0000-00001F120000}"/>
    <cellStyle name="20% - Accent6 9 2 2 2 2" xfId="4641" xr:uid="{00000000-0005-0000-0000-000020120000}"/>
    <cellStyle name="20% - Accent6 9 2 2 2 2 2" xfId="4642" xr:uid="{00000000-0005-0000-0000-000021120000}"/>
    <cellStyle name="20% - Accent6 9 2 2 2 3" xfId="4643" xr:uid="{00000000-0005-0000-0000-000022120000}"/>
    <cellStyle name="20% - Accent6 9 2 2 2 3 2" xfId="4644" xr:uid="{00000000-0005-0000-0000-000023120000}"/>
    <cellStyle name="20% - Accent6 9 2 2 2 4" xfId="4645" xr:uid="{00000000-0005-0000-0000-000024120000}"/>
    <cellStyle name="20% - Accent6 9 2 2 2 5" xfId="4646" xr:uid="{00000000-0005-0000-0000-000025120000}"/>
    <cellStyle name="20% - Accent6 9 2 2 3" xfId="4647" xr:uid="{00000000-0005-0000-0000-000026120000}"/>
    <cellStyle name="20% - Accent6 9 2 2 3 2" xfId="4648" xr:uid="{00000000-0005-0000-0000-000027120000}"/>
    <cellStyle name="20% - Accent6 9 2 2 4" xfId="4649" xr:uid="{00000000-0005-0000-0000-000028120000}"/>
    <cellStyle name="20% - Accent6 9 2 2 4 2" xfId="4650" xr:uid="{00000000-0005-0000-0000-000029120000}"/>
    <cellStyle name="20% - Accent6 9 2 2 5" xfId="4651" xr:uid="{00000000-0005-0000-0000-00002A120000}"/>
    <cellStyle name="20% - Accent6 9 2 2 6" xfId="4652" xr:uid="{00000000-0005-0000-0000-00002B120000}"/>
    <cellStyle name="20% - Accent6 9 2 3" xfId="4653" xr:uid="{00000000-0005-0000-0000-00002C120000}"/>
    <cellStyle name="20% - Accent6 9 2 3 2" xfId="4654" xr:uid="{00000000-0005-0000-0000-00002D120000}"/>
    <cellStyle name="20% - Accent6 9 2 3 2 2" xfId="4655" xr:uid="{00000000-0005-0000-0000-00002E120000}"/>
    <cellStyle name="20% - Accent6 9 2 3 3" xfId="4656" xr:uid="{00000000-0005-0000-0000-00002F120000}"/>
    <cellStyle name="20% - Accent6 9 2 3 3 2" xfId="4657" xr:uid="{00000000-0005-0000-0000-000030120000}"/>
    <cellStyle name="20% - Accent6 9 2 3 4" xfId="4658" xr:uid="{00000000-0005-0000-0000-000031120000}"/>
    <cellStyle name="20% - Accent6 9 2 3 5" xfId="4659" xr:uid="{00000000-0005-0000-0000-000032120000}"/>
    <cellStyle name="20% - Accent6 9 2 4" xfId="4660" xr:uid="{00000000-0005-0000-0000-000033120000}"/>
    <cellStyle name="20% - Accent6 9 2 4 2" xfId="4661" xr:uid="{00000000-0005-0000-0000-000034120000}"/>
    <cellStyle name="20% - Accent6 9 2 5" xfId="4662" xr:uid="{00000000-0005-0000-0000-000035120000}"/>
    <cellStyle name="20% - Accent6 9 2 5 2" xfId="4663" xr:uid="{00000000-0005-0000-0000-000036120000}"/>
    <cellStyle name="20% - Accent6 9 2 6" xfId="4664" xr:uid="{00000000-0005-0000-0000-000037120000}"/>
    <cellStyle name="20% - Accent6 9 2 7" xfId="4665" xr:uid="{00000000-0005-0000-0000-000038120000}"/>
    <cellStyle name="20% - Accent6 9 3" xfId="4666" xr:uid="{00000000-0005-0000-0000-000039120000}"/>
    <cellStyle name="20% - Accent6 9 3 2" xfId="4667" xr:uid="{00000000-0005-0000-0000-00003A120000}"/>
    <cellStyle name="20% - Accent6 9 3 2 2" xfId="4668" xr:uid="{00000000-0005-0000-0000-00003B120000}"/>
    <cellStyle name="20% - Accent6 9 3 2 2 2" xfId="4669" xr:uid="{00000000-0005-0000-0000-00003C120000}"/>
    <cellStyle name="20% - Accent6 9 3 2 3" xfId="4670" xr:uid="{00000000-0005-0000-0000-00003D120000}"/>
    <cellStyle name="20% - Accent6 9 3 2 3 2" xfId="4671" xr:uid="{00000000-0005-0000-0000-00003E120000}"/>
    <cellStyle name="20% - Accent6 9 3 2 4" xfId="4672" xr:uid="{00000000-0005-0000-0000-00003F120000}"/>
    <cellStyle name="20% - Accent6 9 3 2 5" xfId="4673" xr:uid="{00000000-0005-0000-0000-000040120000}"/>
    <cellStyle name="20% - Accent6 9 3 3" xfId="4674" xr:uid="{00000000-0005-0000-0000-000041120000}"/>
    <cellStyle name="20% - Accent6 9 3 3 2" xfId="4675" xr:uid="{00000000-0005-0000-0000-000042120000}"/>
    <cellStyle name="20% - Accent6 9 3 4" xfId="4676" xr:uid="{00000000-0005-0000-0000-000043120000}"/>
    <cellStyle name="20% - Accent6 9 3 4 2" xfId="4677" xr:uid="{00000000-0005-0000-0000-000044120000}"/>
    <cellStyle name="20% - Accent6 9 3 5" xfId="4678" xr:uid="{00000000-0005-0000-0000-000045120000}"/>
    <cellStyle name="20% - Accent6 9 3 6" xfId="4679" xr:uid="{00000000-0005-0000-0000-000046120000}"/>
    <cellStyle name="20% - Accent6 9 4" xfId="4680" xr:uid="{00000000-0005-0000-0000-000047120000}"/>
    <cellStyle name="20% - Accent6 9 4 2" xfId="4681" xr:uid="{00000000-0005-0000-0000-000048120000}"/>
    <cellStyle name="20% - Accent6 9 4 2 2" xfId="4682" xr:uid="{00000000-0005-0000-0000-000049120000}"/>
    <cellStyle name="20% - Accent6 9 4 3" xfId="4683" xr:uid="{00000000-0005-0000-0000-00004A120000}"/>
    <cellStyle name="20% - Accent6 9 4 3 2" xfId="4684" xr:uid="{00000000-0005-0000-0000-00004B120000}"/>
    <cellStyle name="20% - Accent6 9 4 4" xfId="4685" xr:uid="{00000000-0005-0000-0000-00004C120000}"/>
    <cellStyle name="20% - Accent6 9 4 5" xfId="4686" xr:uid="{00000000-0005-0000-0000-00004D120000}"/>
    <cellStyle name="20% - Accent6 9 5" xfId="4687" xr:uid="{00000000-0005-0000-0000-00004E120000}"/>
    <cellStyle name="20% - Accent6 9 5 2" xfId="4688" xr:uid="{00000000-0005-0000-0000-00004F120000}"/>
    <cellStyle name="20% - Accent6 9 6" xfId="4689" xr:uid="{00000000-0005-0000-0000-000050120000}"/>
    <cellStyle name="20% - Accent6 9 6 2" xfId="4690" xr:uid="{00000000-0005-0000-0000-000051120000}"/>
    <cellStyle name="20% - Accent6 9 7" xfId="4691" xr:uid="{00000000-0005-0000-0000-000052120000}"/>
    <cellStyle name="20% - Accent6 9 8" xfId="4692" xr:uid="{00000000-0005-0000-0000-000053120000}"/>
    <cellStyle name="40% - Accent1 10" xfId="4693" xr:uid="{00000000-0005-0000-0000-000054120000}"/>
    <cellStyle name="40% - Accent1 10 2" xfId="4694" xr:uid="{00000000-0005-0000-0000-000055120000}"/>
    <cellStyle name="40% - Accent1 10 2 2" xfId="4695" xr:uid="{00000000-0005-0000-0000-000056120000}"/>
    <cellStyle name="40% - Accent1 10 2 2 2" xfId="4696" xr:uid="{00000000-0005-0000-0000-000057120000}"/>
    <cellStyle name="40% - Accent1 10 2 2 2 2" xfId="4697" xr:uid="{00000000-0005-0000-0000-000058120000}"/>
    <cellStyle name="40% - Accent1 10 2 2 2 2 2" xfId="4698" xr:uid="{00000000-0005-0000-0000-000059120000}"/>
    <cellStyle name="40% - Accent1 10 2 2 2 3" xfId="4699" xr:uid="{00000000-0005-0000-0000-00005A120000}"/>
    <cellStyle name="40% - Accent1 10 2 2 2 3 2" xfId="4700" xr:uid="{00000000-0005-0000-0000-00005B120000}"/>
    <cellStyle name="40% - Accent1 10 2 2 2 4" xfId="4701" xr:uid="{00000000-0005-0000-0000-00005C120000}"/>
    <cellStyle name="40% - Accent1 10 2 2 2 5" xfId="4702" xr:uid="{00000000-0005-0000-0000-00005D120000}"/>
    <cellStyle name="40% - Accent1 10 2 2 3" xfId="4703" xr:uid="{00000000-0005-0000-0000-00005E120000}"/>
    <cellStyle name="40% - Accent1 10 2 2 3 2" xfId="4704" xr:uid="{00000000-0005-0000-0000-00005F120000}"/>
    <cellStyle name="40% - Accent1 10 2 2 4" xfId="4705" xr:uid="{00000000-0005-0000-0000-000060120000}"/>
    <cellStyle name="40% - Accent1 10 2 2 4 2" xfId="4706" xr:uid="{00000000-0005-0000-0000-000061120000}"/>
    <cellStyle name="40% - Accent1 10 2 2 5" xfId="4707" xr:uid="{00000000-0005-0000-0000-000062120000}"/>
    <cellStyle name="40% - Accent1 10 2 2 6" xfId="4708" xr:uid="{00000000-0005-0000-0000-000063120000}"/>
    <cellStyle name="40% - Accent1 10 2 3" xfId="4709" xr:uid="{00000000-0005-0000-0000-000064120000}"/>
    <cellStyle name="40% - Accent1 10 2 3 2" xfId="4710" xr:uid="{00000000-0005-0000-0000-000065120000}"/>
    <cellStyle name="40% - Accent1 10 2 3 2 2" xfId="4711" xr:uid="{00000000-0005-0000-0000-000066120000}"/>
    <cellStyle name="40% - Accent1 10 2 3 3" xfId="4712" xr:uid="{00000000-0005-0000-0000-000067120000}"/>
    <cellStyle name="40% - Accent1 10 2 3 3 2" xfId="4713" xr:uid="{00000000-0005-0000-0000-000068120000}"/>
    <cellStyle name="40% - Accent1 10 2 3 4" xfId="4714" xr:uid="{00000000-0005-0000-0000-000069120000}"/>
    <cellStyle name="40% - Accent1 10 2 3 5" xfId="4715" xr:uid="{00000000-0005-0000-0000-00006A120000}"/>
    <cellStyle name="40% - Accent1 10 2 4" xfId="4716" xr:uid="{00000000-0005-0000-0000-00006B120000}"/>
    <cellStyle name="40% - Accent1 10 2 4 2" xfId="4717" xr:uid="{00000000-0005-0000-0000-00006C120000}"/>
    <cellStyle name="40% - Accent1 10 2 5" xfId="4718" xr:uid="{00000000-0005-0000-0000-00006D120000}"/>
    <cellStyle name="40% - Accent1 10 2 5 2" xfId="4719" xr:uid="{00000000-0005-0000-0000-00006E120000}"/>
    <cellStyle name="40% - Accent1 10 2 6" xfId="4720" xr:uid="{00000000-0005-0000-0000-00006F120000}"/>
    <cellStyle name="40% - Accent1 10 2 7" xfId="4721" xr:uid="{00000000-0005-0000-0000-000070120000}"/>
    <cellStyle name="40% - Accent1 10 3" xfId="4722" xr:uid="{00000000-0005-0000-0000-000071120000}"/>
    <cellStyle name="40% - Accent1 10 3 2" xfId="4723" xr:uid="{00000000-0005-0000-0000-000072120000}"/>
    <cellStyle name="40% - Accent1 10 3 2 2" xfId="4724" xr:uid="{00000000-0005-0000-0000-000073120000}"/>
    <cellStyle name="40% - Accent1 10 3 2 2 2" xfId="4725" xr:uid="{00000000-0005-0000-0000-000074120000}"/>
    <cellStyle name="40% - Accent1 10 3 2 3" xfId="4726" xr:uid="{00000000-0005-0000-0000-000075120000}"/>
    <cellStyle name="40% - Accent1 10 3 2 3 2" xfId="4727" xr:uid="{00000000-0005-0000-0000-000076120000}"/>
    <cellStyle name="40% - Accent1 10 3 2 4" xfId="4728" xr:uid="{00000000-0005-0000-0000-000077120000}"/>
    <cellStyle name="40% - Accent1 10 3 2 5" xfId="4729" xr:uid="{00000000-0005-0000-0000-000078120000}"/>
    <cellStyle name="40% - Accent1 10 3 3" xfId="4730" xr:uid="{00000000-0005-0000-0000-000079120000}"/>
    <cellStyle name="40% - Accent1 10 3 3 2" xfId="4731" xr:uid="{00000000-0005-0000-0000-00007A120000}"/>
    <cellStyle name="40% - Accent1 10 3 4" xfId="4732" xr:uid="{00000000-0005-0000-0000-00007B120000}"/>
    <cellStyle name="40% - Accent1 10 3 4 2" xfId="4733" xr:uid="{00000000-0005-0000-0000-00007C120000}"/>
    <cellStyle name="40% - Accent1 10 3 5" xfId="4734" xr:uid="{00000000-0005-0000-0000-00007D120000}"/>
    <cellStyle name="40% - Accent1 10 3 6" xfId="4735" xr:uid="{00000000-0005-0000-0000-00007E120000}"/>
    <cellStyle name="40% - Accent1 10 4" xfId="4736" xr:uid="{00000000-0005-0000-0000-00007F120000}"/>
    <cellStyle name="40% - Accent1 10 4 2" xfId="4737" xr:uid="{00000000-0005-0000-0000-000080120000}"/>
    <cellStyle name="40% - Accent1 10 4 2 2" xfId="4738" xr:uid="{00000000-0005-0000-0000-000081120000}"/>
    <cellStyle name="40% - Accent1 10 4 3" xfId="4739" xr:uid="{00000000-0005-0000-0000-000082120000}"/>
    <cellStyle name="40% - Accent1 10 4 3 2" xfId="4740" xr:uid="{00000000-0005-0000-0000-000083120000}"/>
    <cellStyle name="40% - Accent1 10 4 4" xfId="4741" xr:uid="{00000000-0005-0000-0000-000084120000}"/>
    <cellStyle name="40% - Accent1 10 4 5" xfId="4742" xr:uid="{00000000-0005-0000-0000-000085120000}"/>
    <cellStyle name="40% - Accent1 10 5" xfId="4743" xr:uid="{00000000-0005-0000-0000-000086120000}"/>
    <cellStyle name="40% - Accent1 10 5 2" xfId="4744" xr:uid="{00000000-0005-0000-0000-000087120000}"/>
    <cellStyle name="40% - Accent1 10 6" xfId="4745" xr:uid="{00000000-0005-0000-0000-000088120000}"/>
    <cellStyle name="40% - Accent1 10 6 2" xfId="4746" xr:uid="{00000000-0005-0000-0000-000089120000}"/>
    <cellStyle name="40% - Accent1 10 7" xfId="4747" xr:uid="{00000000-0005-0000-0000-00008A120000}"/>
    <cellStyle name="40% - Accent1 10 8" xfId="4748" xr:uid="{00000000-0005-0000-0000-00008B120000}"/>
    <cellStyle name="40% - Accent1 11" xfId="4749" xr:uid="{00000000-0005-0000-0000-00008C120000}"/>
    <cellStyle name="40% - Accent1 11 2" xfId="4750" xr:uid="{00000000-0005-0000-0000-00008D120000}"/>
    <cellStyle name="40% - Accent1 11 2 2" xfId="4751" xr:uid="{00000000-0005-0000-0000-00008E120000}"/>
    <cellStyle name="40% - Accent1 11 2 2 2" xfId="4752" xr:uid="{00000000-0005-0000-0000-00008F120000}"/>
    <cellStyle name="40% - Accent1 11 2 2 2 2" xfId="4753" xr:uid="{00000000-0005-0000-0000-000090120000}"/>
    <cellStyle name="40% - Accent1 11 2 2 3" xfId="4754" xr:uid="{00000000-0005-0000-0000-000091120000}"/>
    <cellStyle name="40% - Accent1 11 2 2 3 2" xfId="4755" xr:uid="{00000000-0005-0000-0000-000092120000}"/>
    <cellStyle name="40% - Accent1 11 2 2 4" xfId="4756" xr:uid="{00000000-0005-0000-0000-000093120000}"/>
    <cellStyle name="40% - Accent1 11 2 2 5" xfId="4757" xr:uid="{00000000-0005-0000-0000-000094120000}"/>
    <cellStyle name="40% - Accent1 11 2 3" xfId="4758" xr:uid="{00000000-0005-0000-0000-000095120000}"/>
    <cellStyle name="40% - Accent1 11 2 3 2" xfId="4759" xr:uid="{00000000-0005-0000-0000-000096120000}"/>
    <cellStyle name="40% - Accent1 11 2 4" xfId="4760" xr:uid="{00000000-0005-0000-0000-000097120000}"/>
    <cellStyle name="40% - Accent1 11 2 4 2" xfId="4761" xr:uid="{00000000-0005-0000-0000-000098120000}"/>
    <cellStyle name="40% - Accent1 11 2 5" xfId="4762" xr:uid="{00000000-0005-0000-0000-000099120000}"/>
    <cellStyle name="40% - Accent1 11 2 6" xfId="4763" xr:uid="{00000000-0005-0000-0000-00009A120000}"/>
    <cellStyle name="40% - Accent1 11 3" xfId="4764" xr:uid="{00000000-0005-0000-0000-00009B120000}"/>
    <cellStyle name="40% - Accent1 11 3 2" xfId="4765" xr:uid="{00000000-0005-0000-0000-00009C120000}"/>
    <cellStyle name="40% - Accent1 11 3 2 2" xfId="4766" xr:uid="{00000000-0005-0000-0000-00009D120000}"/>
    <cellStyle name="40% - Accent1 11 3 3" xfId="4767" xr:uid="{00000000-0005-0000-0000-00009E120000}"/>
    <cellStyle name="40% - Accent1 11 3 3 2" xfId="4768" xr:uid="{00000000-0005-0000-0000-00009F120000}"/>
    <cellStyle name="40% - Accent1 11 3 4" xfId="4769" xr:uid="{00000000-0005-0000-0000-0000A0120000}"/>
    <cellStyle name="40% - Accent1 11 3 5" xfId="4770" xr:uid="{00000000-0005-0000-0000-0000A1120000}"/>
    <cellStyle name="40% - Accent1 11 4" xfId="4771" xr:uid="{00000000-0005-0000-0000-0000A2120000}"/>
    <cellStyle name="40% - Accent1 11 4 2" xfId="4772" xr:uid="{00000000-0005-0000-0000-0000A3120000}"/>
    <cellStyle name="40% - Accent1 11 5" xfId="4773" xr:uid="{00000000-0005-0000-0000-0000A4120000}"/>
    <cellStyle name="40% - Accent1 11 5 2" xfId="4774" xr:uid="{00000000-0005-0000-0000-0000A5120000}"/>
    <cellStyle name="40% - Accent1 11 6" xfId="4775" xr:uid="{00000000-0005-0000-0000-0000A6120000}"/>
    <cellStyle name="40% - Accent1 11 7" xfId="4776" xr:uid="{00000000-0005-0000-0000-0000A7120000}"/>
    <cellStyle name="40% - Accent1 12" xfId="4777" xr:uid="{00000000-0005-0000-0000-0000A8120000}"/>
    <cellStyle name="40% - Accent1 12 2" xfId="4778" xr:uid="{00000000-0005-0000-0000-0000A9120000}"/>
    <cellStyle name="40% - Accent1 12 2 2" xfId="4779" xr:uid="{00000000-0005-0000-0000-0000AA120000}"/>
    <cellStyle name="40% - Accent1 12 2 2 2" xfId="4780" xr:uid="{00000000-0005-0000-0000-0000AB120000}"/>
    <cellStyle name="40% - Accent1 12 2 3" xfId="4781" xr:uid="{00000000-0005-0000-0000-0000AC120000}"/>
    <cellStyle name="40% - Accent1 12 2 3 2" xfId="4782" xr:uid="{00000000-0005-0000-0000-0000AD120000}"/>
    <cellStyle name="40% - Accent1 12 2 4" xfId="4783" xr:uid="{00000000-0005-0000-0000-0000AE120000}"/>
    <cellStyle name="40% - Accent1 12 2 5" xfId="4784" xr:uid="{00000000-0005-0000-0000-0000AF120000}"/>
    <cellStyle name="40% - Accent1 12 3" xfId="4785" xr:uid="{00000000-0005-0000-0000-0000B0120000}"/>
    <cellStyle name="40% - Accent1 12 3 2" xfId="4786" xr:uid="{00000000-0005-0000-0000-0000B1120000}"/>
    <cellStyle name="40% - Accent1 12 4" xfId="4787" xr:uid="{00000000-0005-0000-0000-0000B2120000}"/>
    <cellStyle name="40% - Accent1 12 4 2" xfId="4788" xr:uid="{00000000-0005-0000-0000-0000B3120000}"/>
    <cellStyle name="40% - Accent1 12 5" xfId="4789" xr:uid="{00000000-0005-0000-0000-0000B4120000}"/>
    <cellStyle name="40% - Accent1 12 6" xfId="4790" xr:uid="{00000000-0005-0000-0000-0000B5120000}"/>
    <cellStyle name="40% - Accent1 13" xfId="4791" xr:uid="{00000000-0005-0000-0000-0000B6120000}"/>
    <cellStyle name="40% - Accent1 13 2" xfId="4792" xr:uid="{00000000-0005-0000-0000-0000B7120000}"/>
    <cellStyle name="40% - Accent1 13 2 2" xfId="4793" xr:uid="{00000000-0005-0000-0000-0000B8120000}"/>
    <cellStyle name="40% - Accent1 13 2 2 2" xfId="4794" xr:uid="{00000000-0005-0000-0000-0000B9120000}"/>
    <cellStyle name="40% - Accent1 13 2 3" xfId="4795" xr:uid="{00000000-0005-0000-0000-0000BA120000}"/>
    <cellStyle name="40% - Accent1 13 2 3 2" xfId="4796" xr:uid="{00000000-0005-0000-0000-0000BB120000}"/>
    <cellStyle name="40% - Accent1 13 2 4" xfId="4797" xr:uid="{00000000-0005-0000-0000-0000BC120000}"/>
    <cellStyle name="40% - Accent1 13 2 5" xfId="4798" xr:uid="{00000000-0005-0000-0000-0000BD120000}"/>
    <cellStyle name="40% - Accent1 13 3" xfId="4799" xr:uid="{00000000-0005-0000-0000-0000BE120000}"/>
    <cellStyle name="40% - Accent1 13 3 2" xfId="4800" xr:uid="{00000000-0005-0000-0000-0000BF120000}"/>
    <cellStyle name="40% - Accent1 13 4" xfId="4801" xr:uid="{00000000-0005-0000-0000-0000C0120000}"/>
    <cellStyle name="40% - Accent1 13 4 2" xfId="4802" xr:uid="{00000000-0005-0000-0000-0000C1120000}"/>
    <cellStyle name="40% - Accent1 13 5" xfId="4803" xr:uid="{00000000-0005-0000-0000-0000C2120000}"/>
    <cellStyle name="40% - Accent1 13 6" xfId="4804" xr:uid="{00000000-0005-0000-0000-0000C3120000}"/>
    <cellStyle name="40% - Accent1 14" xfId="4805" xr:uid="{00000000-0005-0000-0000-0000C4120000}"/>
    <cellStyle name="40% - Accent1 14 2" xfId="4806" xr:uid="{00000000-0005-0000-0000-0000C5120000}"/>
    <cellStyle name="40% - Accent1 14 2 2" xfId="4807" xr:uid="{00000000-0005-0000-0000-0000C6120000}"/>
    <cellStyle name="40% - Accent1 14 2 2 2" xfId="4808" xr:uid="{00000000-0005-0000-0000-0000C7120000}"/>
    <cellStyle name="40% - Accent1 14 2 3" xfId="4809" xr:uid="{00000000-0005-0000-0000-0000C8120000}"/>
    <cellStyle name="40% - Accent1 14 2 3 2" xfId="4810" xr:uid="{00000000-0005-0000-0000-0000C9120000}"/>
    <cellStyle name="40% - Accent1 14 2 4" xfId="4811" xr:uid="{00000000-0005-0000-0000-0000CA120000}"/>
    <cellStyle name="40% - Accent1 14 2 5" xfId="4812" xr:uid="{00000000-0005-0000-0000-0000CB120000}"/>
    <cellStyle name="40% - Accent1 14 3" xfId="4813" xr:uid="{00000000-0005-0000-0000-0000CC120000}"/>
    <cellStyle name="40% - Accent1 14 3 2" xfId="4814" xr:uid="{00000000-0005-0000-0000-0000CD120000}"/>
    <cellStyle name="40% - Accent1 14 4" xfId="4815" xr:uid="{00000000-0005-0000-0000-0000CE120000}"/>
    <cellStyle name="40% - Accent1 14 4 2" xfId="4816" xr:uid="{00000000-0005-0000-0000-0000CF120000}"/>
    <cellStyle name="40% - Accent1 14 5" xfId="4817" xr:uid="{00000000-0005-0000-0000-0000D0120000}"/>
    <cellStyle name="40% - Accent1 14 6" xfId="4818" xr:uid="{00000000-0005-0000-0000-0000D1120000}"/>
    <cellStyle name="40% - Accent1 15" xfId="4819" xr:uid="{00000000-0005-0000-0000-0000D2120000}"/>
    <cellStyle name="40% - Accent1 15 2" xfId="4820" xr:uid="{00000000-0005-0000-0000-0000D3120000}"/>
    <cellStyle name="40% - Accent1 15 2 2" xfId="4821" xr:uid="{00000000-0005-0000-0000-0000D4120000}"/>
    <cellStyle name="40% - Accent1 15 2 2 2" xfId="4822" xr:uid="{00000000-0005-0000-0000-0000D5120000}"/>
    <cellStyle name="40% - Accent1 15 2 3" xfId="4823" xr:uid="{00000000-0005-0000-0000-0000D6120000}"/>
    <cellStyle name="40% - Accent1 15 2 3 2" xfId="4824" xr:uid="{00000000-0005-0000-0000-0000D7120000}"/>
    <cellStyle name="40% - Accent1 15 2 4" xfId="4825" xr:uid="{00000000-0005-0000-0000-0000D8120000}"/>
    <cellStyle name="40% - Accent1 15 2 5" xfId="4826" xr:uid="{00000000-0005-0000-0000-0000D9120000}"/>
    <cellStyle name="40% - Accent1 15 3" xfId="4827" xr:uid="{00000000-0005-0000-0000-0000DA120000}"/>
    <cellStyle name="40% - Accent1 15 3 2" xfId="4828" xr:uid="{00000000-0005-0000-0000-0000DB120000}"/>
    <cellStyle name="40% - Accent1 15 4" xfId="4829" xr:uid="{00000000-0005-0000-0000-0000DC120000}"/>
    <cellStyle name="40% - Accent1 15 4 2" xfId="4830" xr:uid="{00000000-0005-0000-0000-0000DD120000}"/>
    <cellStyle name="40% - Accent1 15 5" xfId="4831" xr:uid="{00000000-0005-0000-0000-0000DE120000}"/>
    <cellStyle name="40% - Accent1 15 6" xfId="4832" xr:uid="{00000000-0005-0000-0000-0000DF120000}"/>
    <cellStyle name="40% - Accent1 16" xfId="4833" xr:uid="{00000000-0005-0000-0000-0000E0120000}"/>
    <cellStyle name="40% - Accent1 16 2" xfId="4834" xr:uid="{00000000-0005-0000-0000-0000E1120000}"/>
    <cellStyle name="40% - Accent1 16 2 2" xfId="4835" xr:uid="{00000000-0005-0000-0000-0000E2120000}"/>
    <cellStyle name="40% - Accent1 16 2 3" xfId="4836" xr:uid="{00000000-0005-0000-0000-0000E3120000}"/>
    <cellStyle name="40% - Accent1 16 3" xfId="4837" xr:uid="{00000000-0005-0000-0000-0000E4120000}"/>
    <cellStyle name="40% - Accent1 16 4" xfId="4838" xr:uid="{00000000-0005-0000-0000-0000E5120000}"/>
    <cellStyle name="40% - Accent1 17" xfId="4839" xr:uid="{00000000-0005-0000-0000-0000E6120000}"/>
    <cellStyle name="40% - Accent1 17 2" xfId="4840" xr:uid="{00000000-0005-0000-0000-0000E7120000}"/>
    <cellStyle name="40% - Accent1 17 2 2" xfId="4841" xr:uid="{00000000-0005-0000-0000-0000E8120000}"/>
    <cellStyle name="40% - Accent1 17 2 3" xfId="4842" xr:uid="{00000000-0005-0000-0000-0000E9120000}"/>
    <cellStyle name="40% - Accent1 17 3" xfId="4843" xr:uid="{00000000-0005-0000-0000-0000EA120000}"/>
    <cellStyle name="40% - Accent1 17 4" xfId="4844" xr:uid="{00000000-0005-0000-0000-0000EB120000}"/>
    <cellStyle name="40% - Accent1 18" xfId="4845" xr:uid="{00000000-0005-0000-0000-0000EC120000}"/>
    <cellStyle name="40% - Accent1 18 2" xfId="4846" xr:uid="{00000000-0005-0000-0000-0000ED120000}"/>
    <cellStyle name="40% - Accent1 18 2 2" xfId="4847" xr:uid="{00000000-0005-0000-0000-0000EE120000}"/>
    <cellStyle name="40% - Accent1 18 2 3" xfId="4848" xr:uid="{00000000-0005-0000-0000-0000EF120000}"/>
    <cellStyle name="40% - Accent1 18 3" xfId="4849" xr:uid="{00000000-0005-0000-0000-0000F0120000}"/>
    <cellStyle name="40% - Accent1 18 4" xfId="4850" xr:uid="{00000000-0005-0000-0000-0000F1120000}"/>
    <cellStyle name="40% - Accent1 19" xfId="4851" xr:uid="{00000000-0005-0000-0000-0000F2120000}"/>
    <cellStyle name="40% - Accent1 19 2" xfId="4852" xr:uid="{00000000-0005-0000-0000-0000F3120000}"/>
    <cellStyle name="40% - Accent1 19 2 2" xfId="4853" xr:uid="{00000000-0005-0000-0000-0000F4120000}"/>
    <cellStyle name="40% - Accent1 19 2 3" xfId="4854" xr:uid="{00000000-0005-0000-0000-0000F5120000}"/>
    <cellStyle name="40% - Accent1 19 3" xfId="4855" xr:uid="{00000000-0005-0000-0000-0000F6120000}"/>
    <cellStyle name="40% - Accent1 19 4" xfId="4856" xr:uid="{00000000-0005-0000-0000-0000F7120000}"/>
    <cellStyle name="40% - Accent1 2" xfId="4857" xr:uid="{00000000-0005-0000-0000-0000F8120000}"/>
    <cellStyle name="40% - Accent1 2 2" xfId="4858" xr:uid="{00000000-0005-0000-0000-0000F9120000}"/>
    <cellStyle name="40% - Accent1 2 2 2" xfId="4859" xr:uid="{00000000-0005-0000-0000-0000FA120000}"/>
    <cellStyle name="40% - Accent1 2 2 3" xfId="4860" xr:uid="{00000000-0005-0000-0000-0000FB120000}"/>
    <cellStyle name="40% - Accent1 2 2 4" xfId="4861" xr:uid="{00000000-0005-0000-0000-0000FC120000}"/>
    <cellStyle name="40% - Accent1 2 2 5" xfId="4862" xr:uid="{00000000-0005-0000-0000-0000FD120000}"/>
    <cellStyle name="40% - Accent1 2 3" xfId="4863" xr:uid="{00000000-0005-0000-0000-0000FE120000}"/>
    <cellStyle name="40% - Accent1 2 3 2" xfId="4864" xr:uid="{00000000-0005-0000-0000-0000FF120000}"/>
    <cellStyle name="40% - Accent1 2 4" xfId="4865" xr:uid="{00000000-0005-0000-0000-000000130000}"/>
    <cellStyle name="40% - Accent1 2 4 2" xfId="4866" xr:uid="{00000000-0005-0000-0000-000001130000}"/>
    <cellStyle name="40% - Accent1 2 4 2 2" xfId="4867" xr:uid="{00000000-0005-0000-0000-000002130000}"/>
    <cellStyle name="40% - Accent1 2 4 3" xfId="4868" xr:uid="{00000000-0005-0000-0000-000003130000}"/>
    <cellStyle name="40% - Accent1 2 4 4" xfId="4869" xr:uid="{00000000-0005-0000-0000-000004130000}"/>
    <cellStyle name="40% - Accent1 2 5" xfId="4870" xr:uid="{00000000-0005-0000-0000-000005130000}"/>
    <cellStyle name="40% - Accent1 2 5 2" xfId="4871" xr:uid="{00000000-0005-0000-0000-000006130000}"/>
    <cellStyle name="40% - Accent1 2 5 3" xfId="4872" xr:uid="{00000000-0005-0000-0000-000007130000}"/>
    <cellStyle name="40% - Accent1 2 6" xfId="4873" xr:uid="{00000000-0005-0000-0000-000008130000}"/>
    <cellStyle name="40% - Accent1 2 7" xfId="4874" xr:uid="{00000000-0005-0000-0000-000009130000}"/>
    <cellStyle name="40% - Accent1 20" xfId="4875" xr:uid="{00000000-0005-0000-0000-00000A130000}"/>
    <cellStyle name="40% - Accent1 20 2" xfId="4876" xr:uid="{00000000-0005-0000-0000-00000B130000}"/>
    <cellStyle name="40% - Accent1 20 3" xfId="4877" xr:uid="{00000000-0005-0000-0000-00000C130000}"/>
    <cellStyle name="40% - Accent1 21" xfId="4878" xr:uid="{00000000-0005-0000-0000-00000D130000}"/>
    <cellStyle name="40% - Accent1 21 2" xfId="4879" xr:uid="{00000000-0005-0000-0000-00000E130000}"/>
    <cellStyle name="40% - Accent1 22" xfId="4880" xr:uid="{00000000-0005-0000-0000-00000F130000}"/>
    <cellStyle name="40% - Accent1 23" xfId="4881" xr:uid="{00000000-0005-0000-0000-000010130000}"/>
    <cellStyle name="40% - Accent1 24" xfId="4882" xr:uid="{00000000-0005-0000-0000-000011130000}"/>
    <cellStyle name="40% - Accent1 3" xfId="4883" xr:uid="{00000000-0005-0000-0000-000012130000}"/>
    <cellStyle name="40% - Accent1 3 10" xfId="4884" xr:uid="{00000000-0005-0000-0000-000013130000}"/>
    <cellStyle name="40% - Accent1 3 11" xfId="4885" xr:uid="{00000000-0005-0000-0000-000014130000}"/>
    <cellStyle name="40% - Accent1 3 2" xfId="4886" xr:uid="{00000000-0005-0000-0000-000015130000}"/>
    <cellStyle name="40% - Accent1 3 2 2" xfId="4887" xr:uid="{00000000-0005-0000-0000-000016130000}"/>
    <cellStyle name="40% - Accent1 3 2 2 2" xfId="4888" xr:uid="{00000000-0005-0000-0000-000017130000}"/>
    <cellStyle name="40% - Accent1 3 2 2 2 2" xfId="4889" xr:uid="{00000000-0005-0000-0000-000018130000}"/>
    <cellStyle name="40% - Accent1 3 2 2 2 2 2" xfId="4890" xr:uid="{00000000-0005-0000-0000-000019130000}"/>
    <cellStyle name="40% - Accent1 3 2 2 2 2 2 2" xfId="4891" xr:uid="{00000000-0005-0000-0000-00001A130000}"/>
    <cellStyle name="40% - Accent1 3 2 2 2 2 3" xfId="4892" xr:uid="{00000000-0005-0000-0000-00001B130000}"/>
    <cellStyle name="40% - Accent1 3 2 2 2 2 3 2" xfId="4893" xr:uid="{00000000-0005-0000-0000-00001C130000}"/>
    <cellStyle name="40% - Accent1 3 2 2 2 2 4" xfId="4894" xr:uid="{00000000-0005-0000-0000-00001D130000}"/>
    <cellStyle name="40% - Accent1 3 2 2 2 2 5" xfId="4895" xr:uid="{00000000-0005-0000-0000-00001E130000}"/>
    <cellStyle name="40% - Accent1 3 2 2 2 3" xfId="4896" xr:uid="{00000000-0005-0000-0000-00001F130000}"/>
    <cellStyle name="40% - Accent1 3 2 2 2 3 2" xfId="4897" xr:uid="{00000000-0005-0000-0000-000020130000}"/>
    <cellStyle name="40% - Accent1 3 2 2 2 4" xfId="4898" xr:uid="{00000000-0005-0000-0000-000021130000}"/>
    <cellStyle name="40% - Accent1 3 2 2 2 4 2" xfId="4899" xr:uid="{00000000-0005-0000-0000-000022130000}"/>
    <cellStyle name="40% - Accent1 3 2 2 2 5" xfId="4900" xr:uid="{00000000-0005-0000-0000-000023130000}"/>
    <cellStyle name="40% - Accent1 3 2 2 2 6" xfId="4901" xr:uid="{00000000-0005-0000-0000-000024130000}"/>
    <cellStyle name="40% - Accent1 3 2 2 3" xfId="4902" xr:uid="{00000000-0005-0000-0000-000025130000}"/>
    <cellStyle name="40% - Accent1 3 2 2 3 2" xfId="4903" xr:uid="{00000000-0005-0000-0000-000026130000}"/>
    <cellStyle name="40% - Accent1 3 2 2 3 2 2" xfId="4904" xr:uid="{00000000-0005-0000-0000-000027130000}"/>
    <cellStyle name="40% - Accent1 3 2 2 3 3" xfId="4905" xr:uid="{00000000-0005-0000-0000-000028130000}"/>
    <cellStyle name="40% - Accent1 3 2 2 3 3 2" xfId="4906" xr:uid="{00000000-0005-0000-0000-000029130000}"/>
    <cellStyle name="40% - Accent1 3 2 2 3 4" xfId="4907" xr:uid="{00000000-0005-0000-0000-00002A130000}"/>
    <cellStyle name="40% - Accent1 3 2 2 3 5" xfId="4908" xr:uid="{00000000-0005-0000-0000-00002B130000}"/>
    <cellStyle name="40% - Accent1 3 2 2 4" xfId="4909" xr:uid="{00000000-0005-0000-0000-00002C130000}"/>
    <cellStyle name="40% - Accent1 3 2 2 4 2" xfId="4910" xr:uid="{00000000-0005-0000-0000-00002D130000}"/>
    <cellStyle name="40% - Accent1 3 2 2 5" xfId="4911" xr:uid="{00000000-0005-0000-0000-00002E130000}"/>
    <cellStyle name="40% - Accent1 3 2 2 5 2" xfId="4912" xr:uid="{00000000-0005-0000-0000-00002F130000}"/>
    <cellStyle name="40% - Accent1 3 2 2 6" xfId="4913" xr:uid="{00000000-0005-0000-0000-000030130000}"/>
    <cellStyle name="40% - Accent1 3 2 2 7" xfId="4914" xr:uid="{00000000-0005-0000-0000-000031130000}"/>
    <cellStyle name="40% - Accent1 3 2 2 8" xfId="4915" xr:uid="{00000000-0005-0000-0000-000032130000}"/>
    <cellStyle name="40% - Accent1 3 2 3" xfId="4916" xr:uid="{00000000-0005-0000-0000-000033130000}"/>
    <cellStyle name="40% - Accent1 3 2 3 2" xfId="4917" xr:uid="{00000000-0005-0000-0000-000034130000}"/>
    <cellStyle name="40% - Accent1 3 2 3 2 2" xfId="4918" xr:uid="{00000000-0005-0000-0000-000035130000}"/>
    <cellStyle name="40% - Accent1 3 2 3 2 2 2" xfId="4919" xr:uid="{00000000-0005-0000-0000-000036130000}"/>
    <cellStyle name="40% - Accent1 3 2 3 2 3" xfId="4920" xr:uid="{00000000-0005-0000-0000-000037130000}"/>
    <cellStyle name="40% - Accent1 3 2 3 2 3 2" xfId="4921" xr:uid="{00000000-0005-0000-0000-000038130000}"/>
    <cellStyle name="40% - Accent1 3 2 3 2 4" xfId="4922" xr:uid="{00000000-0005-0000-0000-000039130000}"/>
    <cellStyle name="40% - Accent1 3 2 3 2 5" xfId="4923" xr:uid="{00000000-0005-0000-0000-00003A130000}"/>
    <cellStyle name="40% - Accent1 3 2 3 3" xfId="4924" xr:uid="{00000000-0005-0000-0000-00003B130000}"/>
    <cellStyle name="40% - Accent1 3 2 3 3 2" xfId="4925" xr:uid="{00000000-0005-0000-0000-00003C130000}"/>
    <cellStyle name="40% - Accent1 3 2 3 4" xfId="4926" xr:uid="{00000000-0005-0000-0000-00003D130000}"/>
    <cellStyle name="40% - Accent1 3 2 3 4 2" xfId="4927" xr:uid="{00000000-0005-0000-0000-00003E130000}"/>
    <cellStyle name="40% - Accent1 3 2 3 5" xfId="4928" xr:uid="{00000000-0005-0000-0000-00003F130000}"/>
    <cellStyle name="40% - Accent1 3 2 3 6" xfId="4929" xr:uid="{00000000-0005-0000-0000-000040130000}"/>
    <cellStyle name="40% - Accent1 3 2 3 7" xfId="4930" xr:uid="{00000000-0005-0000-0000-000041130000}"/>
    <cellStyle name="40% - Accent1 3 2 4" xfId="4931" xr:uid="{00000000-0005-0000-0000-000042130000}"/>
    <cellStyle name="40% - Accent1 3 2 4 2" xfId="4932" xr:uid="{00000000-0005-0000-0000-000043130000}"/>
    <cellStyle name="40% - Accent1 3 2 4 2 2" xfId="4933" xr:uid="{00000000-0005-0000-0000-000044130000}"/>
    <cellStyle name="40% - Accent1 3 2 4 3" xfId="4934" xr:uid="{00000000-0005-0000-0000-000045130000}"/>
    <cellStyle name="40% - Accent1 3 2 4 3 2" xfId="4935" xr:uid="{00000000-0005-0000-0000-000046130000}"/>
    <cellStyle name="40% - Accent1 3 2 4 4" xfId="4936" xr:uid="{00000000-0005-0000-0000-000047130000}"/>
    <cellStyle name="40% - Accent1 3 2 4 5" xfId="4937" xr:uid="{00000000-0005-0000-0000-000048130000}"/>
    <cellStyle name="40% - Accent1 3 2 4 6" xfId="4938" xr:uid="{00000000-0005-0000-0000-000049130000}"/>
    <cellStyle name="40% - Accent1 3 2 5" xfId="4939" xr:uid="{00000000-0005-0000-0000-00004A130000}"/>
    <cellStyle name="40% - Accent1 3 2 5 2" xfId="4940" xr:uid="{00000000-0005-0000-0000-00004B130000}"/>
    <cellStyle name="40% - Accent1 3 2 6" xfId="4941" xr:uid="{00000000-0005-0000-0000-00004C130000}"/>
    <cellStyle name="40% - Accent1 3 2 6 2" xfId="4942" xr:uid="{00000000-0005-0000-0000-00004D130000}"/>
    <cellStyle name="40% - Accent1 3 2 7" xfId="4943" xr:uid="{00000000-0005-0000-0000-00004E130000}"/>
    <cellStyle name="40% - Accent1 3 2 8" xfId="4944" xr:uid="{00000000-0005-0000-0000-00004F130000}"/>
    <cellStyle name="40% - Accent1 3 2 9" xfId="4945" xr:uid="{00000000-0005-0000-0000-000050130000}"/>
    <cellStyle name="40% - Accent1 3 3" xfId="4946" xr:uid="{00000000-0005-0000-0000-000051130000}"/>
    <cellStyle name="40% - Accent1 3 3 2" xfId="4947" xr:uid="{00000000-0005-0000-0000-000052130000}"/>
    <cellStyle name="40% - Accent1 3 3 2 2" xfId="4948" xr:uid="{00000000-0005-0000-0000-000053130000}"/>
    <cellStyle name="40% - Accent1 3 3 2 2 2" xfId="4949" xr:uid="{00000000-0005-0000-0000-000054130000}"/>
    <cellStyle name="40% - Accent1 3 3 2 2 2 2" xfId="4950" xr:uid="{00000000-0005-0000-0000-000055130000}"/>
    <cellStyle name="40% - Accent1 3 3 2 2 3" xfId="4951" xr:uid="{00000000-0005-0000-0000-000056130000}"/>
    <cellStyle name="40% - Accent1 3 3 2 2 3 2" xfId="4952" xr:uid="{00000000-0005-0000-0000-000057130000}"/>
    <cellStyle name="40% - Accent1 3 3 2 2 4" xfId="4953" xr:uid="{00000000-0005-0000-0000-000058130000}"/>
    <cellStyle name="40% - Accent1 3 3 2 2 5" xfId="4954" xr:uid="{00000000-0005-0000-0000-000059130000}"/>
    <cellStyle name="40% - Accent1 3 3 2 3" xfId="4955" xr:uid="{00000000-0005-0000-0000-00005A130000}"/>
    <cellStyle name="40% - Accent1 3 3 2 3 2" xfId="4956" xr:uid="{00000000-0005-0000-0000-00005B130000}"/>
    <cellStyle name="40% - Accent1 3 3 2 4" xfId="4957" xr:uid="{00000000-0005-0000-0000-00005C130000}"/>
    <cellStyle name="40% - Accent1 3 3 2 4 2" xfId="4958" xr:uid="{00000000-0005-0000-0000-00005D130000}"/>
    <cellStyle name="40% - Accent1 3 3 2 5" xfId="4959" xr:uid="{00000000-0005-0000-0000-00005E130000}"/>
    <cellStyle name="40% - Accent1 3 3 2 6" xfId="4960" xr:uid="{00000000-0005-0000-0000-00005F130000}"/>
    <cellStyle name="40% - Accent1 3 3 3" xfId="4961" xr:uid="{00000000-0005-0000-0000-000060130000}"/>
    <cellStyle name="40% - Accent1 3 3 3 2" xfId="4962" xr:uid="{00000000-0005-0000-0000-000061130000}"/>
    <cellStyle name="40% - Accent1 3 3 3 2 2" xfId="4963" xr:uid="{00000000-0005-0000-0000-000062130000}"/>
    <cellStyle name="40% - Accent1 3 3 3 3" xfId="4964" xr:uid="{00000000-0005-0000-0000-000063130000}"/>
    <cellStyle name="40% - Accent1 3 3 3 3 2" xfId="4965" xr:uid="{00000000-0005-0000-0000-000064130000}"/>
    <cellStyle name="40% - Accent1 3 3 3 4" xfId="4966" xr:uid="{00000000-0005-0000-0000-000065130000}"/>
    <cellStyle name="40% - Accent1 3 3 3 5" xfId="4967" xr:uid="{00000000-0005-0000-0000-000066130000}"/>
    <cellStyle name="40% - Accent1 3 3 4" xfId="4968" xr:uid="{00000000-0005-0000-0000-000067130000}"/>
    <cellStyle name="40% - Accent1 3 3 4 2" xfId="4969" xr:uid="{00000000-0005-0000-0000-000068130000}"/>
    <cellStyle name="40% - Accent1 3 3 5" xfId="4970" xr:uid="{00000000-0005-0000-0000-000069130000}"/>
    <cellStyle name="40% - Accent1 3 3 5 2" xfId="4971" xr:uid="{00000000-0005-0000-0000-00006A130000}"/>
    <cellStyle name="40% - Accent1 3 3 6" xfId="4972" xr:uid="{00000000-0005-0000-0000-00006B130000}"/>
    <cellStyle name="40% - Accent1 3 3 7" xfId="4973" xr:uid="{00000000-0005-0000-0000-00006C130000}"/>
    <cellStyle name="40% - Accent1 3 3 8" xfId="4974" xr:uid="{00000000-0005-0000-0000-00006D130000}"/>
    <cellStyle name="40% - Accent1 3 4" xfId="4975" xr:uid="{00000000-0005-0000-0000-00006E130000}"/>
    <cellStyle name="40% - Accent1 3 4 2" xfId="4976" xr:uid="{00000000-0005-0000-0000-00006F130000}"/>
    <cellStyle name="40% - Accent1 3 4 2 2" xfId="4977" xr:uid="{00000000-0005-0000-0000-000070130000}"/>
    <cellStyle name="40% - Accent1 3 4 2 2 2" xfId="4978" xr:uid="{00000000-0005-0000-0000-000071130000}"/>
    <cellStyle name="40% - Accent1 3 4 2 3" xfId="4979" xr:uid="{00000000-0005-0000-0000-000072130000}"/>
    <cellStyle name="40% - Accent1 3 4 2 3 2" xfId="4980" xr:uid="{00000000-0005-0000-0000-000073130000}"/>
    <cellStyle name="40% - Accent1 3 4 2 4" xfId="4981" xr:uid="{00000000-0005-0000-0000-000074130000}"/>
    <cellStyle name="40% - Accent1 3 4 2 5" xfId="4982" xr:uid="{00000000-0005-0000-0000-000075130000}"/>
    <cellStyle name="40% - Accent1 3 4 3" xfId="4983" xr:uid="{00000000-0005-0000-0000-000076130000}"/>
    <cellStyle name="40% - Accent1 3 4 3 2" xfId="4984" xr:uid="{00000000-0005-0000-0000-000077130000}"/>
    <cellStyle name="40% - Accent1 3 4 4" xfId="4985" xr:uid="{00000000-0005-0000-0000-000078130000}"/>
    <cellStyle name="40% - Accent1 3 4 4 2" xfId="4986" xr:uid="{00000000-0005-0000-0000-000079130000}"/>
    <cellStyle name="40% - Accent1 3 4 5" xfId="4987" xr:uid="{00000000-0005-0000-0000-00007A130000}"/>
    <cellStyle name="40% - Accent1 3 4 6" xfId="4988" xr:uid="{00000000-0005-0000-0000-00007B130000}"/>
    <cellStyle name="40% - Accent1 3 4 7" xfId="4989" xr:uid="{00000000-0005-0000-0000-00007C130000}"/>
    <cellStyle name="40% - Accent1 3 5" xfId="4990" xr:uid="{00000000-0005-0000-0000-00007D130000}"/>
    <cellStyle name="40% - Accent1 3 5 2" xfId="4991" xr:uid="{00000000-0005-0000-0000-00007E130000}"/>
    <cellStyle name="40% - Accent1 3 5 2 2" xfId="4992" xr:uid="{00000000-0005-0000-0000-00007F130000}"/>
    <cellStyle name="40% - Accent1 3 5 2 2 2" xfId="4993" xr:uid="{00000000-0005-0000-0000-000080130000}"/>
    <cellStyle name="40% - Accent1 3 5 2 3" xfId="4994" xr:uid="{00000000-0005-0000-0000-000081130000}"/>
    <cellStyle name="40% - Accent1 3 5 3" xfId="4995" xr:uid="{00000000-0005-0000-0000-000082130000}"/>
    <cellStyle name="40% - Accent1 3 5 3 2" xfId="4996" xr:uid="{00000000-0005-0000-0000-000083130000}"/>
    <cellStyle name="40% - Accent1 3 5 4" xfId="4997" xr:uid="{00000000-0005-0000-0000-000084130000}"/>
    <cellStyle name="40% - Accent1 3 5 4 2" xfId="4998" xr:uid="{00000000-0005-0000-0000-000085130000}"/>
    <cellStyle name="40% - Accent1 3 5 5" xfId="4999" xr:uid="{00000000-0005-0000-0000-000086130000}"/>
    <cellStyle name="40% - Accent1 3 5 6" xfId="5000" xr:uid="{00000000-0005-0000-0000-000087130000}"/>
    <cellStyle name="40% - Accent1 3 5 7" xfId="5001" xr:uid="{00000000-0005-0000-0000-000088130000}"/>
    <cellStyle name="40% - Accent1 3 6" xfId="5002" xr:uid="{00000000-0005-0000-0000-000089130000}"/>
    <cellStyle name="40% - Accent1 3 6 2" xfId="5003" xr:uid="{00000000-0005-0000-0000-00008A130000}"/>
    <cellStyle name="40% - Accent1 3 6 2 2" xfId="5004" xr:uid="{00000000-0005-0000-0000-00008B130000}"/>
    <cellStyle name="40% - Accent1 3 6 3" xfId="5005" xr:uid="{00000000-0005-0000-0000-00008C130000}"/>
    <cellStyle name="40% - Accent1 3 7" xfId="5006" xr:uid="{00000000-0005-0000-0000-00008D130000}"/>
    <cellStyle name="40% - Accent1 3 7 2" xfId="5007" xr:uid="{00000000-0005-0000-0000-00008E130000}"/>
    <cellStyle name="40% - Accent1 3 8" xfId="5008" xr:uid="{00000000-0005-0000-0000-00008F130000}"/>
    <cellStyle name="40% - Accent1 3 8 2" xfId="5009" xr:uid="{00000000-0005-0000-0000-000090130000}"/>
    <cellStyle name="40% - Accent1 3 9" xfId="5010" xr:uid="{00000000-0005-0000-0000-000091130000}"/>
    <cellStyle name="40% - Accent1 4" xfId="5011" xr:uid="{00000000-0005-0000-0000-000092130000}"/>
    <cellStyle name="40% - Accent1 4 10" xfId="5012" xr:uid="{00000000-0005-0000-0000-000093130000}"/>
    <cellStyle name="40% - Accent1 4 11" xfId="5013" xr:uid="{00000000-0005-0000-0000-000094130000}"/>
    <cellStyle name="40% - Accent1 4 2" xfId="5014" xr:uid="{00000000-0005-0000-0000-000095130000}"/>
    <cellStyle name="40% - Accent1 4 2 2" xfId="5015" xr:uid="{00000000-0005-0000-0000-000096130000}"/>
    <cellStyle name="40% - Accent1 4 2 2 2" xfId="5016" xr:uid="{00000000-0005-0000-0000-000097130000}"/>
    <cellStyle name="40% - Accent1 4 2 2 2 2" xfId="5017" xr:uid="{00000000-0005-0000-0000-000098130000}"/>
    <cellStyle name="40% - Accent1 4 2 2 2 2 2" xfId="5018" xr:uid="{00000000-0005-0000-0000-000099130000}"/>
    <cellStyle name="40% - Accent1 4 2 2 2 2 2 2" xfId="5019" xr:uid="{00000000-0005-0000-0000-00009A130000}"/>
    <cellStyle name="40% - Accent1 4 2 2 2 2 3" xfId="5020" xr:uid="{00000000-0005-0000-0000-00009B130000}"/>
    <cellStyle name="40% - Accent1 4 2 2 2 2 3 2" xfId="5021" xr:uid="{00000000-0005-0000-0000-00009C130000}"/>
    <cellStyle name="40% - Accent1 4 2 2 2 2 4" xfId="5022" xr:uid="{00000000-0005-0000-0000-00009D130000}"/>
    <cellStyle name="40% - Accent1 4 2 2 2 2 5" xfId="5023" xr:uid="{00000000-0005-0000-0000-00009E130000}"/>
    <cellStyle name="40% - Accent1 4 2 2 2 3" xfId="5024" xr:uid="{00000000-0005-0000-0000-00009F130000}"/>
    <cellStyle name="40% - Accent1 4 2 2 2 3 2" xfId="5025" xr:uid="{00000000-0005-0000-0000-0000A0130000}"/>
    <cellStyle name="40% - Accent1 4 2 2 2 4" xfId="5026" xr:uid="{00000000-0005-0000-0000-0000A1130000}"/>
    <cellStyle name="40% - Accent1 4 2 2 2 4 2" xfId="5027" xr:uid="{00000000-0005-0000-0000-0000A2130000}"/>
    <cellStyle name="40% - Accent1 4 2 2 2 5" xfId="5028" xr:uid="{00000000-0005-0000-0000-0000A3130000}"/>
    <cellStyle name="40% - Accent1 4 2 2 2 6" xfId="5029" xr:uid="{00000000-0005-0000-0000-0000A4130000}"/>
    <cellStyle name="40% - Accent1 4 2 2 3" xfId="5030" xr:uid="{00000000-0005-0000-0000-0000A5130000}"/>
    <cellStyle name="40% - Accent1 4 2 2 3 2" xfId="5031" xr:uid="{00000000-0005-0000-0000-0000A6130000}"/>
    <cellStyle name="40% - Accent1 4 2 2 3 2 2" xfId="5032" xr:uid="{00000000-0005-0000-0000-0000A7130000}"/>
    <cellStyle name="40% - Accent1 4 2 2 3 3" xfId="5033" xr:uid="{00000000-0005-0000-0000-0000A8130000}"/>
    <cellStyle name="40% - Accent1 4 2 2 3 3 2" xfId="5034" xr:uid="{00000000-0005-0000-0000-0000A9130000}"/>
    <cellStyle name="40% - Accent1 4 2 2 3 4" xfId="5035" xr:uid="{00000000-0005-0000-0000-0000AA130000}"/>
    <cellStyle name="40% - Accent1 4 2 2 3 5" xfId="5036" xr:uid="{00000000-0005-0000-0000-0000AB130000}"/>
    <cellStyle name="40% - Accent1 4 2 2 4" xfId="5037" xr:uid="{00000000-0005-0000-0000-0000AC130000}"/>
    <cellStyle name="40% - Accent1 4 2 2 4 2" xfId="5038" xr:uid="{00000000-0005-0000-0000-0000AD130000}"/>
    <cellStyle name="40% - Accent1 4 2 2 5" xfId="5039" xr:uid="{00000000-0005-0000-0000-0000AE130000}"/>
    <cellStyle name="40% - Accent1 4 2 2 5 2" xfId="5040" xr:uid="{00000000-0005-0000-0000-0000AF130000}"/>
    <cellStyle name="40% - Accent1 4 2 2 6" xfId="5041" xr:uid="{00000000-0005-0000-0000-0000B0130000}"/>
    <cellStyle name="40% - Accent1 4 2 2 7" xfId="5042" xr:uid="{00000000-0005-0000-0000-0000B1130000}"/>
    <cellStyle name="40% - Accent1 4 2 3" xfId="5043" xr:uid="{00000000-0005-0000-0000-0000B2130000}"/>
    <cellStyle name="40% - Accent1 4 2 3 2" xfId="5044" xr:uid="{00000000-0005-0000-0000-0000B3130000}"/>
    <cellStyle name="40% - Accent1 4 2 3 2 2" xfId="5045" xr:uid="{00000000-0005-0000-0000-0000B4130000}"/>
    <cellStyle name="40% - Accent1 4 2 3 2 2 2" xfId="5046" xr:uid="{00000000-0005-0000-0000-0000B5130000}"/>
    <cellStyle name="40% - Accent1 4 2 3 2 3" xfId="5047" xr:uid="{00000000-0005-0000-0000-0000B6130000}"/>
    <cellStyle name="40% - Accent1 4 2 3 2 3 2" xfId="5048" xr:uid="{00000000-0005-0000-0000-0000B7130000}"/>
    <cellStyle name="40% - Accent1 4 2 3 2 4" xfId="5049" xr:uid="{00000000-0005-0000-0000-0000B8130000}"/>
    <cellStyle name="40% - Accent1 4 2 3 2 5" xfId="5050" xr:uid="{00000000-0005-0000-0000-0000B9130000}"/>
    <cellStyle name="40% - Accent1 4 2 3 3" xfId="5051" xr:uid="{00000000-0005-0000-0000-0000BA130000}"/>
    <cellStyle name="40% - Accent1 4 2 3 3 2" xfId="5052" xr:uid="{00000000-0005-0000-0000-0000BB130000}"/>
    <cellStyle name="40% - Accent1 4 2 3 4" xfId="5053" xr:uid="{00000000-0005-0000-0000-0000BC130000}"/>
    <cellStyle name="40% - Accent1 4 2 3 4 2" xfId="5054" xr:uid="{00000000-0005-0000-0000-0000BD130000}"/>
    <cellStyle name="40% - Accent1 4 2 3 5" xfId="5055" xr:uid="{00000000-0005-0000-0000-0000BE130000}"/>
    <cellStyle name="40% - Accent1 4 2 3 6" xfId="5056" xr:uid="{00000000-0005-0000-0000-0000BF130000}"/>
    <cellStyle name="40% - Accent1 4 2 4" xfId="5057" xr:uid="{00000000-0005-0000-0000-0000C0130000}"/>
    <cellStyle name="40% - Accent1 4 2 4 2" xfId="5058" xr:uid="{00000000-0005-0000-0000-0000C1130000}"/>
    <cellStyle name="40% - Accent1 4 2 4 2 2" xfId="5059" xr:uid="{00000000-0005-0000-0000-0000C2130000}"/>
    <cellStyle name="40% - Accent1 4 2 4 3" xfId="5060" xr:uid="{00000000-0005-0000-0000-0000C3130000}"/>
    <cellStyle name="40% - Accent1 4 2 4 3 2" xfId="5061" xr:uid="{00000000-0005-0000-0000-0000C4130000}"/>
    <cellStyle name="40% - Accent1 4 2 4 4" xfId="5062" xr:uid="{00000000-0005-0000-0000-0000C5130000}"/>
    <cellStyle name="40% - Accent1 4 2 4 5" xfId="5063" xr:uid="{00000000-0005-0000-0000-0000C6130000}"/>
    <cellStyle name="40% - Accent1 4 2 5" xfId="5064" xr:uid="{00000000-0005-0000-0000-0000C7130000}"/>
    <cellStyle name="40% - Accent1 4 2 5 2" xfId="5065" xr:uid="{00000000-0005-0000-0000-0000C8130000}"/>
    <cellStyle name="40% - Accent1 4 2 6" xfId="5066" xr:uid="{00000000-0005-0000-0000-0000C9130000}"/>
    <cellStyle name="40% - Accent1 4 2 6 2" xfId="5067" xr:uid="{00000000-0005-0000-0000-0000CA130000}"/>
    <cellStyle name="40% - Accent1 4 2 7" xfId="5068" xr:uid="{00000000-0005-0000-0000-0000CB130000}"/>
    <cellStyle name="40% - Accent1 4 2 8" xfId="5069" xr:uid="{00000000-0005-0000-0000-0000CC130000}"/>
    <cellStyle name="40% - Accent1 4 2 9" xfId="5070" xr:uid="{00000000-0005-0000-0000-0000CD130000}"/>
    <cellStyle name="40% - Accent1 4 3" xfId="5071" xr:uid="{00000000-0005-0000-0000-0000CE130000}"/>
    <cellStyle name="40% - Accent1 4 3 2" xfId="5072" xr:uid="{00000000-0005-0000-0000-0000CF130000}"/>
    <cellStyle name="40% - Accent1 4 3 2 2" xfId="5073" xr:uid="{00000000-0005-0000-0000-0000D0130000}"/>
    <cellStyle name="40% - Accent1 4 3 2 2 2" xfId="5074" xr:uid="{00000000-0005-0000-0000-0000D1130000}"/>
    <cellStyle name="40% - Accent1 4 3 2 2 2 2" xfId="5075" xr:uid="{00000000-0005-0000-0000-0000D2130000}"/>
    <cellStyle name="40% - Accent1 4 3 2 2 3" xfId="5076" xr:uid="{00000000-0005-0000-0000-0000D3130000}"/>
    <cellStyle name="40% - Accent1 4 3 2 2 3 2" xfId="5077" xr:uid="{00000000-0005-0000-0000-0000D4130000}"/>
    <cellStyle name="40% - Accent1 4 3 2 2 4" xfId="5078" xr:uid="{00000000-0005-0000-0000-0000D5130000}"/>
    <cellStyle name="40% - Accent1 4 3 2 2 5" xfId="5079" xr:uid="{00000000-0005-0000-0000-0000D6130000}"/>
    <cellStyle name="40% - Accent1 4 3 2 3" xfId="5080" xr:uid="{00000000-0005-0000-0000-0000D7130000}"/>
    <cellStyle name="40% - Accent1 4 3 2 3 2" xfId="5081" xr:uid="{00000000-0005-0000-0000-0000D8130000}"/>
    <cellStyle name="40% - Accent1 4 3 2 4" xfId="5082" xr:uid="{00000000-0005-0000-0000-0000D9130000}"/>
    <cellStyle name="40% - Accent1 4 3 2 4 2" xfId="5083" xr:uid="{00000000-0005-0000-0000-0000DA130000}"/>
    <cellStyle name="40% - Accent1 4 3 2 5" xfId="5084" xr:uid="{00000000-0005-0000-0000-0000DB130000}"/>
    <cellStyle name="40% - Accent1 4 3 2 6" xfId="5085" xr:uid="{00000000-0005-0000-0000-0000DC130000}"/>
    <cellStyle name="40% - Accent1 4 3 3" xfId="5086" xr:uid="{00000000-0005-0000-0000-0000DD130000}"/>
    <cellStyle name="40% - Accent1 4 3 3 2" xfId="5087" xr:uid="{00000000-0005-0000-0000-0000DE130000}"/>
    <cellStyle name="40% - Accent1 4 3 3 2 2" xfId="5088" xr:uid="{00000000-0005-0000-0000-0000DF130000}"/>
    <cellStyle name="40% - Accent1 4 3 3 3" xfId="5089" xr:uid="{00000000-0005-0000-0000-0000E0130000}"/>
    <cellStyle name="40% - Accent1 4 3 3 3 2" xfId="5090" xr:uid="{00000000-0005-0000-0000-0000E1130000}"/>
    <cellStyle name="40% - Accent1 4 3 3 4" xfId="5091" xr:uid="{00000000-0005-0000-0000-0000E2130000}"/>
    <cellStyle name="40% - Accent1 4 3 3 5" xfId="5092" xr:uid="{00000000-0005-0000-0000-0000E3130000}"/>
    <cellStyle name="40% - Accent1 4 3 4" xfId="5093" xr:uid="{00000000-0005-0000-0000-0000E4130000}"/>
    <cellStyle name="40% - Accent1 4 3 4 2" xfId="5094" xr:uid="{00000000-0005-0000-0000-0000E5130000}"/>
    <cellStyle name="40% - Accent1 4 3 5" xfId="5095" xr:uid="{00000000-0005-0000-0000-0000E6130000}"/>
    <cellStyle name="40% - Accent1 4 3 5 2" xfId="5096" xr:uid="{00000000-0005-0000-0000-0000E7130000}"/>
    <cellStyle name="40% - Accent1 4 3 6" xfId="5097" xr:uid="{00000000-0005-0000-0000-0000E8130000}"/>
    <cellStyle name="40% - Accent1 4 3 7" xfId="5098" xr:uid="{00000000-0005-0000-0000-0000E9130000}"/>
    <cellStyle name="40% - Accent1 4 3 8" xfId="5099" xr:uid="{00000000-0005-0000-0000-0000EA130000}"/>
    <cellStyle name="40% - Accent1 4 4" xfId="5100" xr:uid="{00000000-0005-0000-0000-0000EB130000}"/>
    <cellStyle name="40% - Accent1 4 4 2" xfId="5101" xr:uid="{00000000-0005-0000-0000-0000EC130000}"/>
    <cellStyle name="40% - Accent1 4 4 2 2" xfId="5102" xr:uid="{00000000-0005-0000-0000-0000ED130000}"/>
    <cellStyle name="40% - Accent1 4 4 2 2 2" xfId="5103" xr:uid="{00000000-0005-0000-0000-0000EE130000}"/>
    <cellStyle name="40% - Accent1 4 4 2 3" xfId="5104" xr:uid="{00000000-0005-0000-0000-0000EF130000}"/>
    <cellStyle name="40% - Accent1 4 4 2 3 2" xfId="5105" xr:uid="{00000000-0005-0000-0000-0000F0130000}"/>
    <cellStyle name="40% - Accent1 4 4 2 4" xfId="5106" xr:uid="{00000000-0005-0000-0000-0000F1130000}"/>
    <cellStyle name="40% - Accent1 4 4 2 5" xfId="5107" xr:uid="{00000000-0005-0000-0000-0000F2130000}"/>
    <cellStyle name="40% - Accent1 4 4 3" xfId="5108" xr:uid="{00000000-0005-0000-0000-0000F3130000}"/>
    <cellStyle name="40% - Accent1 4 4 3 2" xfId="5109" xr:uid="{00000000-0005-0000-0000-0000F4130000}"/>
    <cellStyle name="40% - Accent1 4 4 4" xfId="5110" xr:uid="{00000000-0005-0000-0000-0000F5130000}"/>
    <cellStyle name="40% - Accent1 4 4 4 2" xfId="5111" xr:uid="{00000000-0005-0000-0000-0000F6130000}"/>
    <cellStyle name="40% - Accent1 4 4 5" xfId="5112" xr:uid="{00000000-0005-0000-0000-0000F7130000}"/>
    <cellStyle name="40% - Accent1 4 4 6" xfId="5113" xr:uid="{00000000-0005-0000-0000-0000F8130000}"/>
    <cellStyle name="40% - Accent1 4 4 7" xfId="5114" xr:uid="{00000000-0005-0000-0000-0000F9130000}"/>
    <cellStyle name="40% - Accent1 4 5" xfId="5115" xr:uid="{00000000-0005-0000-0000-0000FA130000}"/>
    <cellStyle name="40% - Accent1 4 5 2" xfId="5116" xr:uid="{00000000-0005-0000-0000-0000FB130000}"/>
    <cellStyle name="40% - Accent1 4 5 2 2" xfId="5117" xr:uid="{00000000-0005-0000-0000-0000FC130000}"/>
    <cellStyle name="40% - Accent1 4 5 2 2 2" xfId="5118" xr:uid="{00000000-0005-0000-0000-0000FD130000}"/>
    <cellStyle name="40% - Accent1 4 5 2 3" xfId="5119" xr:uid="{00000000-0005-0000-0000-0000FE130000}"/>
    <cellStyle name="40% - Accent1 4 5 3" xfId="5120" xr:uid="{00000000-0005-0000-0000-0000FF130000}"/>
    <cellStyle name="40% - Accent1 4 5 3 2" xfId="5121" xr:uid="{00000000-0005-0000-0000-000000140000}"/>
    <cellStyle name="40% - Accent1 4 5 4" xfId="5122" xr:uid="{00000000-0005-0000-0000-000001140000}"/>
    <cellStyle name="40% - Accent1 4 5 4 2" xfId="5123" xr:uid="{00000000-0005-0000-0000-000002140000}"/>
    <cellStyle name="40% - Accent1 4 5 5" xfId="5124" xr:uid="{00000000-0005-0000-0000-000003140000}"/>
    <cellStyle name="40% - Accent1 4 5 6" xfId="5125" xr:uid="{00000000-0005-0000-0000-000004140000}"/>
    <cellStyle name="40% - Accent1 4 6" xfId="5126" xr:uid="{00000000-0005-0000-0000-000005140000}"/>
    <cellStyle name="40% - Accent1 4 6 2" xfId="5127" xr:uid="{00000000-0005-0000-0000-000006140000}"/>
    <cellStyle name="40% - Accent1 4 6 2 2" xfId="5128" xr:uid="{00000000-0005-0000-0000-000007140000}"/>
    <cellStyle name="40% - Accent1 4 6 3" xfId="5129" xr:uid="{00000000-0005-0000-0000-000008140000}"/>
    <cellStyle name="40% - Accent1 4 7" xfId="5130" xr:uid="{00000000-0005-0000-0000-000009140000}"/>
    <cellStyle name="40% - Accent1 4 7 2" xfId="5131" xr:uid="{00000000-0005-0000-0000-00000A140000}"/>
    <cellStyle name="40% - Accent1 4 8" xfId="5132" xr:uid="{00000000-0005-0000-0000-00000B140000}"/>
    <cellStyle name="40% - Accent1 4 8 2" xfId="5133" xr:uid="{00000000-0005-0000-0000-00000C140000}"/>
    <cellStyle name="40% - Accent1 4 9" xfId="5134" xr:uid="{00000000-0005-0000-0000-00000D140000}"/>
    <cellStyle name="40% - Accent1 5" xfId="5135" xr:uid="{00000000-0005-0000-0000-00000E140000}"/>
    <cellStyle name="40% - Accent1 5 2" xfId="5136" xr:uid="{00000000-0005-0000-0000-00000F140000}"/>
    <cellStyle name="40% - Accent1 5 2 2" xfId="5137" xr:uid="{00000000-0005-0000-0000-000010140000}"/>
    <cellStyle name="40% - Accent1 5 2 2 2" xfId="5138" xr:uid="{00000000-0005-0000-0000-000011140000}"/>
    <cellStyle name="40% - Accent1 5 2 2 2 2" xfId="5139" xr:uid="{00000000-0005-0000-0000-000012140000}"/>
    <cellStyle name="40% - Accent1 5 2 2 2 2 2" xfId="5140" xr:uid="{00000000-0005-0000-0000-000013140000}"/>
    <cellStyle name="40% - Accent1 5 2 2 2 2 2 2" xfId="5141" xr:uid="{00000000-0005-0000-0000-000014140000}"/>
    <cellStyle name="40% - Accent1 5 2 2 2 2 3" xfId="5142" xr:uid="{00000000-0005-0000-0000-000015140000}"/>
    <cellStyle name="40% - Accent1 5 2 2 2 2 3 2" xfId="5143" xr:uid="{00000000-0005-0000-0000-000016140000}"/>
    <cellStyle name="40% - Accent1 5 2 2 2 2 4" xfId="5144" xr:uid="{00000000-0005-0000-0000-000017140000}"/>
    <cellStyle name="40% - Accent1 5 2 2 2 2 5" xfId="5145" xr:uid="{00000000-0005-0000-0000-000018140000}"/>
    <cellStyle name="40% - Accent1 5 2 2 2 3" xfId="5146" xr:uid="{00000000-0005-0000-0000-000019140000}"/>
    <cellStyle name="40% - Accent1 5 2 2 2 3 2" xfId="5147" xr:uid="{00000000-0005-0000-0000-00001A140000}"/>
    <cellStyle name="40% - Accent1 5 2 2 2 4" xfId="5148" xr:uid="{00000000-0005-0000-0000-00001B140000}"/>
    <cellStyle name="40% - Accent1 5 2 2 2 4 2" xfId="5149" xr:uid="{00000000-0005-0000-0000-00001C140000}"/>
    <cellStyle name="40% - Accent1 5 2 2 2 5" xfId="5150" xr:uid="{00000000-0005-0000-0000-00001D140000}"/>
    <cellStyle name="40% - Accent1 5 2 2 2 6" xfId="5151" xr:uid="{00000000-0005-0000-0000-00001E140000}"/>
    <cellStyle name="40% - Accent1 5 2 2 3" xfId="5152" xr:uid="{00000000-0005-0000-0000-00001F140000}"/>
    <cellStyle name="40% - Accent1 5 2 2 3 2" xfId="5153" xr:uid="{00000000-0005-0000-0000-000020140000}"/>
    <cellStyle name="40% - Accent1 5 2 2 3 2 2" xfId="5154" xr:uid="{00000000-0005-0000-0000-000021140000}"/>
    <cellStyle name="40% - Accent1 5 2 2 3 3" xfId="5155" xr:uid="{00000000-0005-0000-0000-000022140000}"/>
    <cellStyle name="40% - Accent1 5 2 2 3 3 2" xfId="5156" xr:uid="{00000000-0005-0000-0000-000023140000}"/>
    <cellStyle name="40% - Accent1 5 2 2 3 4" xfId="5157" xr:uid="{00000000-0005-0000-0000-000024140000}"/>
    <cellStyle name="40% - Accent1 5 2 2 3 5" xfId="5158" xr:uid="{00000000-0005-0000-0000-000025140000}"/>
    <cellStyle name="40% - Accent1 5 2 2 4" xfId="5159" xr:uid="{00000000-0005-0000-0000-000026140000}"/>
    <cellStyle name="40% - Accent1 5 2 2 4 2" xfId="5160" xr:uid="{00000000-0005-0000-0000-000027140000}"/>
    <cellStyle name="40% - Accent1 5 2 2 5" xfId="5161" xr:uid="{00000000-0005-0000-0000-000028140000}"/>
    <cellStyle name="40% - Accent1 5 2 2 5 2" xfId="5162" xr:uid="{00000000-0005-0000-0000-000029140000}"/>
    <cellStyle name="40% - Accent1 5 2 2 6" xfId="5163" xr:uid="{00000000-0005-0000-0000-00002A140000}"/>
    <cellStyle name="40% - Accent1 5 2 2 7" xfId="5164" xr:uid="{00000000-0005-0000-0000-00002B140000}"/>
    <cellStyle name="40% - Accent1 5 2 3" xfId="5165" xr:uid="{00000000-0005-0000-0000-00002C140000}"/>
    <cellStyle name="40% - Accent1 5 2 3 2" xfId="5166" xr:uid="{00000000-0005-0000-0000-00002D140000}"/>
    <cellStyle name="40% - Accent1 5 2 3 2 2" xfId="5167" xr:uid="{00000000-0005-0000-0000-00002E140000}"/>
    <cellStyle name="40% - Accent1 5 2 3 2 2 2" xfId="5168" xr:uid="{00000000-0005-0000-0000-00002F140000}"/>
    <cellStyle name="40% - Accent1 5 2 3 2 3" xfId="5169" xr:uid="{00000000-0005-0000-0000-000030140000}"/>
    <cellStyle name="40% - Accent1 5 2 3 2 3 2" xfId="5170" xr:uid="{00000000-0005-0000-0000-000031140000}"/>
    <cellStyle name="40% - Accent1 5 2 3 2 4" xfId="5171" xr:uid="{00000000-0005-0000-0000-000032140000}"/>
    <cellStyle name="40% - Accent1 5 2 3 2 5" xfId="5172" xr:uid="{00000000-0005-0000-0000-000033140000}"/>
    <cellStyle name="40% - Accent1 5 2 3 3" xfId="5173" xr:uid="{00000000-0005-0000-0000-000034140000}"/>
    <cellStyle name="40% - Accent1 5 2 3 3 2" xfId="5174" xr:uid="{00000000-0005-0000-0000-000035140000}"/>
    <cellStyle name="40% - Accent1 5 2 3 4" xfId="5175" xr:uid="{00000000-0005-0000-0000-000036140000}"/>
    <cellStyle name="40% - Accent1 5 2 3 4 2" xfId="5176" xr:uid="{00000000-0005-0000-0000-000037140000}"/>
    <cellStyle name="40% - Accent1 5 2 3 5" xfId="5177" xr:uid="{00000000-0005-0000-0000-000038140000}"/>
    <cellStyle name="40% - Accent1 5 2 3 6" xfId="5178" xr:uid="{00000000-0005-0000-0000-000039140000}"/>
    <cellStyle name="40% - Accent1 5 2 4" xfId="5179" xr:uid="{00000000-0005-0000-0000-00003A140000}"/>
    <cellStyle name="40% - Accent1 5 2 4 2" xfId="5180" xr:uid="{00000000-0005-0000-0000-00003B140000}"/>
    <cellStyle name="40% - Accent1 5 2 4 2 2" xfId="5181" xr:uid="{00000000-0005-0000-0000-00003C140000}"/>
    <cellStyle name="40% - Accent1 5 2 4 3" xfId="5182" xr:uid="{00000000-0005-0000-0000-00003D140000}"/>
    <cellStyle name="40% - Accent1 5 2 4 3 2" xfId="5183" xr:uid="{00000000-0005-0000-0000-00003E140000}"/>
    <cellStyle name="40% - Accent1 5 2 4 4" xfId="5184" xr:uid="{00000000-0005-0000-0000-00003F140000}"/>
    <cellStyle name="40% - Accent1 5 2 4 5" xfId="5185" xr:uid="{00000000-0005-0000-0000-000040140000}"/>
    <cellStyle name="40% - Accent1 5 2 5" xfId="5186" xr:uid="{00000000-0005-0000-0000-000041140000}"/>
    <cellStyle name="40% - Accent1 5 2 5 2" xfId="5187" xr:uid="{00000000-0005-0000-0000-000042140000}"/>
    <cellStyle name="40% - Accent1 5 2 6" xfId="5188" xr:uid="{00000000-0005-0000-0000-000043140000}"/>
    <cellStyle name="40% - Accent1 5 2 6 2" xfId="5189" xr:uid="{00000000-0005-0000-0000-000044140000}"/>
    <cellStyle name="40% - Accent1 5 2 7" xfId="5190" xr:uid="{00000000-0005-0000-0000-000045140000}"/>
    <cellStyle name="40% - Accent1 5 2 8" xfId="5191" xr:uid="{00000000-0005-0000-0000-000046140000}"/>
    <cellStyle name="40% - Accent1 5 3" xfId="5192" xr:uid="{00000000-0005-0000-0000-000047140000}"/>
    <cellStyle name="40% - Accent1 5 3 2" xfId="5193" xr:uid="{00000000-0005-0000-0000-000048140000}"/>
    <cellStyle name="40% - Accent1 5 3 2 2" xfId="5194" xr:uid="{00000000-0005-0000-0000-000049140000}"/>
    <cellStyle name="40% - Accent1 5 3 2 2 2" xfId="5195" xr:uid="{00000000-0005-0000-0000-00004A140000}"/>
    <cellStyle name="40% - Accent1 5 3 2 2 2 2" xfId="5196" xr:uid="{00000000-0005-0000-0000-00004B140000}"/>
    <cellStyle name="40% - Accent1 5 3 2 2 3" xfId="5197" xr:uid="{00000000-0005-0000-0000-00004C140000}"/>
    <cellStyle name="40% - Accent1 5 3 2 2 3 2" xfId="5198" xr:uid="{00000000-0005-0000-0000-00004D140000}"/>
    <cellStyle name="40% - Accent1 5 3 2 2 4" xfId="5199" xr:uid="{00000000-0005-0000-0000-00004E140000}"/>
    <cellStyle name="40% - Accent1 5 3 2 2 5" xfId="5200" xr:uid="{00000000-0005-0000-0000-00004F140000}"/>
    <cellStyle name="40% - Accent1 5 3 2 3" xfId="5201" xr:uid="{00000000-0005-0000-0000-000050140000}"/>
    <cellStyle name="40% - Accent1 5 3 2 3 2" xfId="5202" xr:uid="{00000000-0005-0000-0000-000051140000}"/>
    <cellStyle name="40% - Accent1 5 3 2 4" xfId="5203" xr:uid="{00000000-0005-0000-0000-000052140000}"/>
    <cellStyle name="40% - Accent1 5 3 2 4 2" xfId="5204" xr:uid="{00000000-0005-0000-0000-000053140000}"/>
    <cellStyle name="40% - Accent1 5 3 2 5" xfId="5205" xr:uid="{00000000-0005-0000-0000-000054140000}"/>
    <cellStyle name="40% - Accent1 5 3 2 6" xfId="5206" xr:uid="{00000000-0005-0000-0000-000055140000}"/>
    <cellStyle name="40% - Accent1 5 3 3" xfId="5207" xr:uid="{00000000-0005-0000-0000-000056140000}"/>
    <cellStyle name="40% - Accent1 5 3 3 2" xfId="5208" xr:uid="{00000000-0005-0000-0000-000057140000}"/>
    <cellStyle name="40% - Accent1 5 3 3 2 2" xfId="5209" xr:uid="{00000000-0005-0000-0000-000058140000}"/>
    <cellStyle name="40% - Accent1 5 3 3 3" xfId="5210" xr:uid="{00000000-0005-0000-0000-000059140000}"/>
    <cellStyle name="40% - Accent1 5 3 3 3 2" xfId="5211" xr:uid="{00000000-0005-0000-0000-00005A140000}"/>
    <cellStyle name="40% - Accent1 5 3 3 4" xfId="5212" xr:uid="{00000000-0005-0000-0000-00005B140000}"/>
    <cellStyle name="40% - Accent1 5 3 3 5" xfId="5213" xr:uid="{00000000-0005-0000-0000-00005C140000}"/>
    <cellStyle name="40% - Accent1 5 3 4" xfId="5214" xr:uid="{00000000-0005-0000-0000-00005D140000}"/>
    <cellStyle name="40% - Accent1 5 3 4 2" xfId="5215" xr:uid="{00000000-0005-0000-0000-00005E140000}"/>
    <cellStyle name="40% - Accent1 5 3 5" xfId="5216" xr:uid="{00000000-0005-0000-0000-00005F140000}"/>
    <cellStyle name="40% - Accent1 5 3 5 2" xfId="5217" xr:uid="{00000000-0005-0000-0000-000060140000}"/>
    <cellStyle name="40% - Accent1 5 3 6" xfId="5218" xr:uid="{00000000-0005-0000-0000-000061140000}"/>
    <cellStyle name="40% - Accent1 5 3 7" xfId="5219" xr:uid="{00000000-0005-0000-0000-000062140000}"/>
    <cellStyle name="40% - Accent1 5 4" xfId="5220" xr:uid="{00000000-0005-0000-0000-000063140000}"/>
    <cellStyle name="40% - Accent1 5 4 2" xfId="5221" xr:uid="{00000000-0005-0000-0000-000064140000}"/>
    <cellStyle name="40% - Accent1 5 4 2 2" xfId="5222" xr:uid="{00000000-0005-0000-0000-000065140000}"/>
    <cellStyle name="40% - Accent1 5 4 2 2 2" xfId="5223" xr:uid="{00000000-0005-0000-0000-000066140000}"/>
    <cellStyle name="40% - Accent1 5 4 2 3" xfId="5224" xr:uid="{00000000-0005-0000-0000-000067140000}"/>
    <cellStyle name="40% - Accent1 5 4 2 3 2" xfId="5225" xr:uid="{00000000-0005-0000-0000-000068140000}"/>
    <cellStyle name="40% - Accent1 5 4 2 4" xfId="5226" xr:uid="{00000000-0005-0000-0000-000069140000}"/>
    <cellStyle name="40% - Accent1 5 4 2 5" xfId="5227" xr:uid="{00000000-0005-0000-0000-00006A140000}"/>
    <cellStyle name="40% - Accent1 5 4 3" xfId="5228" xr:uid="{00000000-0005-0000-0000-00006B140000}"/>
    <cellStyle name="40% - Accent1 5 4 3 2" xfId="5229" xr:uid="{00000000-0005-0000-0000-00006C140000}"/>
    <cellStyle name="40% - Accent1 5 4 4" xfId="5230" xr:uid="{00000000-0005-0000-0000-00006D140000}"/>
    <cellStyle name="40% - Accent1 5 4 4 2" xfId="5231" xr:uid="{00000000-0005-0000-0000-00006E140000}"/>
    <cellStyle name="40% - Accent1 5 4 5" xfId="5232" xr:uid="{00000000-0005-0000-0000-00006F140000}"/>
    <cellStyle name="40% - Accent1 5 4 6" xfId="5233" xr:uid="{00000000-0005-0000-0000-000070140000}"/>
    <cellStyle name="40% - Accent1 5 5" xfId="5234" xr:uid="{00000000-0005-0000-0000-000071140000}"/>
    <cellStyle name="40% - Accent1 5 5 2" xfId="5235" xr:uid="{00000000-0005-0000-0000-000072140000}"/>
    <cellStyle name="40% - Accent1 5 5 2 2" xfId="5236" xr:uid="{00000000-0005-0000-0000-000073140000}"/>
    <cellStyle name="40% - Accent1 5 5 2 2 2" xfId="5237" xr:uid="{00000000-0005-0000-0000-000074140000}"/>
    <cellStyle name="40% - Accent1 5 5 2 3" xfId="5238" xr:uid="{00000000-0005-0000-0000-000075140000}"/>
    <cellStyle name="40% - Accent1 5 5 3" xfId="5239" xr:uid="{00000000-0005-0000-0000-000076140000}"/>
    <cellStyle name="40% - Accent1 5 5 3 2" xfId="5240" xr:uid="{00000000-0005-0000-0000-000077140000}"/>
    <cellStyle name="40% - Accent1 5 5 4" xfId="5241" xr:uid="{00000000-0005-0000-0000-000078140000}"/>
    <cellStyle name="40% - Accent1 5 5 4 2" xfId="5242" xr:uid="{00000000-0005-0000-0000-000079140000}"/>
    <cellStyle name="40% - Accent1 5 5 5" xfId="5243" xr:uid="{00000000-0005-0000-0000-00007A140000}"/>
    <cellStyle name="40% - Accent1 5 5 6" xfId="5244" xr:uid="{00000000-0005-0000-0000-00007B140000}"/>
    <cellStyle name="40% - Accent1 5 6" xfId="5245" xr:uid="{00000000-0005-0000-0000-00007C140000}"/>
    <cellStyle name="40% - Accent1 5 6 2" xfId="5246" xr:uid="{00000000-0005-0000-0000-00007D140000}"/>
    <cellStyle name="40% - Accent1 5 7" xfId="5247" xr:uid="{00000000-0005-0000-0000-00007E140000}"/>
    <cellStyle name="40% - Accent1 5 8" xfId="5248" xr:uid="{00000000-0005-0000-0000-00007F140000}"/>
    <cellStyle name="40% - Accent1 6" xfId="5249" xr:uid="{00000000-0005-0000-0000-000080140000}"/>
    <cellStyle name="40% - Accent1 6 2" xfId="5250" xr:uid="{00000000-0005-0000-0000-000081140000}"/>
    <cellStyle name="40% - Accent1 6 2 2" xfId="5251" xr:uid="{00000000-0005-0000-0000-000082140000}"/>
    <cellStyle name="40% - Accent1 6 2 2 2" xfId="5252" xr:uid="{00000000-0005-0000-0000-000083140000}"/>
    <cellStyle name="40% - Accent1 6 2 2 2 2" xfId="5253" xr:uid="{00000000-0005-0000-0000-000084140000}"/>
    <cellStyle name="40% - Accent1 6 2 2 2 2 2" xfId="5254" xr:uid="{00000000-0005-0000-0000-000085140000}"/>
    <cellStyle name="40% - Accent1 6 2 2 2 3" xfId="5255" xr:uid="{00000000-0005-0000-0000-000086140000}"/>
    <cellStyle name="40% - Accent1 6 2 2 2 3 2" xfId="5256" xr:uid="{00000000-0005-0000-0000-000087140000}"/>
    <cellStyle name="40% - Accent1 6 2 2 2 4" xfId="5257" xr:uid="{00000000-0005-0000-0000-000088140000}"/>
    <cellStyle name="40% - Accent1 6 2 2 2 5" xfId="5258" xr:uid="{00000000-0005-0000-0000-000089140000}"/>
    <cellStyle name="40% - Accent1 6 2 2 3" xfId="5259" xr:uid="{00000000-0005-0000-0000-00008A140000}"/>
    <cellStyle name="40% - Accent1 6 2 2 3 2" xfId="5260" xr:uid="{00000000-0005-0000-0000-00008B140000}"/>
    <cellStyle name="40% - Accent1 6 2 2 4" xfId="5261" xr:uid="{00000000-0005-0000-0000-00008C140000}"/>
    <cellStyle name="40% - Accent1 6 2 2 4 2" xfId="5262" xr:uid="{00000000-0005-0000-0000-00008D140000}"/>
    <cellStyle name="40% - Accent1 6 2 2 5" xfId="5263" xr:uid="{00000000-0005-0000-0000-00008E140000}"/>
    <cellStyle name="40% - Accent1 6 2 2 6" xfId="5264" xr:uid="{00000000-0005-0000-0000-00008F140000}"/>
    <cellStyle name="40% - Accent1 6 2 3" xfId="5265" xr:uid="{00000000-0005-0000-0000-000090140000}"/>
    <cellStyle name="40% - Accent1 6 2 3 2" xfId="5266" xr:uid="{00000000-0005-0000-0000-000091140000}"/>
    <cellStyle name="40% - Accent1 6 2 3 2 2" xfId="5267" xr:uid="{00000000-0005-0000-0000-000092140000}"/>
    <cellStyle name="40% - Accent1 6 2 3 3" xfId="5268" xr:uid="{00000000-0005-0000-0000-000093140000}"/>
    <cellStyle name="40% - Accent1 6 2 3 3 2" xfId="5269" xr:uid="{00000000-0005-0000-0000-000094140000}"/>
    <cellStyle name="40% - Accent1 6 2 3 4" xfId="5270" xr:uid="{00000000-0005-0000-0000-000095140000}"/>
    <cellStyle name="40% - Accent1 6 2 3 5" xfId="5271" xr:uid="{00000000-0005-0000-0000-000096140000}"/>
    <cellStyle name="40% - Accent1 6 2 4" xfId="5272" xr:uid="{00000000-0005-0000-0000-000097140000}"/>
    <cellStyle name="40% - Accent1 6 2 4 2" xfId="5273" xr:uid="{00000000-0005-0000-0000-000098140000}"/>
    <cellStyle name="40% - Accent1 6 2 5" xfId="5274" xr:uid="{00000000-0005-0000-0000-000099140000}"/>
    <cellStyle name="40% - Accent1 6 2 5 2" xfId="5275" xr:uid="{00000000-0005-0000-0000-00009A140000}"/>
    <cellStyle name="40% - Accent1 6 2 6" xfId="5276" xr:uid="{00000000-0005-0000-0000-00009B140000}"/>
    <cellStyle name="40% - Accent1 6 2 7" xfId="5277" xr:uid="{00000000-0005-0000-0000-00009C140000}"/>
    <cellStyle name="40% - Accent1 6 3" xfId="5278" xr:uid="{00000000-0005-0000-0000-00009D140000}"/>
    <cellStyle name="40% - Accent1 6 3 2" xfId="5279" xr:uid="{00000000-0005-0000-0000-00009E140000}"/>
    <cellStyle name="40% - Accent1 6 3 2 2" xfId="5280" xr:uid="{00000000-0005-0000-0000-00009F140000}"/>
    <cellStyle name="40% - Accent1 6 3 2 2 2" xfId="5281" xr:uid="{00000000-0005-0000-0000-0000A0140000}"/>
    <cellStyle name="40% - Accent1 6 3 2 3" xfId="5282" xr:uid="{00000000-0005-0000-0000-0000A1140000}"/>
    <cellStyle name="40% - Accent1 6 3 2 3 2" xfId="5283" xr:uid="{00000000-0005-0000-0000-0000A2140000}"/>
    <cellStyle name="40% - Accent1 6 3 2 4" xfId="5284" xr:uid="{00000000-0005-0000-0000-0000A3140000}"/>
    <cellStyle name="40% - Accent1 6 3 2 5" xfId="5285" xr:uid="{00000000-0005-0000-0000-0000A4140000}"/>
    <cellStyle name="40% - Accent1 6 3 3" xfId="5286" xr:uid="{00000000-0005-0000-0000-0000A5140000}"/>
    <cellStyle name="40% - Accent1 6 3 3 2" xfId="5287" xr:uid="{00000000-0005-0000-0000-0000A6140000}"/>
    <cellStyle name="40% - Accent1 6 3 4" xfId="5288" xr:uid="{00000000-0005-0000-0000-0000A7140000}"/>
    <cellStyle name="40% - Accent1 6 3 4 2" xfId="5289" xr:uid="{00000000-0005-0000-0000-0000A8140000}"/>
    <cellStyle name="40% - Accent1 6 3 5" xfId="5290" xr:uid="{00000000-0005-0000-0000-0000A9140000}"/>
    <cellStyle name="40% - Accent1 6 3 6" xfId="5291" xr:uid="{00000000-0005-0000-0000-0000AA140000}"/>
    <cellStyle name="40% - Accent1 6 4" xfId="5292" xr:uid="{00000000-0005-0000-0000-0000AB140000}"/>
    <cellStyle name="40% - Accent1 6 4 2" xfId="5293" xr:uid="{00000000-0005-0000-0000-0000AC140000}"/>
    <cellStyle name="40% - Accent1 6 4 2 2" xfId="5294" xr:uid="{00000000-0005-0000-0000-0000AD140000}"/>
    <cellStyle name="40% - Accent1 6 4 3" xfId="5295" xr:uid="{00000000-0005-0000-0000-0000AE140000}"/>
    <cellStyle name="40% - Accent1 6 4 3 2" xfId="5296" xr:uid="{00000000-0005-0000-0000-0000AF140000}"/>
    <cellStyle name="40% - Accent1 6 4 4" xfId="5297" xr:uid="{00000000-0005-0000-0000-0000B0140000}"/>
    <cellStyle name="40% - Accent1 6 4 5" xfId="5298" xr:uid="{00000000-0005-0000-0000-0000B1140000}"/>
    <cellStyle name="40% - Accent1 6 5" xfId="5299" xr:uid="{00000000-0005-0000-0000-0000B2140000}"/>
    <cellStyle name="40% - Accent1 6 5 2" xfId="5300" xr:uid="{00000000-0005-0000-0000-0000B3140000}"/>
    <cellStyle name="40% - Accent1 6 6" xfId="5301" xr:uid="{00000000-0005-0000-0000-0000B4140000}"/>
    <cellStyle name="40% - Accent1 6 6 2" xfId="5302" xr:uid="{00000000-0005-0000-0000-0000B5140000}"/>
    <cellStyle name="40% - Accent1 6 7" xfId="5303" xr:uid="{00000000-0005-0000-0000-0000B6140000}"/>
    <cellStyle name="40% - Accent1 6 8" xfId="5304" xr:uid="{00000000-0005-0000-0000-0000B7140000}"/>
    <cellStyle name="40% - Accent1 6 9" xfId="5305" xr:uid="{00000000-0005-0000-0000-0000B8140000}"/>
    <cellStyle name="40% - Accent1 7" xfId="5306" xr:uid="{00000000-0005-0000-0000-0000B9140000}"/>
    <cellStyle name="40% - Accent1 7 2" xfId="5307" xr:uid="{00000000-0005-0000-0000-0000BA140000}"/>
    <cellStyle name="40% - Accent1 7 2 2" xfId="5308" xr:uid="{00000000-0005-0000-0000-0000BB140000}"/>
    <cellStyle name="40% - Accent1 7 2 2 2" xfId="5309" xr:uid="{00000000-0005-0000-0000-0000BC140000}"/>
    <cellStyle name="40% - Accent1 7 2 2 2 2" xfId="5310" xr:uid="{00000000-0005-0000-0000-0000BD140000}"/>
    <cellStyle name="40% - Accent1 7 2 2 2 2 2" xfId="5311" xr:uid="{00000000-0005-0000-0000-0000BE140000}"/>
    <cellStyle name="40% - Accent1 7 2 2 2 3" xfId="5312" xr:uid="{00000000-0005-0000-0000-0000BF140000}"/>
    <cellStyle name="40% - Accent1 7 2 2 2 3 2" xfId="5313" xr:uid="{00000000-0005-0000-0000-0000C0140000}"/>
    <cellStyle name="40% - Accent1 7 2 2 2 4" xfId="5314" xr:uid="{00000000-0005-0000-0000-0000C1140000}"/>
    <cellStyle name="40% - Accent1 7 2 2 2 5" xfId="5315" xr:uid="{00000000-0005-0000-0000-0000C2140000}"/>
    <cellStyle name="40% - Accent1 7 2 2 3" xfId="5316" xr:uid="{00000000-0005-0000-0000-0000C3140000}"/>
    <cellStyle name="40% - Accent1 7 2 2 3 2" xfId="5317" xr:uid="{00000000-0005-0000-0000-0000C4140000}"/>
    <cellStyle name="40% - Accent1 7 2 2 4" xfId="5318" xr:uid="{00000000-0005-0000-0000-0000C5140000}"/>
    <cellStyle name="40% - Accent1 7 2 2 4 2" xfId="5319" xr:uid="{00000000-0005-0000-0000-0000C6140000}"/>
    <cellStyle name="40% - Accent1 7 2 2 5" xfId="5320" xr:uid="{00000000-0005-0000-0000-0000C7140000}"/>
    <cellStyle name="40% - Accent1 7 2 2 6" xfId="5321" xr:uid="{00000000-0005-0000-0000-0000C8140000}"/>
    <cellStyle name="40% - Accent1 7 2 3" xfId="5322" xr:uid="{00000000-0005-0000-0000-0000C9140000}"/>
    <cellStyle name="40% - Accent1 7 2 3 2" xfId="5323" xr:uid="{00000000-0005-0000-0000-0000CA140000}"/>
    <cellStyle name="40% - Accent1 7 2 3 2 2" xfId="5324" xr:uid="{00000000-0005-0000-0000-0000CB140000}"/>
    <cellStyle name="40% - Accent1 7 2 3 3" xfId="5325" xr:uid="{00000000-0005-0000-0000-0000CC140000}"/>
    <cellStyle name="40% - Accent1 7 2 3 3 2" xfId="5326" xr:uid="{00000000-0005-0000-0000-0000CD140000}"/>
    <cellStyle name="40% - Accent1 7 2 3 4" xfId="5327" xr:uid="{00000000-0005-0000-0000-0000CE140000}"/>
    <cellStyle name="40% - Accent1 7 2 3 5" xfId="5328" xr:uid="{00000000-0005-0000-0000-0000CF140000}"/>
    <cellStyle name="40% - Accent1 7 2 4" xfId="5329" xr:uid="{00000000-0005-0000-0000-0000D0140000}"/>
    <cellStyle name="40% - Accent1 7 2 4 2" xfId="5330" xr:uid="{00000000-0005-0000-0000-0000D1140000}"/>
    <cellStyle name="40% - Accent1 7 2 5" xfId="5331" xr:uid="{00000000-0005-0000-0000-0000D2140000}"/>
    <cellStyle name="40% - Accent1 7 2 5 2" xfId="5332" xr:uid="{00000000-0005-0000-0000-0000D3140000}"/>
    <cellStyle name="40% - Accent1 7 2 6" xfId="5333" xr:uid="{00000000-0005-0000-0000-0000D4140000}"/>
    <cellStyle name="40% - Accent1 7 2 7" xfId="5334" xr:uid="{00000000-0005-0000-0000-0000D5140000}"/>
    <cellStyle name="40% - Accent1 7 3" xfId="5335" xr:uid="{00000000-0005-0000-0000-0000D6140000}"/>
    <cellStyle name="40% - Accent1 7 3 2" xfId="5336" xr:uid="{00000000-0005-0000-0000-0000D7140000}"/>
    <cellStyle name="40% - Accent1 7 3 2 2" xfId="5337" xr:uid="{00000000-0005-0000-0000-0000D8140000}"/>
    <cellStyle name="40% - Accent1 7 3 2 2 2" xfId="5338" xr:uid="{00000000-0005-0000-0000-0000D9140000}"/>
    <cellStyle name="40% - Accent1 7 3 2 3" xfId="5339" xr:uid="{00000000-0005-0000-0000-0000DA140000}"/>
    <cellStyle name="40% - Accent1 7 3 2 3 2" xfId="5340" xr:uid="{00000000-0005-0000-0000-0000DB140000}"/>
    <cellStyle name="40% - Accent1 7 3 2 4" xfId="5341" xr:uid="{00000000-0005-0000-0000-0000DC140000}"/>
    <cellStyle name="40% - Accent1 7 3 2 5" xfId="5342" xr:uid="{00000000-0005-0000-0000-0000DD140000}"/>
    <cellStyle name="40% - Accent1 7 3 3" xfId="5343" xr:uid="{00000000-0005-0000-0000-0000DE140000}"/>
    <cellStyle name="40% - Accent1 7 3 3 2" xfId="5344" xr:uid="{00000000-0005-0000-0000-0000DF140000}"/>
    <cellStyle name="40% - Accent1 7 3 4" xfId="5345" xr:uid="{00000000-0005-0000-0000-0000E0140000}"/>
    <cellStyle name="40% - Accent1 7 3 4 2" xfId="5346" xr:uid="{00000000-0005-0000-0000-0000E1140000}"/>
    <cellStyle name="40% - Accent1 7 3 5" xfId="5347" xr:uid="{00000000-0005-0000-0000-0000E2140000}"/>
    <cellStyle name="40% - Accent1 7 3 6" xfId="5348" xr:uid="{00000000-0005-0000-0000-0000E3140000}"/>
    <cellStyle name="40% - Accent1 7 4" xfId="5349" xr:uid="{00000000-0005-0000-0000-0000E4140000}"/>
    <cellStyle name="40% - Accent1 7 4 2" xfId="5350" xr:uid="{00000000-0005-0000-0000-0000E5140000}"/>
    <cellStyle name="40% - Accent1 7 4 2 2" xfId="5351" xr:uid="{00000000-0005-0000-0000-0000E6140000}"/>
    <cellStyle name="40% - Accent1 7 4 3" xfId="5352" xr:uid="{00000000-0005-0000-0000-0000E7140000}"/>
    <cellStyle name="40% - Accent1 7 4 3 2" xfId="5353" xr:uid="{00000000-0005-0000-0000-0000E8140000}"/>
    <cellStyle name="40% - Accent1 7 4 4" xfId="5354" xr:uid="{00000000-0005-0000-0000-0000E9140000}"/>
    <cellStyle name="40% - Accent1 7 4 5" xfId="5355" xr:uid="{00000000-0005-0000-0000-0000EA140000}"/>
    <cellStyle name="40% - Accent1 7 5" xfId="5356" xr:uid="{00000000-0005-0000-0000-0000EB140000}"/>
    <cellStyle name="40% - Accent1 7 5 2" xfId="5357" xr:uid="{00000000-0005-0000-0000-0000EC140000}"/>
    <cellStyle name="40% - Accent1 7 6" xfId="5358" xr:uid="{00000000-0005-0000-0000-0000ED140000}"/>
    <cellStyle name="40% - Accent1 7 6 2" xfId="5359" xr:uid="{00000000-0005-0000-0000-0000EE140000}"/>
    <cellStyle name="40% - Accent1 7 7" xfId="5360" xr:uid="{00000000-0005-0000-0000-0000EF140000}"/>
    <cellStyle name="40% - Accent1 7 8" xfId="5361" xr:uid="{00000000-0005-0000-0000-0000F0140000}"/>
    <cellStyle name="40% - Accent1 7 9" xfId="5362" xr:uid="{00000000-0005-0000-0000-0000F1140000}"/>
    <cellStyle name="40% - Accent1 8" xfId="5363" xr:uid="{00000000-0005-0000-0000-0000F2140000}"/>
    <cellStyle name="40% - Accent1 8 2" xfId="5364" xr:uid="{00000000-0005-0000-0000-0000F3140000}"/>
    <cellStyle name="40% - Accent1 8 2 2" xfId="5365" xr:uid="{00000000-0005-0000-0000-0000F4140000}"/>
    <cellStyle name="40% - Accent1 8 2 2 2" xfId="5366" xr:uid="{00000000-0005-0000-0000-0000F5140000}"/>
    <cellStyle name="40% - Accent1 8 2 2 2 2" xfId="5367" xr:uid="{00000000-0005-0000-0000-0000F6140000}"/>
    <cellStyle name="40% - Accent1 8 2 2 2 2 2" xfId="5368" xr:uid="{00000000-0005-0000-0000-0000F7140000}"/>
    <cellStyle name="40% - Accent1 8 2 2 2 3" xfId="5369" xr:uid="{00000000-0005-0000-0000-0000F8140000}"/>
    <cellStyle name="40% - Accent1 8 2 2 2 3 2" xfId="5370" xr:uid="{00000000-0005-0000-0000-0000F9140000}"/>
    <cellStyle name="40% - Accent1 8 2 2 2 4" xfId="5371" xr:uid="{00000000-0005-0000-0000-0000FA140000}"/>
    <cellStyle name="40% - Accent1 8 2 2 2 5" xfId="5372" xr:uid="{00000000-0005-0000-0000-0000FB140000}"/>
    <cellStyle name="40% - Accent1 8 2 2 3" xfId="5373" xr:uid="{00000000-0005-0000-0000-0000FC140000}"/>
    <cellStyle name="40% - Accent1 8 2 2 3 2" xfId="5374" xr:uid="{00000000-0005-0000-0000-0000FD140000}"/>
    <cellStyle name="40% - Accent1 8 2 2 4" xfId="5375" xr:uid="{00000000-0005-0000-0000-0000FE140000}"/>
    <cellStyle name="40% - Accent1 8 2 2 4 2" xfId="5376" xr:uid="{00000000-0005-0000-0000-0000FF140000}"/>
    <cellStyle name="40% - Accent1 8 2 2 5" xfId="5377" xr:uid="{00000000-0005-0000-0000-000000150000}"/>
    <cellStyle name="40% - Accent1 8 2 2 6" xfId="5378" xr:uid="{00000000-0005-0000-0000-000001150000}"/>
    <cellStyle name="40% - Accent1 8 2 3" xfId="5379" xr:uid="{00000000-0005-0000-0000-000002150000}"/>
    <cellStyle name="40% - Accent1 8 2 3 2" xfId="5380" xr:uid="{00000000-0005-0000-0000-000003150000}"/>
    <cellStyle name="40% - Accent1 8 2 3 2 2" xfId="5381" xr:uid="{00000000-0005-0000-0000-000004150000}"/>
    <cellStyle name="40% - Accent1 8 2 3 3" xfId="5382" xr:uid="{00000000-0005-0000-0000-000005150000}"/>
    <cellStyle name="40% - Accent1 8 2 3 3 2" xfId="5383" xr:uid="{00000000-0005-0000-0000-000006150000}"/>
    <cellStyle name="40% - Accent1 8 2 3 4" xfId="5384" xr:uid="{00000000-0005-0000-0000-000007150000}"/>
    <cellStyle name="40% - Accent1 8 2 3 5" xfId="5385" xr:uid="{00000000-0005-0000-0000-000008150000}"/>
    <cellStyle name="40% - Accent1 8 2 4" xfId="5386" xr:uid="{00000000-0005-0000-0000-000009150000}"/>
    <cellStyle name="40% - Accent1 8 2 4 2" xfId="5387" xr:uid="{00000000-0005-0000-0000-00000A150000}"/>
    <cellStyle name="40% - Accent1 8 2 5" xfId="5388" xr:uid="{00000000-0005-0000-0000-00000B150000}"/>
    <cellStyle name="40% - Accent1 8 2 5 2" xfId="5389" xr:uid="{00000000-0005-0000-0000-00000C150000}"/>
    <cellStyle name="40% - Accent1 8 2 6" xfId="5390" xr:uid="{00000000-0005-0000-0000-00000D150000}"/>
    <cellStyle name="40% - Accent1 8 2 7" xfId="5391" xr:uid="{00000000-0005-0000-0000-00000E150000}"/>
    <cellStyle name="40% - Accent1 8 3" xfId="5392" xr:uid="{00000000-0005-0000-0000-00000F150000}"/>
    <cellStyle name="40% - Accent1 8 3 2" xfId="5393" xr:uid="{00000000-0005-0000-0000-000010150000}"/>
    <cellStyle name="40% - Accent1 8 3 2 2" xfId="5394" xr:uid="{00000000-0005-0000-0000-000011150000}"/>
    <cellStyle name="40% - Accent1 8 3 2 2 2" xfId="5395" xr:uid="{00000000-0005-0000-0000-000012150000}"/>
    <cellStyle name="40% - Accent1 8 3 2 3" xfId="5396" xr:uid="{00000000-0005-0000-0000-000013150000}"/>
    <cellStyle name="40% - Accent1 8 3 2 3 2" xfId="5397" xr:uid="{00000000-0005-0000-0000-000014150000}"/>
    <cellStyle name="40% - Accent1 8 3 2 4" xfId="5398" xr:uid="{00000000-0005-0000-0000-000015150000}"/>
    <cellStyle name="40% - Accent1 8 3 2 5" xfId="5399" xr:uid="{00000000-0005-0000-0000-000016150000}"/>
    <cellStyle name="40% - Accent1 8 3 3" xfId="5400" xr:uid="{00000000-0005-0000-0000-000017150000}"/>
    <cellStyle name="40% - Accent1 8 3 3 2" xfId="5401" xr:uid="{00000000-0005-0000-0000-000018150000}"/>
    <cellStyle name="40% - Accent1 8 3 4" xfId="5402" xr:uid="{00000000-0005-0000-0000-000019150000}"/>
    <cellStyle name="40% - Accent1 8 3 4 2" xfId="5403" xr:uid="{00000000-0005-0000-0000-00001A150000}"/>
    <cellStyle name="40% - Accent1 8 3 5" xfId="5404" xr:uid="{00000000-0005-0000-0000-00001B150000}"/>
    <cellStyle name="40% - Accent1 8 3 6" xfId="5405" xr:uid="{00000000-0005-0000-0000-00001C150000}"/>
    <cellStyle name="40% - Accent1 8 4" xfId="5406" xr:uid="{00000000-0005-0000-0000-00001D150000}"/>
    <cellStyle name="40% - Accent1 8 4 2" xfId="5407" xr:uid="{00000000-0005-0000-0000-00001E150000}"/>
    <cellStyle name="40% - Accent1 8 4 2 2" xfId="5408" xr:uid="{00000000-0005-0000-0000-00001F150000}"/>
    <cellStyle name="40% - Accent1 8 4 3" xfId="5409" xr:uid="{00000000-0005-0000-0000-000020150000}"/>
    <cellStyle name="40% - Accent1 8 4 3 2" xfId="5410" xr:uid="{00000000-0005-0000-0000-000021150000}"/>
    <cellStyle name="40% - Accent1 8 4 4" xfId="5411" xr:uid="{00000000-0005-0000-0000-000022150000}"/>
    <cellStyle name="40% - Accent1 8 4 5" xfId="5412" xr:uid="{00000000-0005-0000-0000-000023150000}"/>
    <cellStyle name="40% - Accent1 8 5" xfId="5413" xr:uid="{00000000-0005-0000-0000-000024150000}"/>
    <cellStyle name="40% - Accent1 8 5 2" xfId="5414" xr:uid="{00000000-0005-0000-0000-000025150000}"/>
    <cellStyle name="40% - Accent1 8 6" xfId="5415" xr:uid="{00000000-0005-0000-0000-000026150000}"/>
    <cellStyle name="40% - Accent1 8 6 2" xfId="5416" xr:uid="{00000000-0005-0000-0000-000027150000}"/>
    <cellStyle name="40% - Accent1 8 7" xfId="5417" xr:uid="{00000000-0005-0000-0000-000028150000}"/>
    <cellStyle name="40% - Accent1 8 8" xfId="5418" xr:uid="{00000000-0005-0000-0000-000029150000}"/>
    <cellStyle name="40% - Accent1 9" xfId="5419" xr:uid="{00000000-0005-0000-0000-00002A150000}"/>
    <cellStyle name="40% - Accent1 9 2" xfId="5420" xr:uid="{00000000-0005-0000-0000-00002B150000}"/>
    <cellStyle name="40% - Accent1 9 2 2" xfId="5421" xr:uid="{00000000-0005-0000-0000-00002C150000}"/>
    <cellStyle name="40% - Accent1 9 2 2 2" xfId="5422" xr:uid="{00000000-0005-0000-0000-00002D150000}"/>
    <cellStyle name="40% - Accent1 9 2 2 2 2" xfId="5423" xr:uid="{00000000-0005-0000-0000-00002E150000}"/>
    <cellStyle name="40% - Accent1 9 2 2 2 2 2" xfId="5424" xr:uid="{00000000-0005-0000-0000-00002F150000}"/>
    <cellStyle name="40% - Accent1 9 2 2 2 3" xfId="5425" xr:uid="{00000000-0005-0000-0000-000030150000}"/>
    <cellStyle name="40% - Accent1 9 2 2 2 3 2" xfId="5426" xr:uid="{00000000-0005-0000-0000-000031150000}"/>
    <cellStyle name="40% - Accent1 9 2 2 2 4" xfId="5427" xr:uid="{00000000-0005-0000-0000-000032150000}"/>
    <cellStyle name="40% - Accent1 9 2 2 2 5" xfId="5428" xr:uid="{00000000-0005-0000-0000-000033150000}"/>
    <cellStyle name="40% - Accent1 9 2 2 3" xfId="5429" xr:uid="{00000000-0005-0000-0000-000034150000}"/>
    <cellStyle name="40% - Accent1 9 2 2 3 2" xfId="5430" xr:uid="{00000000-0005-0000-0000-000035150000}"/>
    <cellStyle name="40% - Accent1 9 2 2 4" xfId="5431" xr:uid="{00000000-0005-0000-0000-000036150000}"/>
    <cellStyle name="40% - Accent1 9 2 2 4 2" xfId="5432" xr:uid="{00000000-0005-0000-0000-000037150000}"/>
    <cellStyle name="40% - Accent1 9 2 2 5" xfId="5433" xr:uid="{00000000-0005-0000-0000-000038150000}"/>
    <cellStyle name="40% - Accent1 9 2 2 6" xfId="5434" xr:uid="{00000000-0005-0000-0000-000039150000}"/>
    <cellStyle name="40% - Accent1 9 2 3" xfId="5435" xr:uid="{00000000-0005-0000-0000-00003A150000}"/>
    <cellStyle name="40% - Accent1 9 2 3 2" xfId="5436" xr:uid="{00000000-0005-0000-0000-00003B150000}"/>
    <cellStyle name="40% - Accent1 9 2 3 2 2" xfId="5437" xr:uid="{00000000-0005-0000-0000-00003C150000}"/>
    <cellStyle name="40% - Accent1 9 2 3 3" xfId="5438" xr:uid="{00000000-0005-0000-0000-00003D150000}"/>
    <cellStyle name="40% - Accent1 9 2 3 3 2" xfId="5439" xr:uid="{00000000-0005-0000-0000-00003E150000}"/>
    <cellStyle name="40% - Accent1 9 2 3 4" xfId="5440" xr:uid="{00000000-0005-0000-0000-00003F150000}"/>
    <cellStyle name="40% - Accent1 9 2 3 5" xfId="5441" xr:uid="{00000000-0005-0000-0000-000040150000}"/>
    <cellStyle name="40% - Accent1 9 2 4" xfId="5442" xr:uid="{00000000-0005-0000-0000-000041150000}"/>
    <cellStyle name="40% - Accent1 9 2 4 2" xfId="5443" xr:uid="{00000000-0005-0000-0000-000042150000}"/>
    <cellStyle name="40% - Accent1 9 2 5" xfId="5444" xr:uid="{00000000-0005-0000-0000-000043150000}"/>
    <cellStyle name="40% - Accent1 9 2 5 2" xfId="5445" xr:uid="{00000000-0005-0000-0000-000044150000}"/>
    <cellStyle name="40% - Accent1 9 2 6" xfId="5446" xr:uid="{00000000-0005-0000-0000-000045150000}"/>
    <cellStyle name="40% - Accent1 9 2 7" xfId="5447" xr:uid="{00000000-0005-0000-0000-000046150000}"/>
    <cellStyle name="40% - Accent1 9 3" xfId="5448" xr:uid="{00000000-0005-0000-0000-000047150000}"/>
    <cellStyle name="40% - Accent1 9 3 2" xfId="5449" xr:uid="{00000000-0005-0000-0000-000048150000}"/>
    <cellStyle name="40% - Accent1 9 3 2 2" xfId="5450" xr:uid="{00000000-0005-0000-0000-000049150000}"/>
    <cellStyle name="40% - Accent1 9 3 2 2 2" xfId="5451" xr:uid="{00000000-0005-0000-0000-00004A150000}"/>
    <cellStyle name="40% - Accent1 9 3 2 3" xfId="5452" xr:uid="{00000000-0005-0000-0000-00004B150000}"/>
    <cellStyle name="40% - Accent1 9 3 2 3 2" xfId="5453" xr:uid="{00000000-0005-0000-0000-00004C150000}"/>
    <cellStyle name="40% - Accent1 9 3 2 4" xfId="5454" xr:uid="{00000000-0005-0000-0000-00004D150000}"/>
    <cellStyle name="40% - Accent1 9 3 2 5" xfId="5455" xr:uid="{00000000-0005-0000-0000-00004E150000}"/>
    <cellStyle name="40% - Accent1 9 3 3" xfId="5456" xr:uid="{00000000-0005-0000-0000-00004F150000}"/>
    <cellStyle name="40% - Accent1 9 3 3 2" xfId="5457" xr:uid="{00000000-0005-0000-0000-000050150000}"/>
    <cellStyle name="40% - Accent1 9 3 4" xfId="5458" xr:uid="{00000000-0005-0000-0000-000051150000}"/>
    <cellStyle name="40% - Accent1 9 3 4 2" xfId="5459" xr:uid="{00000000-0005-0000-0000-000052150000}"/>
    <cellStyle name="40% - Accent1 9 3 5" xfId="5460" xr:uid="{00000000-0005-0000-0000-000053150000}"/>
    <cellStyle name="40% - Accent1 9 3 6" xfId="5461" xr:uid="{00000000-0005-0000-0000-000054150000}"/>
    <cellStyle name="40% - Accent1 9 4" xfId="5462" xr:uid="{00000000-0005-0000-0000-000055150000}"/>
    <cellStyle name="40% - Accent1 9 4 2" xfId="5463" xr:uid="{00000000-0005-0000-0000-000056150000}"/>
    <cellStyle name="40% - Accent1 9 4 2 2" xfId="5464" xr:uid="{00000000-0005-0000-0000-000057150000}"/>
    <cellStyle name="40% - Accent1 9 4 3" xfId="5465" xr:uid="{00000000-0005-0000-0000-000058150000}"/>
    <cellStyle name="40% - Accent1 9 4 3 2" xfId="5466" xr:uid="{00000000-0005-0000-0000-000059150000}"/>
    <cellStyle name="40% - Accent1 9 4 4" xfId="5467" xr:uid="{00000000-0005-0000-0000-00005A150000}"/>
    <cellStyle name="40% - Accent1 9 4 5" xfId="5468" xr:uid="{00000000-0005-0000-0000-00005B150000}"/>
    <cellStyle name="40% - Accent1 9 5" xfId="5469" xr:uid="{00000000-0005-0000-0000-00005C150000}"/>
    <cellStyle name="40% - Accent1 9 5 2" xfId="5470" xr:uid="{00000000-0005-0000-0000-00005D150000}"/>
    <cellStyle name="40% - Accent1 9 6" xfId="5471" xr:uid="{00000000-0005-0000-0000-00005E150000}"/>
    <cellStyle name="40% - Accent1 9 6 2" xfId="5472" xr:uid="{00000000-0005-0000-0000-00005F150000}"/>
    <cellStyle name="40% - Accent1 9 7" xfId="5473" xr:uid="{00000000-0005-0000-0000-000060150000}"/>
    <cellStyle name="40% - Accent1 9 8" xfId="5474" xr:uid="{00000000-0005-0000-0000-000061150000}"/>
    <cellStyle name="40% - Accent2 10" xfId="5475" xr:uid="{00000000-0005-0000-0000-000062150000}"/>
    <cellStyle name="40% - Accent2 10 2" xfId="5476" xr:uid="{00000000-0005-0000-0000-000063150000}"/>
    <cellStyle name="40% - Accent2 10 2 2" xfId="5477" xr:uid="{00000000-0005-0000-0000-000064150000}"/>
    <cellStyle name="40% - Accent2 10 2 2 2" xfId="5478" xr:uid="{00000000-0005-0000-0000-000065150000}"/>
    <cellStyle name="40% - Accent2 10 2 2 2 2" xfId="5479" xr:uid="{00000000-0005-0000-0000-000066150000}"/>
    <cellStyle name="40% - Accent2 10 2 2 2 2 2" xfId="5480" xr:uid="{00000000-0005-0000-0000-000067150000}"/>
    <cellStyle name="40% - Accent2 10 2 2 2 3" xfId="5481" xr:uid="{00000000-0005-0000-0000-000068150000}"/>
    <cellStyle name="40% - Accent2 10 2 2 2 3 2" xfId="5482" xr:uid="{00000000-0005-0000-0000-000069150000}"/>
    <cellStyle name="40% - Accent2 10 2 2 2 4" xfId="5483" xr:uid="{00000000-0005-0000-0000-00006A150000}"/>
    <cellStyle name="40% - Accent2 10 2 2 2 5" xfId="5484" xr:uid="{00000000-0005-0000-0000-00006B150000}"/>
    <cellStyle name="40% - Accent2 10 2 2 3" xfId="5485" xr:uid="{00000000-0005-0000-0000-00006C150000}"/>
    <cellStyle name="40% - Accent2 10 2 2 3 2" xfId="5486" xr:uid="{00000000-0005-0000-0000-00006D150000}"/>
    <cellStyle name="40% - Accent2 10 2 2 4" xfId="5487" xr:uid="{00000000-0005-0000-0000-00006E150000}"/>
    <cellStyle name="40% - Accent2 10 2 2 4 2" xfId="5488" xr:uid="{00000000-0005-0000-0000-00006F150000}"/>
    <cellStyle name="40% - Accent2 10 2 2 5" xfId="5489" xr:uid="{00000000-0005-0000-0000-000070150000}"/>
    <cellStyle name="40% - Accent2 10 2 2 6" xfId="5490" xr:uid="{00000000-0005-0000-0000-000071150000}"/>
    <cellStyle name="40% - Accent2 10 2 3" xfId="5491" xr:uid="{00000000-0005-0000-0000-000072150000}"/>
    <cellStyle name="40% - Accent2 10 2 3 2" xfId="5492" xr:uid="{00000000-0005-0000-0000-000073150000}"/>
    <cellStyle name="40% - Accent2 10 2 3 2 2" xfId="5493" xr:uid="{00000000-0005-0000-0000-000074150000}"/>
    <cellStyle name="40% - Accent2 10 2 3 3" xfId="5494" xr:uid="{00000000-0005-0000-0000-000075150000}"/>
    <cellStyle name="40% - Accent2 10 2 3 3 2" xfId="5495" xr:uid="{00000000-0005-0000-0000-000076150000}"/>
    <cellStyle name="40% - Accent2 10 2 3 4" xfId="5496" xr:uid="{00000000-0005-0000-0000-000077150000}"/>
    <cellStyle name="40% - Accent2 10 2 3 5" xfId="5497" xr:uid="{00000000-0005-0000-0000-000078150000}"/>
    <cellStyle name="40% - Accent2 10 2 4" xfId="5498" xr:uid="{00000000-0005-0000-0000-000079150000}"/>
    <cellStyle name="40% - Accent2 10 2 4 2" xfId="5499" xr:uid="{00000000-0005-0000-0000-00007A150000}"/>
    <cellStyle name="40% - Accent2 10 2 5" xfId="5500" xr:uid="{00000000-0005-0000-0000-00007B150000}"/>
    <cellStyle name="40% - Accent2 10 2 5 2" xfId="5501" xr:uid="{00000000-0005-0000-0000-00007C150000}"/>
    <cellStyle name="40% - Accent2 10 2 6" xfId="5502" xr:uid="{00000000-0005-0000-0000-00007D150000}"/>
    <cellStyle name="40% - Accent2 10 2 7" xfId="5503" xr:uid="{00000000-0005-0000-0000-00007E150000}"/>
    <cellStyle name="40% - Accent2 10 3" xfId="5504" xr:uid="{00000000-0005-0000-0000-00007F150000}"/>
    <cellStyle name="40% - Accent2 10 3 2" xfId="5505" xr:uid="{00000000-0005-0000-0000-000080150000}"/>
    <cellStyle name="40% - Accent2 10 3 2 2" xfId="5506" xr:uid="{00000000-0005-0000-0000-000081150000}"/>
    <cellStyle name="40% - Accent2 10 3 2 2 2" xfId="5507" xr:uid="{00000000-0005-0000-0000-000082150000}"/>
    <cellStyle name="40% - Accent2 10 3 2 3" xfId="5508" xr:uid="{00000000-0005-0000-0000-000083150000}"/>
    <cellStyle name="40% - Accent2 10 3 2 3 2" xfId="5509" xr:uid="{00000000-0005-0000-0000-000084150000}"/>
    <cellStyle name="40% - Accent2 10 3 2 4" xfId="5510" xr:uid="{00000000-0005-0000-0000-000085150000}"/>
    <cellStyle name="40% - Accent2 10 3 2 5" xfId="5511" xr:uid="{00000000-0005-0000-0000-000086150000}"/>
    <cellStyle name="40% - Accent2 10 3 3" xfId="5512" xr:uid="{00000000-0005-0000-0000-000087150000}"/>
    <cellStyle name="40% - Accent2 10 3 3 2" xfId="5513" xr:uid="{00000000-0005-0000-0000-000088150000}"/>
    <cellStyle name="40% - Accent2 10 3 4" xfId="5514" xr:uid="{00000000-0005-0000-0000-000089150000}"/>
    <cellStyle name="40% - Accent2 10 3 4 2" xfId="5515" xr:uid="{00000000-0005-0000-0000-00008A150000}"/>
    <cellStyle name="40% - Accent2 10 3 5" xfId="5516" xr:uid="{00000000-0005-0000-0000-00008B150000}"/>
    <cellStyle name="40% - Accent2 10 3 6" xfId="5517" xr:uid="{00000000-0005-0000-0000-00008C150000}"/>
    <cellStyle name="40% - Accent2 10 4" xfId="5518" xr:uid="{00000000-0005-0000-0000-00008D150000}"/>
    <cellStyle name="40% - Accent2 10 4 2" xfId="5519" xr:uid="{00000000-0005-0000-0000-00008E150000}"/>
    <cellStyle name="40% - Accent2 10 4 2 2" xfId="5520" xr:uid="{00000000-0005-0000-0000-00008F150000}"/>
    <cellStyle name="40% - Accent2 10 4 3" xfId="5521" xr:uid="{00000000-0005-0000-0000-000090150000}"/>
    <cellStyle name="40% - Accent2 10 4 3 2" xfId="5522" xr:uid="{00000000-0005-0000-0000-000091150000}"/>
    <cellStyle name="40% - Accent2 10 4 4" xfId="5523" xr:uid="{00000000-0005-0000-0000-000092150000}"/>
    <cellStyle name="40% - Accent2 10 4 5" xfId="5524" xr:uid="{00000000-0005-0000-0000-000093150000}"/>
    <cellStyle name="40% - Accent2 10 5" xfId="5525" xr:uid="{00000000-0005-0000-0000-000094150000}"/>
    <cellStyle name="40% - Accent2 10 5 2" xfId="5526" xr:uid="{00000000-0005-0000-0000-000095150000}"/>
    <cellStyle name="40% - Accent2 10 6" xfId="5527" xr:uid="{00000000-0005-0000-0000-000096150000}"/>
    <cellStyle name="40% - Accent2 10 6 2" xfId="5528" xr:uid="{00000000-0005-0000-0000-000097150000}"/>
    <cellStyle name="40% - Accent2 10 7" xfId="5529" xr:uid="{00000000-0005-0000-0000-000098150000}"/>
    <cellStyle name="40% - Accent2 10 8" xfId="5530" xr:uid="{00000000-0005-0000-0000-000099150000}"/>
    <cellStyle name="40% - Accent2 11" xfId="5531" xr:uid="{00000000-0005-0000-0000-00009A150000}"/>
    <cellStyle name="40% - Accent2 11 2" xfId="5532" xr:uid="{00000000-0005-0000-0000-00009B150000}"/>
    <cellStyle name="40% - Accent2 11 2 2" xfId="5533" xr:uid="{00000000-0005-0000-0000-00009C150000}"/>
    <cellStyle name="40% - Accent2 11 2 2 2" xfId="5534" xr:uid="{00000000-0005-0000-0000-00009D150000}"/>
    <cellStyle name="40% - Accent2 11 2 2 2 2" xfId="5535" xr:uid="{00000000-0005-0000-0000-00009E150000}"/>
    <cellStyle name="40% - Accent2 11 2 2 3" xfId="5536" xr:uid="{00000000-0005-0000-0000-00009F150000}"/>
    <cellStyle name="40% - Accent2 11 2 2 3 2" xfId="5537" xr:uid="{00000000-0005-0000-0000-0000A0150000}"/>
    <cellStyle name="40% - Accent2 11 2 2 4" xfId="5538" xr:uid="{00000000-0005-0000-0000-0000A1150000}"/>
    <cellStyle name="40% - Accent2 11 2 2 5" xfId="5539" xr:uid="{00000000-0005-0000-0000-0000A2150000}"/>
    <cellStyle name="40% - Accent2 11 2 3" xfId="5540" xr:uid="{00000000-0005-0000-0000-0000A3150000}"/>
    <cellStyle name="40% - Accent2 11 2 3 2" xfId="5541" xr:uid="{00000000-0005-0000-0000-0000A4150000}"/>
    <cellStyle name="40% - Accent2 11 2 4" xfId="5542" xr:uid="{00000000-0005-0000-0000-0000A5150000}"/>
    <cellStyle name="40% - Accent2 11 2 4 2" xfId="5543" xr:uid="{00000000-0005-0000-0000-0000A6150000}"/>
    <cellStyle name="40% - Accent2 11 2 5" xfId="5544" xr:uid="{00000000-0005-0000-0000-0000A7150000}"/>
    <cellStyle name="40% - Accent2 11 2 6" xfId="5545" xr:uid="{00000000-0005-0000-0000-0000A8150000}"/>
    <cellStyle name="40% - Accent2 11 3" xfId="5546" xr:uid="{00000000-0005-0000-0000-0000A9150000}"/>
    <cellStyle name="40% - Accent2 11 3 2" xfId="5547" xr:uid="{00000000-0005-0000-0000-0000AA150000}"/>
    <cellStyle name="40% - Accent2 11 3 2 2" xfId="5548" xr:uid="{00000000-0005-0000-0000-0000AB150000}"/>
    <cellStyle name="40% - Accent2 11 3 3" xfId="5549" xr:uid="{00000000-0005-0000-0000-0000AC150000}"/>
    <cellStyle name="40% - Accent2 11 3 3 2" xfId="5550" xr:uid="{00000000-0005-0000-0000-0000AD150000}"/>
    <cellStyle name="40% - Accent2 11 3 4" xfId="5551" xr:uid="{00000000-0005-0000-0000-0000AE150000}"/>
    <cellStyle name="40% - Accent2 11 3 5" xfId="5552" xr:uid="{00000000-0005-0000-0000-0000AF150000}"/>
    <cellStyle name="40% - Accent2 11 4" xfId="5553" xr:uid="{00000000-0005-0000-0000-0000B0150000}"/>
    <cellStyle name="40% - Accent2 11 4 2" xfId="5554" xr:uid="{00000000-0005-0000-0000-0000B1150000}"/>
    <cellStyle name="40% - Accent2 11 5" xfId="5555" xr:uid="{00000000-0005-0000-0000-0000B2150000}"/>
    <cellStyle name="40% - Accent2 11 5 2" xfId="5556" xr:uid="{00000000-0005-0000-0000-0000B3150000}"/>
    <cellStyle name="40% - Accent2 11 6" xfId="5557" xr:uid="{00000000-0005-0000-0000-0000B4150000}"/>
    <cellStyle name="40% - Accent2 11 7" xfId="5558" xr:uid="{00000000-0005-0000-0000-0000B5150000}"/>
    <cellStyle name="40% - Accent2 12" xfId="5559" xr:uid="{00000000-0005-0000-0000-0000B6150000}"/>
    <cellStyle name="40% - Accent2 12 2" xfId="5560" xr:uid="{00000000-0005-0000-0000-0000B7150000}"/>
    <cellStyle name="40% - Accent2 12 2 2" xfId="5561" xr:uid="{00000000-0005-0000-0000-0000B8150000}"/>
    <cellStyle name="40% - Accent2 12 2 2 2" xfId="5562" xr:uid="{00000000-0005-0000-0000-0000B9150000}"/>
    <cellStyle name="40% - Accent2 12 2 3" xfId="5563" xr:uid="{00000000-0005-0000-0000-0000BA150000}"/>
    <cellStyle name="40% - Accent2 12 2 3 2" xfId="5564" xr:uid="{00000000-0005-0000-0000-0000BB150000}"/>
    <cellStyle name="40% - Accent2 12 2 4" xfId="5565" xr:uid="{00000000-0005-0000-0000-0000BC150000}"/>
    <cellStyle name="40% - Accent2 12 2 5" xfId="5566" xr:uid="{00000000-0005-0000-0000-0000BD150000}"/>
    <cellStyle name="40% - Accent2 12 3" xfId="5567" xr:uid="{00000000-0005-0000-0000-0000BE150000}"/>
    <cellStyle name="40% - Accent2 12 3 2" xfId="5568" xr:uid="{00000000-0005-0000-0000-0000BF150000}"/>
    <cellStyle name="40% - Accent2 12 4" xfId="5569" xr:uid="{00000000-0005-0000-0000-0000C0150000}"/>
    <cellStyle name="40% - Accent2 12 4 2" xfId="5570" xr:uid="{00000000-0005-0000-0000-0000C1150000}"/>
    <cellStyle name="40% - Accent2 12 5" xfId="5571" xr:uid="{00000000-0005-0000-0000-0000C2150000}"/>
    <cellStyle name="40% - Accent2 12 6" xfId="5572" xr:uid="{00000000-0005-0000-0000-0000C3150000}"/>
    <cellStyle name="40% - Accent2 13" xfId="5573" xr:uid="{00000000-0005-0000-0000-0000C4150000}"/>
    <cellStyle name="40% - Accent2 13 2" xfId="5574" xr:uid="{00000000-0005-0000-0000-0000C5150000}"/>
    <cellStyle name="40% - Accent2 13 2 2" xfId="5575" xr:uid="{00000000-0005-0000-0000-0000C6150000}"/>
    <cellStyle name="40% - Accent2 13 2 2 2" xfId="5576" xr:uid="{00000000-0005-0000-0000-0000C7150000}"/>
    <cellStyle name="40% - Accent2 13 2 3" xfId="5577" xr:uid="{00000000-0005-0000-0000-0000C8150000}"/>
    <cellStyle name="40% - Accent2 13 2 3 2" xfId="5578" xr:uid="{00000000-0005-0000-0000-0000C9150000}"/>
    <cellStyle name="40% - Accent2 13 2 4" xfId="5579" xr:uid="{00000000-0005-0000-0000-0000CA150000}"/>
    <cellStyle name="40% - Accent2 13 2 5" xfId="5580" xr:uid="{00000000-0005-0000-0000-0000CB150000}"/>
    <cellStyle name="40% - Accent2 13 3" xfId="5581" xr:uid="{00000000-0005-0000-0000-0000CC150000}"/>
    <cellStyle name="40% - Accent2 13 3 2" xfId="5582" xr:uid="{00000000-0005-0000-0000-0000CD150000}"/>
    <cellStyle name="40% - Accent2 13 4" xfId="5583" xr:uid="{00000000-0005-0000-0000-0000CE150000}"/>
    <cellStyle name="40% - Accent2 13 4 2" xfId="5584" xr:uid="{00000000-0005-0000-0000-0000CF150000}"/>
    <cellStyle name="40% - Accent2 13 5" xfId="5585" xr:uid="{00000000-0005-0000-0000-0000D0150000}"/>
    <cellStyle name="40% - Accent2 13 6" xfId="5586" xr:uid="{00000000-0005-0000-0000-0000D1150000}"/>
    <cellStyle name="40% - Accent2 14" xfId="5587" xr:uid="{00000000-0005-0000-0000-0000D2150000}"/>
    <cellStyle name="40% - Accent2 14 2" xfId="5588" xr:uid="{00000000-0005-0000-0000-0000D3150000}"/>
    <cellStyle name="40% - Accent2 14 2 2" xfId="5589" xr:uid="{00000000-0005-0000-0000-0000D4150000}"/>
    <cellStyle name="40% - Accent2 14 2 2 2" xfId="5590" xr:uid="{00000000-0005-0000-0000-0000D5150000}"/>
    <cellStyle name="40% - Accent2 14 2 3" xfId="5591" xr:uid="{00000000-0005-0000-0000-0000D6150000}"/>
    <cellStyle name="40% - Accent2 14 2 3 2" xfId="5592" xr:uid="{00000000-0005-0000-0000-0000D7150000}"/>
    <cellStyle name="40% - Accent2 14 2 4" xfId="5593" xr:uid="{00000000-0005-0000-0000-0000D8150000}"/>
    <cellStyle name="40% - Accent2 14 2 5" xfId="5594" xr:uid="{00000000-0005-0000-0000-0000D9150000}"/>
    <cellStyle name="40% - Accent2 14 3" xfId="5595" xr:uid="{00000000-0005-0000-0000-0000DA150000}"/>
    <cellStyle name="40% - Accent2 14 3 2" xfId="5596" xr:uid="{00000000-0005-0000-0000-0000DB150000}"/>
    <cellStyle name="40% - Accent2 14 4" xfId="5597" xr:uid="{00000000-0005-0000-0000-0000DC150000}"/>
    <cellStyle name="40% - Accent2 14 4 2" xfId="5598" xr:uid="{00000000-0005-0000-0000-0000DD150000}"/>
    <cellStyle name="40% - Accent2 14 5" xfId="5599" xr:uid="{00000000-0005-0000-0000-0000DE150000}"/>
    <cellStyle name="40% - Accent2 14 6" xfId="5600" xr:uid="{00000000-0005-0000-0000-0000DF150000}"/>
    <cellStyle name="40% - Accent2 15" xfId="5601" xr:uid="{00000000-0005-0000-0000-0000E0150000}"/>
    <cellStyle name="40% - Accent2 15 2" xfId="5602" xr:uid="{00000000-0005-0000-0000-0000E1150000}"/>
    <cellStyle name="40% - Accent2 15 2 2" xfId="5603" xr:uid="{00000000-0005-0000-0000-0000E2150000}"/>
    <cellStyle name="40% - Accent2 15 2 2 2" xfId="5604" xr:uid="{00000000-0005-0000-0000-0000E3150000}"/>
    <cellStyle name="40% - Accent2 15 2 3" xfId="5605" xr:uid="{00000000-0005-0000-0000-0000E4150000}"/>
    <cellStyle name="40% - Accent2 15 2 3 2" xfId="5606" xr:uid="{00000000-0005-0000-0000-0000E5150000}"/>
    <cellStyle name="40% - Accent2 15 2 4" xfId="5607" xr:uid="{00000000-0005-0000-0000-0000E6150000}"/>
    <cellStyle name="40% - Accent2 15 2 5" xfId="5608" xr:uid="{00000000-0005-0000-0000-0000E7150000}"/>
    <cellStyle name="40% - Accent2 15 3" xfId="5609" xr:uid="{00000000-0005-0000-0000-0000E8150000}"/>
    <cellStyle name="40% - Accent2 15 3 2" xfId="5610" xr:uid="{00000000-0005-0000-0000-0000E9150000}"/>
    <cellStyle name="40% - Accent2 15 4" xfId="5611" xr:uid="{00000000-0005-0000-0000-0000EA150000}"/>
    <cellStyle name="40% - Accent2 15 4 2" xfId="5612" xr:uid="{00000000-0005-0000-0000-0000EB150000}"/>
    <cellStyle name="40% - Accent2 15 5" xfId="5613" xr:uid="{00000000-0005-0000-0000-0000EC150000}"/>
    <cellStyle name="40% - Accent2 15 6" xfId="5614" xr:uid="{00000000-0005-0000-0000-0000ED150000}"/>
    <cellStyle name="40% - Accent2 16" xfId="5615" xr:uid="{00000000-0005-0000-0000-0000EE150000}"/>
    <cellStyle name="40% - Accent2 16 2" xfId="5616" xr:uid="{00000000-0005-0000-0000-0000EF150000}"/>
    <cellStyle name="40% - Accent2 16 2 2" xfId="5617" xr:uid="{00000000-0005-0000-0000-0000F0150000}"/>
    <cellStyle name="40% - Accent2 16 2 3" xfId="5618" xr:uid="{00000000-0005-0000-0000-0000F1150000}"/>
    <cellStyle name="40% - Accent2 16 3" xfId="5619" xr:uid="{00000000-0005-0000-0000-0000F2150000}"/>
    <cellStyle name="40% - Accent2 16 4" xfId="5620" xr:uid="{00000000-0005-0000-0000-0000F3150000}"/>
    <cellStyle name="40% - Accent2 17" xfId="5621" xr:uid="{00000000-0005-0000-0000-0000F4150000}"/>
    <cellStyle name="40% - Accent2 17 2" xfId="5622" xr:uid="{00000000-0005-0000-0000-0000F5150000}"/>
    <cellStyle name="40% - Accent2 17 2 2" xfId="5623" xr:uid="{00000000-0005-0000-0000-0000F6150000}"/>
    <cellStyle name="40% - Accent2 17 2 3" xfId="5624" xr:uid="{00000000-0005-0000-0000-0000F7150000}"/>
    <cellStyle name="40% - Accent2 17 3" xfId="5625" xr:uid="{00000000-0005-0000-0000-0000F8150000}"/>
    <cellStyle name="40% - Accent2 17 4" xfId="5626" xr:uid="{00000000-0005-0000-0000-0000F9150000}"/>
    <cellStyle name="40% - Accent2 18" xfId="5627" xr:uid="{00000000-0005-0000-0000-0000FA150000}"/>
    <cellStyle name="40% - Accent2 18 2" xfId="5628" xr:uid="{00000000-0005-0000-0000-0000FB150000}"/>
    <cellStyle name="40% - Accent2 18 2 2" xfId="5629" xr:uid="{00000000-0005-0000-0000-0000FC150000}"/>
    <cellStyle name="40% - Accent2 18 2 3" xfId="5630" xr:uid="{00000000-0005-0000-0000-0000FD150000}"/>
    <cellStyle name="40% - Accent2 18 3" xfId="5631" xr:uid="{00000000-0005-0000-0000-0000FE150000}"/>
    <cellStyle name="40% - Accent2 18 4" xfId="5632" xr:uid="{00000000-0005-0000-0000-0000FF150000}"/>
    <cellStyle name="40% - Accent2 19" xfId="5633" xr:uid="{00000000-0005-0000-0000-000000160000}"/>
    <cellStyle name="40% - Accent2 19 2" xfId="5634" xr:uid="{00000000-0005-0000-0000-000001160000}"/>
    <cellStyle name="40% - Accent2 19 2 2" xfId="5635" xr:uid="{00000000-0005-0000-0000-000002160000}"/>
    <cellStyle name="40% - Accent2 19 2 3" xfId="5636" xr:uid="{00000000-0005-0000-0000-000003160000}"/>
    <cellStyle name="40% - Accent2 19 3" xfId="5637" xr:uid="{00000000-0005-0000-0000-000004160000}"/>
    <cellStyle name="40% - Accent2 19 4" xfId="5638" xr:uid="{00000000-0005-0000-0000-000005160000}"/>
    <cellStyle name="40% - Accent2 2" xfId="5639" xr:uid="{00000000-0005-0000-0000-000006160000}"/>
    <cellStyle name="40% - Accent2 2 2" xfId="5640" xr:uid="{00000000-0005-0000-0000-000007160000}"/>
    <cellStyle name="40% - Accent2 2 2 2" xfId="5641" xr:uid="{00000000-0005-0000-0000-000008160000}"/>
    <cellStyle name="40% - Accent2 2 2 3" xfId="5642" xr:uid="{00000000-0005-0000-0000-000009160000}"/>
    <cellStyle name="40% - Accent2 2 2 4" xfId="5643" xr:uid="{00000000-0005-0000-0000-00000A160000}"/>
    <cellStyle name="40% - Accent2 2 2 5" xfId="5644" xr:uid="{00000000-0005-0000-0000-00000B160000}"/>
    <cellStyle name="40% - Accent2 2 3" xfId="5645" xr:uid="{00000000-0005-0000-0000-00000C160000}"/>
    <cellStyle name="40% - Accent2 2 3 2" xfId="5646" xr:uid="{00000000-0005-0000-0000-00000D160000}"/>
    <cellStyle name="40% - Accent2 2 4" xfId="5647" xr:uid="{00000000-0005-0000-0000-00000E160000}"/>
    <cellStyle name="40% - Accent2 2 4 2" xfId="5648" xr:uid="{00000000-0005-0000-0000-00000F160000}"/>
    <cellStyle name="40% - Accent2 2 4 2 2" xfId="5649" xr:uid="{00000000-0005-0000-0000-000010160000}"/>
    <cellStyle name="40% - Accent2 2 4 3" xfId="5650" xr:uid="{00000000-0005-0000-0000-000011160000}"/>
    <cellStyle name="40% - Accent2 2 4 4" xfId="5651" xr:uid="{00000000-0005-0000-0000-000012160000}"/>
    <cellStyle name="40% - Accent2 2 5" xfId="5652" xr:uid="{00000000-0005-0000-0000-000013160000}"/>
    <cellStyle name="40% - Accent2 2 5 2" xfId="5653" xr:uid="{00000000-0005-0000-0000-000014160000}"/>
    <cellStyle name="40% - Accent2 2 5 3" xfId="5654" xr:uid="{00000000-0005-0000-0000-000015160000}"/>
    <cellStyle name="40% - Accent2 2 6" xfId="5655" xr:uid="{00000000-0005-0000-0000-000016160000}"/>
    <cellStyle name="40% - Accent2 2 7" xfId="5656" xr:uid="{00000000-0005-0000-0000-000017160000}"/>
    <cellStyle name="40% - Accent2 20" xfId="5657" xr:uid="{00000000-0005-0000-0000-000018160000}"/>
    <cellStyle name="40% - Accent2 20 2" xfId="5658" xr:uid="{00000000-0005-0000-0000-000019160000}"/>
    <cellStyle name="40% - Accent2 20 3" xfId="5659" xr:uid="{00000000-0005-0000-0000-00001A160000}"/>
    <cellStyle name="40% - Accent2 21" xfId="5660" xr:uid="{00000000-0005-0000-0000-00001B160000}"/>
    <cellStyle name="40% - Accent2 21 2" xfId="5661" xr:uid="{00000000-0005-0000-0000-00001C160000}"/>
    <cellStyle name="40% - Accent2 22" xfId="5662" xr:uid="{00000000-0005-0000-0000-00001D160000}"/>
    <cellStyle name="40% - Accent2 23" xfId="5663" xr:uid="{00000000-0005-0000-0000-00001E160000}"/>
    <cellStyle name="40% - Accent2 24" xfId="5664" xr:uid="{00000000-0005-0000-0000-00001F160000}"/>
    <cellStyle name="40% - Accent2 3" xfId="5665" xr:uid="{00000000-0005-0000-0000-000020160000}"/>
    <cellStyle name="40% - Accent2 3 10" xfId="5666" xr:uid="{00000000-0005-0000-0000-000021160000}"/>
    <cellStyle name="40% - Accent2 3 11" xfId="5667" xr:uid="{00000000-0005-0000-0000-000022160000}"/>
    <cellStyle name="40% - Accent2 3 2" xfId="5668" xr:uid="{00000000-0005-0000-0000-000023160000}"/>
    <cellStyle name="40% - Accent2 3 2 2" xfId="5669" xr:uid="{00000000-0005-0000-0000-000024160000}"/>
    <cellStyle name="40% - Accent2 3 2 2 2" xfId="5670" xr:uid="{00000000-0005-0000-0000-000025160000}"/>
    <cellStyle name="40% - Accent2 3 2 2 2 2" xfId="5671" xr:uid="{00000000-0005-0000-0000-000026160000}"/>
    <cellStyle name="40% - Accent2 3 2 2 2 2 2" xfId="5672" xr:uid="{00000000-0005-0000-0000-000027160000}"/>
    <cellStyle name="40% - Accent2 3 2 2 2 2 2 2" xfId="5673" xr:uid="{00000000-0005-0000-0000-000028160000}"/>
    <cellStyle name="40% - Accent2 3 2 2 2 2 3" xfId="5674" xr:uid="{00000000-0005-0000-0000-000029160000}"/>
    <cellStyle name="40% - Accent2 3 2 2 2 2 3 2" xfId="5675" xr:uid="{00000000-0005-0000-0000-00002A160000}"/>
    <cellStyle name="40% - Accent2 3 2 2 2 2 4" xfId="5676" xr:uid="{00000000-0005-0000-0000-00002B160000}"/>
    <cellStyle name="40% - Accent2 3 2 2 2 2 5" xfId="5677" xr:uid="{00000000-0005-0000-0000-00002C160000}"/>
    <cellStyle name="40% - Accent2 3 2 2 2 3" xfId="5678" xr:uid="{00000000-0005-0000-0000-00002D160000}"/>
    <cellStyle name="40% - Accent2 3 2 2 2 3 2" xfId="5679" xr:uid="{00000000-0005-0000-0000-00002E160000}"/>
    <cellStyle name="40% - Accent2 3 2 2 2 4" xfId="5680" xr:uid="{00000000-0005-0000-0000-00002F160000}"/>
    <cellStyle name="40% - Accent2 3 2 2 2 4 2" xfId="5681" xr:uid="{00000000-0005-0000-0000-000030160000}"/>
    <cellStyle name="40% - Accent2 3 2 2 2 5" xfId="5682" xr:uid="{00000000-0005-0000-0000-000031160000}"/>
    <cellStyle name="40% - Accent2 3 2 2 2 6" xfId="5683" xr:uid="{00000000-0005-0000-0000-000032160000}"/>
    <cellStyle name="40% - Accent2 3 2 2 3" xfId="5684" xr:uid="{00000000-0005-0000-0000-000033160000}"/>
    <cellStyle name="40% - Accent2 3 2 2 3 2" xfId="5685" xr:uid="{00000000-0005-0000-0000-000034160000}"/>
    <cellStyle name="40% - Accent2 3 2 2 3 2 2" xfId="5686" xr:uid="{00000000-0005-0000-0000-000035160000}"/>
    <cellStyle name="40% - Accent2 3 2 2 3 3" xfId="5687" xr:uid="{00000000-0005-0000-0000-000036160000}"/>
    <cellStyle name="40% - Accent2 3 2 2 3 3 2" xfId="5688" xr:uid="{00000000-0005-0000-0000-000037160000}"/>
    <cellStyle name="40% - Accent2 3 2 2 3 4" xfId="5689" xr:uid="{00000000-0005-0000-0000-000038160000}"/>
    <cellStyle name="40% - Accent2 3 2 2 3 5" xfId="5690" xr:uid="{00000000-0005-0000-0000-000039160000}"/>
    <cellStyle name="40% - Accent2 3 2 2 4" xfId="5691" xr:uid="{00000000-0005-0000-0000-00003A160000}"/>
    <cellStyle name="40% - Accent2 3 2 2 4 2" xfId="5692" xr:uid="{00000000-0005-0000-0000-00003B160000}"/>
    <cellStyle name="40% - Accent2 3 2 2 5" xfId="5693" xr:uid="{00000000-0005-0000-0000-00003C160000}"/>
    <cellStyle name="40% - Accent2 3 2 2 5 2" xfId="5694" xr:uid="{00000000-0005-0000-0000-00003D160000}"/>
    <cellStyle name="40% - Accent2 3 2 2 6" xfId="5695" xr:uid="{00000000-0005-0000-0000-00003E160000}"/>
    <cellStyle name="40% - Accent2 3 2 2 7" xfId="5696" xr:uid="{00000000-0005-0000-0000-00003F160000}"/>
    <cellStyle name="40% - Accent2 3 2 2 8" xfId="5697" xr:uid="{00000000-0005-0000-0000-000040160000}"/>
    <cellStyle name="40% - Accent2 3 2 3" xfId="5698" xr:uid="{00000000-0005-0000-0000-000041160000}"/>
    <cellStyle name="40% - Accent2 3 2 3 2" xfId="5699" xr:uid="{00000000-0005-0000-0000-000042160000}"/>
    <cellStyle name="40% - Accent2 3 2 3 2 2" xfId="5700" xr:uid="{00000000-0005-0000-0000-000043160000}"/>
    <cellStyle name="40% - Accent2 3 2 3 2 2 2" xfId="5701" xr:uid="{00000000-0005-0000-0000-000044160000}"/>
    <cellStyle name="40% - Accent2 3 2 3 2 3" xfId="5702" xr:uid="{00000000-0005-0000-0000-000045160000}"/>
    <cellStyle name="40% - Accent2 3 2 3 2 3 2" xfId="5703" xr:uid="{00000000-0005-0000-0000-000046160000}"/>
    <cellStyle name="40% - Accent2 3 2 3 2 4" xfId="5704" xr:uid="{00000000-0005-0000-0000-000047160000}"/>
    <cellStyle name="40% - Accent2 3 2 3 2 5" xfId="5705" xr:uid="{00000000-0005-0000-0000-000048160000}"/>
    <cellStyle name="40% - Accent2 3 2 3 3" xfId="5706" xr:uid="{00000000-0005-0000-0000-000049160000}"/>
    <cellStyle name="40% - Accent2 3 2 3 3 2" xfId="5707" xr:uid="{00000000-0005-0000-0000-00004A160000}"/>
    <cellStyle name="40% - Accent2 3 2 3 4" xfId="5708" xr:uid="{00000000-0005-0000-0000-00004B160000}"/>
    <cellStyle name="40% - Accent2 3 2 3 4 2" xfId="5709" xr:uid="{00000000-0005-0000-0000-00004C160000}"/>
    <cellStyle name="40% - Accent2 3 2 3 5" xfId="5710" xr:uid="{00000000-0005-0000-0000-00004D160000}"/>
    <cellStyle name="40% - Accent2 3 2 3 6" xfId="5711" xr:uid="{00000000-0005-0000-0000-00004E160000}"/>
    <cellStyle name="40% - Accent2 3 2 3 7" xfId="5712" xr:uid="{00000000-0005-0000-0000-00004F160000}"/>
    <cellStyle name="40% - Accent2 3 2 4" xfId="5713" xr:uid="{00000000-0005-0000-0000-000050160000}"/>
    <cellStyle name="40% - Accent2 3 2 4 2" xfId="5714" xr:uid="{00000000-0005-0000-0000-000051160000}"/>
    <cellStyle name="40% - Accent2 3 2 4 2 2" xfId="5715" xr:uid="{00000000-0005-0000-0000-000052160000}"/>
    <cellStyle name="40% - Accent2 3 2 4 3" xfId="5716" xr:uid="{00000000-0005-0000-0000-000053160000}"/>
    <cellStyle name="40% - Accent2 3 2 4 3 2" xfId="5717" xr:uid="{00000000-0005-0000-0000-000054160000}"/>
    <cellStyle name="40% - Accent2 3 2 4 4" xfId="5718" xr:uid="{00000000-0005-0000-0000-000055160000}"/>
    <cellStyle name="40% - Accent2 3 2 4 5" xfId="5719" xr:uid="{00000000-0005-0000-0000-000056160000}"/>
    <cellStyle name="40% - Accent2 3 2 4 6" xfId="5720" xr:uid="{00000000-0005-0000-0000-000057160000}"/>
    <cellStyle name="40% - Accent2 3 2 5" xfId="5721" xr:uid="{00000000-0005-0000-0000-000058160000}"/>
    <cellStyle name="40% - Accent2 3 2 5 2" xfId="5722" xr:uid="{00000000-0005-0000-0000-000059160000}"/>
    <cellStyle name="40% - Accent2 3 2 6" xfId="5723" xr:uid="{00000000-0005-0000-0000-00005A160000}"/>
    <cellStyle name="40% - Accent2 3 2 6 2" xfId="5724" xr:uid="{00000000-0005-0000-0000-00005B160000}"/>
    <cellStyle name="40% - Accent2 3 2 7" xfId="5725" xr:uid="{00000000-0005-0000-0000-00005C160000}"/>
    <cellStyle name="40% - Accent2 3 2 8" xfId="5726" xr:uid="{00000000-0005-0000-0000-00005D160000}"/>
    <cellStyle name="40% - Accent2 3 2 9" xfId="5727" xr:uid="{00000000-0005-0000-0000-00005E160000}"/>
    <cellStyle name="40% - Accent2 3 3" xfId="5728" xr:uid="{00000000-0005-0000-0000-00005F160000}"/>
    <cellStyle name="40% - Accent2 3 3 2" xfId="5729" xr:uid="{00000000-0005-0000-0000-000060160000}"/>
    <cellStyle name="40% - Accent2 3 3 2 2" xfId="5730" xr:uid="{00000000-0005-0000-0000-000061160000}"/>
    <cellStyle name="40% - Accent2 3 3 2 2 2" xfId="5731" xr:uid="{00000000-0005-0000-0000-000062160000}"/>
    <cellStyle name="40% - Accent2 3 3 2 2 2 2" xfId="5732" xr:uid="{00000000-0005-0000-0000-000063160000}"/>
    <cellStyle name="40% - Accent2 3 3 2 2 3" xfId="5733" xr:uid="{00000000-0005-0000-0000-000064160000}"/>
    <cellStyle name="40% - Accent2 3 3 2 2 3 2" xfId="5734" xr:uid="{00000000-0005-0000-0000-000065160000}"/>
    <cellStyle name="40% - Accent2 3 3 2 2 4" xfId="5735" xr:uid="{00000000-0005-0000-0000-000066160000}"/>
    <cellStyle name="40% - Accent2 3 3 2 2 5" xfId="5736" xr:uid="{00000000-0005-0000-0000-000067160000}"/>
    <cellStyle name="40% - Accent2 3 3 2 3" xfId="5737" xr:uid="{00000000-0005-0000-0000-000068160000}"/>
    <cellStyle name="40% - Accent2 3 3 2 3 2" xfId="5738" xr:uid="{00000000-0005-0000-0000-000069160000}"/>
    <cellStyle name="40% - Accent2 3 3 2 4" xfId="5739" xr:uid="{00000000-0005-0000-0000-00006A160000}"/>
    <cellStyle name="40% - Accent2 3 3 2 4 2" xfId="5740" xr:uid="{00000000-0005-0000-0000-00006B160000}"/>
    <cellStyle name="40% - Accent2 3 3 2 5" xfId="5741" xr:uid="{00000000-0005-0000-0000-00006C160000}"/>
    <cellStyle name="40% - Accent2 3 3 2 6" xfId="5742" xr:uid="{00000000-0005-0000-0000-00006D160000}"/>
    <cellStyle name="40% - Accent2 3 3 3" xfId="5743" xr:uid="{00000000-0005-0000-0000-00006E160000}"/>
    <cellStyle name="40% - Accent2 3 3 3 2" xfId="5744" xr:uid="{00000000-0005-0000-0000-00006F160000}"/>
    <cellStyle name="40% - Accent2 3 3 3 2 2" xfId="5745" xr:uid="{00000000-0005-0000-0000-000070160000}"/>
    <cellStyle name="40% - Accent2 3 3 3 3" xfId="5746" xr:uid="{00000000-0005-0000-0000-000071160000}"/>
    <cellStyle name="40% - Accent2 3 3 3 3 2" xfId="5747" xr:uid="{00000000-0005-0000-0000-000072160000}"/>
    <cellStyle name="40% - Accent2 3 3 3 4" xfId="5748" xr:uid="{00000000-0005-0000-0000-000073160000}"/>
    <cellStyle name="40% - Accent2 3 3 3 5" xfId="5749" xr:uid="{00000000-0005-0000-0000-000074160000}"/>
    <cellStyle name="40% - Accent2 3 3 4" xfId="5750" xr:uid="{00000000-0005-0000-0000-000075160000}"/>
    <cellStyle name="40% - Accent2 3 3 4 2" xfId="5751" xr:uid="{00000000-0005-0000-0000-000076160000}"/>
    <cellStyle name="40% - Accent2 3 3 5" xfId="5752" xr:uid="{00000000-0005-0000-0000-000077160000}"/>
    <cellStyle name="40% - Accent2 3 3 5 2" xfId="5753" xr:uid="{00000000-0005-0000-0000-000078160000}"/>
    <cellStyle name="40% - Accent2 3 3 6" xfId="5754" xr:uid="{00000000-0005-0000-0000-000079160000}"/>
    <cellStyle name="40% - Accent2 3 3 7" xfId="5755" xr:uid="{00000000-0005-0000-0000-00007A160000}"/>
    <cellStyle name="40% - Accent2 3 3 8" xfId="5756" xr:uid="{00000000-0005-0000-0000-00007B160000}"/>
    <cellStyle name="40% - Accent2 3 4" xfId="5757" xr:uid="{00000000-0005-0000-0000-00007C160000}"/>
    <cellStyle name="40% - Accent2 3 4 2" xfId="5758" xr:uid="{00000000-0005-0000-0000-00007D160000}"/>
    <cellStyle name="40% - Accent2 3 4 2 2" xfId="5759" xr:uid="{00000000-0005-0000-0000-00007E160000}"/>
    <cellStyle name="40% - Accent2 3 4 2 2 2" xfId="5760" xr:uid="{00000000-0005-0000-0000-00007F160000}"/>
    <cellStyle name="40% - Accent2 3 4 2 3" xfId="5761" xr:uid="{00000000-0005-0000-0000-000080160000}"/>
    <cellStyle name="40% - Accent2 3 4 2 3 2" xfId="5762" xr:uid="{00000000-0005-0000-0000-000081160000}"/>
    <cellStyle name="40% - Accent2 3 4 2 4" xfId="5763" xr:uid="{00000000-0005-0000-0000-000082160000}"/>
    <cellStyle name="40% - Accent2 3 4 2 5" xfId="5764" xr:uid="{00000000-0005-0000-0000-000083160000}"/>
    <cellStyle name="40% - Accent2 3 4 3" xfId="5765" xr:uid="{00000000-0005-0000-0000-000084160000}"/>
    <cellStyle name="40% - Accent2 3 4 3 2" xfId="5766" xr:uid="{00000000-0005-0000-0000-000085160000}"/>
    <cellStyle name="40% - Accent2 3 4 4" xfId="5767" xr:uid="{00000000-0005-0000-0000-000086160000}"/>
    <cellStyle name="40% - Accent2 3 4 4 2" xfId="5768" xr:uid="{00000000-0005-0000-0000-000087160000}"/>
    <cellStyle name="40% - Accent2 3 4 5" xfId="5769" xr:uid="{00000000-0005-0000-0000-000088160000}"/>
    <cellStyle name="40% - Accent2 3 4 6" xfId="5770" xr:uid="{00000000-0005-0000-0000-000089160000}"/>
    <cellStyle name="40% - Accent2 3 4 7" xfId="5771" xr:uid="{00000000-0005-0000-0000-00008A160000}"/>
    <cellStyle name="40% - Accent2 3 5" xfId="5772" xr:uid="{00000000-0005-0000-0000-00008B160000}"/>
    <cellStyle name="40% - Accent2 3 5 2" xfId="5773" xr:uid="{00000000-0005-0000-0000-00008C160000}"/>
    <cellStyle name="40% - Accent2 3 5 2 2" xfId="5774" xr:uid="{00000000-0005-0000-0000-00008D160000}"/>
    <cellStyle name="40% - Accent2 3 5 2 2 2" xfId="5775" xr:uid="{00000000-0005-0000-0000-00008E160000}"/>
    <cellStyle name="40% - Accent2 3 5 2 3" xfId="5776" xr:uid="{00000000-0005-0000-0000-00008F160000}"/>
    <cellStyle name="40% - Accent2 3 5 3" xfId="5777" xr:uid="{00000000-0005-0000-0000-000090160000}"/>
    <cellStyle name="40% - Accent2 3 5 3 2" xfId="5778" xr:uid="{00000000-0005-0000-0000-000091160000}"/>
    <cellStyle name="40% - Accent2 3 5 4" xfId="5779" xr:uid="{00000000-0005-0000-0000-000092160000}"/>
    <cellStyle name="40% - Accent2 3 5 4 2" xfId="5780" xr:uid="{00000000-0005-0000-0000-000093160000}"/>
    <cellStyle name="40% - Accent2 3 5 5" xfId="5781" xr:uid="{00000000-0005-0000-0000-000094160000}"/>
    <cellStyle name="40% - Accent2 3 5 6" xfId="5782" xr:uid="{00000000-0005-0000-0000-000095160000}"/>
    <cellStyle name="40% - Accent2 3 5 7" xfId="5783" xr:uid="{00000000-0005-0000-0000-000096160000}"/>
    <cellStyle name="40% - Accent2 3 6" xfId="5784" xr:uid="{00000000-0005-0000-0000-000097160000}"/>
    <cellStyle name="40% - Accent2 3 6 2" xfId="5785" xr:uid="{00000000-0005-0000-0000-000098160000}"/>
    <cellStyle name="40% - Accent2 3 6 2 2" xfId="5786" xr:uid="{00000000-0005-0000-0000-000099160000}"/>
    <cellStyle name="40% - Accent2 3 6 3" xfId="5787" xr:uid="{00000000-0005-0000-0000-00009A160000}"/>
    <cellStyle name="40% - Accent2 3 7" xfId="5788" xr:uid="{00000000-0005-0000-0000-00009B160000}"/>
    <cellStyle name="40% - Accent2 3 7 2" xfId="5789" xr:uid="{00000000-0005-0000-0000-00009C160000}"/>
    <cellStyle name="40% - Accent2 3 8" xfId="5790" xr:uid="{00000000-0005-0000-0000-00009D160000}"/>
    <cellStyle name="40% - Accent2 3 8 2" xfId="5791" xr:uid="{00000000-0005-0000-0000-00009E160000}"/>
    <cellStyle name="40% - Accent2 3 9" xfId="5792" xr:uid="{00000000-0005-0000-0000-00009F160000}"/>
    <cellStyle name="40% - Accent2 4" xfId="5793" xr:uid="{00000000-0005-0000-0000-0000A0160000}"/>
    <cellStyle name="40% - Accent2 4 10" xfId="5794" xr:uid="{00000000-0005-0000-0000-0000A1160000}"/>
    <cellStyle name="40% - Accent2 4 11" xfId="5795" xr:uid="{00000000-0005-0000-0000-0000A2160000}"/>
    <cellStyle name="40% - Accent2 4 2" xfId="5796" xr:uid="{00000000-0005-0000-0000-0000A3160000}"/>
    <cellStyle name="40% - Accent2 4 2 2" xfId="5797" xr:uid="{00000000-0005-0000-0000-0000A4160000}"/>
    <cellStyle name="40% - Accent2 4 2 2 2" xfId="5798" xr:uid="{00000000-0005-0000-0000-0000A5160000}"/>
    <cellStyle name="40% - Accent2 4 2 2 2 2" xfId="5799" xr:uid="{00000000-0005-0000-0000-0000A6160000}"/>
    <cellStyle name="40% - Accent2 4 2 2 2 2 2" xfId="5800" xr:uid="{00000000-0005-0000-0000-0000A7160000}"/>
    <cellStyle name="40% - Accent2 4 2 2 2 2 2 2" xfId="5801" xr:uid="{00000000-0005-0000-0000-0000A8160000}"/>
    <cellStyle name="40% - Accent2 4 2 2 2 2 3" xfId="5802" xr:uid="{00000000-0005-0000-0000-0000A9160000}"/>
    <cellStyle name="40% - Accent2 4 2 2 2 2 3 2" xfId="5803" xr:uid="{00000000-0005-0000-0000-0000AA160000}"/>
    <cellStyle name="40% - Accent2 4 2 2 2 2 4" xfId="5804" xr:uid="{00000000-0005-0000-0000-0000AB160000}"/>
    <cellStyle name="40% - Accent2 4 2 2 2 2 5" xfId="5805" xr:uid="{00000000-0005-0000-0000-0000AC160000}"/>
    <cellStyle name="40% - Accent2 4 2 2 2 3" xfId="5806" xr:uid="{00000000-0005-0000-0000-0000AD160000}"/>
    <cellStyle name="40% - Accent2 4 2 2 2 3 2" xfId="5807" xr:uid="{00000000-0005-0000-0000-0000AE160000}"/>
    <cellStyle name="40% - Accent2 4 2 2 2 4" xfId="5808" xr:uid="{00000000-0005-0000-0000-0000AF160000}"/>
    <cellStyle name="40% - Accent2 4 2 2 2 4 2" xfId="5809" xr:uid="{00000000-0005-0000-0000-0000B0160000}"/>
    <cellStyle name="40% - Accent2 4 2 2 2 5" xfId="5810" xr:uid="{00000000-0005-0000-0000-0000B1160000}"/>
    <cellStyle name="40% - Accent2 4 2 2 2 6" xfId="5811" xr:uid="{00000000-0005-0000-0000-0000B2160000}"/>
    <cellStyle name="40% - Accent2 4 2 2 3" xfId="5812" xr:uid="{00000000-0005-0000-0000-0000B3160000}"/>
    <cellStyle name="40% - Accent2 4 2 2 3 2" xfId="5813" xr:uid="{00000000-0005-0000-0000-0000B4160000}"/>
    <cellStyle name="40% - Accent2 4 2 2 3 2 2" xfId="5814" xr:uid="{00000000-0005-0000-0000-0000B5160000}"/>
    <cellStyle name="40% - Accent2 4 2 2 3 3" xfId="5815" xr:uid="{00000000-0005-0000-0000-0000B6160000}"/>
    <cellStyle name="40% - Accent2 4 2 2 3 3 2" xfId="5816" xr:uid="{00000000-0005-0000-0000-0000B7160000}"/>
    <cellStyle name="40% - Accent2 4 2 2 3 4" xfId="5817" xr:uid="{00000000-0005-0000-0000-0000B8160000}"/>
    <cellStyle name="40% - Accent2 4 2 2 3 5" xfId="5818" xr:uid="{00000000-0005-0000-0000-0000B9160000}"/>
    <cellStyle name="40% - Accent2 4 2 2 4" xfId="5819" xr:uid="{00000000-0005-0000-0000-0000BA160000}"/>
    <cellStyle name="40% - Accent2 4 2 2 4 2" xfId="5820" xr:uid="{00000000-0005-0000-0000-0000BB160000}"/>
    <cellStyle name="40% - Accent2 4 2 2 5" xfId="5821" xr:uid="{00000000-0005-0000-0000-0000BC160000}"/>
    <cellStyle name="40% - Accent2 4 2 2 5 2" xfId="5822" xr:uid="{00000000-0005-0000-0000-0000BD160000}"/>
    <cellStyle name="40% - Accent2 4 2 2 6" xfId="5823" xr:uid="{00000000-0005-0000-0000-0000BE160000}"/>
    <cellStyle name="40% - Accent2 4 2 2 7" xfId="5824" xr:uid="{00000000-0005-0000-0000-0000BF160000}"/>
    <cellStyle name="40% - Accent2 4 2 3" xfId="5825" xr:uid="{00000000-0005-0000-0000-0000C0160000}"/>
    <cellStyle name="40% - Accent2 4 2 3 2" xfId="5826" xr:uid="{00000000-0005-0000-0000-0000C1160000}"/>
    <cellStyle name="40% - Accent2 4 2 3 2 2" xfId="5827" xr:uid="{00000000-0005-0000-0000-0000C2160000}"/>
    <cellStyle name="40% - Accent2 4 2 3 2 2 2" xfId="5828" xr:uid="{00000000-0005-0000-0000-0000C3160000}"/>
    <cellStyle name="40% - Accent2 4 2 3 2 3" xfId="5829" xr:uid="{00000000-0005-0000-0000-0000C4160000}"/>
    <cellStyle name="40% - Accent2 4 2 3 2 3 2" xfId="5830" xr:uid="{00000000-0005-0000-0000-0000C5160000}"/>
    <cellStyle name="40% - Accent2 4 2 3 2 4" xfId="5831" xr:uid="{00000000-0005-0000-0000-0000C6160000}"/>
    <cellStyle name="40% - Accent2 4 2 3 2 5" xfId="5832" xr:uid="{00000000-0005-0000-0000-0000C7160000}"/>
    <cellStyle name="40% - Accent2 4 2 3 3" xfId="5833" xr:uid="{00000000-0005-0000-0000-0000C8160000}"/>
    <cellStyle name="40% - Accent2 4 2 3 3 2" xfId="5834" xr:uid="{00000000-0005-0000-0000-0000C9160000}"/>
    <cellStyle name="40% - Accent2 4 2 3 4" xfId="5835" xr:uid="{00000000-0005-0000-0000-0000CA160000}"/>
    <cellStyle name="40% - Accent2 4 2 3 4 2" xfId="5836" xr:uid="{00000000-0005-0000-0000-0000CB160000}"/>
    <cellStyle name="40% - Accent2 4 2 3 5" xfId="5837" xr:uid="{00000000-0005-0000-0000-0000CC160000}"/>
    <cellStyle name="40% - Accent2 4 2 3 6" xfId="5838" xr:uid="{00000000-0005-0000-0000-0000CD160000}"/>
    <cellStyle name="40% - Accent2 4 2 4" xfId="5839" xr:uid="{00000000-0005-0000-0000-0000CE160000}"/>
    <cellStyle name="40% - Accent2 4 2 4 2" xfId="5840" xr:uid="{00000000-0005-0000-0000-0000CF160000}"/>
    <cellStyle name="40% - Accent2 4 2 4 2 2" xfId="5841" xr:uid="{00000000-0005-0000-0000-0000D0160000}"/>
    <cellStyle name="40% - Accent2 4 2 4 3" xfId="5842" xr:uid="{00000000-0005-0000-0000-0000D1160000}"/>
    <cellStyle name="40% - Accent2 4 2 4 3 2" xfId="5843" xr:uid="{00000000-0005-0000-0000-0000D2160000}"/>
    <cellStyle name="40% - Accent2 4 2 4 4" xfId="5844" xr:uid="{00000000-0005-0000-0000-0000D3160000}"/>
    <cellStyle name="40% - Accent2 4 2 4 5" xfId="5845" xr:uid="{00000000-0005-0000-0000-0000D4160000}"/>
    <cellStyle name="40% - Accent2 4 2 5" xfId="5846" xr:uid="{00000000-0005-0000-0000-0000D5160000}"/>
    <cellStyle name="40% - Accent2 4 2 5 2" xfId="5847" xr:uid="{00000000-0005-0000-0000-0000D6160000}"/>
    <cellStyle name="40% - Accent2 4 2 6" xfId="5848" xr:uid="{00000000-0005-0000-0000-0000D7160000}"/>
    <cellStyle name="40% - Accent2 4 2 6 2" xfId="5849" xr:uid="{00000000-0005-0000-0000-0000D8160000}"/>
    <cellStyle name="40% - Accent2 4 2 7" xfId="5850" xr:uid="{00000000-0005-0000-0000-0000D9160000}"/>
    <cellStyle name="40% - Accent2 4 2 8" xfId="5851" xr:uid="{00000000-0005-0000-0000-0000DA160000}"/>
    <cellStyle name="40% - Accent2 4 2 9" xfId="5852" xr:uid="{00000000-0005-0000-0000-0000DB160000}"/>
    <cellStyle name="40% - Accent2 4 3" xfId="5853" xr:uid="{00000000-0005-0000-0000-0000DC160000}"/>
    <cellStyle name="40% - Accent2 4 3 2" xfId="5854" xr:uid="{00000000-0005-0000-0000-0000DD160000}"/>
    <cellStyle name="40% - Accent2 4 3 2 2" xfId="5855" xr:uid="{00000000-0005-0000-0000-0000DE160000}"/>
    <cellStyle name="40% - Accent2 4 3 2 2 2" xfId="5856" xr:uid="{00000000-0005-0000-0000-0000DF160000}"/>
    <cellStyle name="40% - Accent2 4 3 2 2 2 2" xfId="5857" xr:uid="{00000000-0005-0000-0000-0000E0160000}"/>
    <cellStyle name="40% - Accent2 4 3 2 2 3" xfId="5858" xr:uid="{00000000-0005-0000-0000-0000E1160000}"/>
    <cellStyle name="40% - Accent2 4 3 2 2 3 2" xfId="5859" xr:uid="{00000000-0005-0000-0000-0000E2160000}"/>
    <cellStyle name="40% - Accent2 4 3 2 2 4" xfId="5860" xr:uid="{00000000-0005-0000-0000-0000E3160000}"/>
    <cellStyle name="40% - Accent2 4 3 2 2 5" xfId="5861" xr:uid="{00000000-0005-0000-0000-0000E4160000}"/>
    <cellStyle name="40% - Accent2 4 3 2 3" xfId="5862" xr:uid="{00000000-0005-0000-0000-0000E5160000}"/>
    <cellStyle name="40% - Accent2 4 3 2 3 2" xfId="5863" xr:uid="{00000000-0005-0000-0000-0000E6160000}"/>
    <cellStyle name="40% - Accent2 4 3 2 4" xfId="5864" xr:uid="{00000000-0005-0000-0000-0000E7160000}"/>
    <cellStyle name="40% - Accent2 4 3 2 4 2" xfId="5865" xr:uid="{00000000-0005-0000-0000-0000E8160000}"/>
    <cellStyle name="40% - Accent2 4 3 2 5" xfId="5866" xr:uid="{00000000-0005-0000-0000-0000E9160000}"/>
    <cellStyle name="40% - Accent2 4 3 2 6" xfId="5867" xr:uid="{00000000-0005-0000-0000-0000EA160000}"/>
    <cellStyle name="40% - Accent2 4 3 3" xfId="5868" xr:uid="{00000000-0005-0000-0000-0000EB160000}"/>
    <cellStyle name="40% - Accent2 4 3 3 2" xfId="5869" xr:uid="{00000000-0005-0000-0000-0000EC160000}"/>
    <cellStyle name="40% - Accent2 4 3 3 2 2" xfId="5870" xr:uid="{00000000-0005-0000-0000-0000ED160000}"/>
    <cellStyle name="40% - Accent2 4 3 3 3" xfId="5871" xr:uid="{00000000-0005-0000-0000-0000EE160000}"/>
    <cellStyle name="40% - Accent2 4 3 3 3 2" xfId="5872" xr:uid="{00000000-0005-0000-0000-0000EF160000}"/>
    <cellStyle name="40% - Accent2 4 3 3 4" xfId="5873" xr:uid="{00000000-0005-0000-0000-0000F0160000}"/>
    <cellStyle name="40% - Accent2 4 3 3 5" xfId="5874" xr:uid="{00000000-0005-0000-0000-0000F1160000}"/>
    <cellStyle name="40% - Accent2 4 3 4" xfId="5875" xr:uid="{00000000-0005-0000-0000-0000F2160000}"/>
    <cellStyle name="40% - Accent2 4 3 4 2" xfId="5876" xr:uid="{00000000-0005-0000-0000-0000F3160000}"/>
    <cellStyle name="40% - Accent2 4 3 5" xfId="5877" xr:uid="{00000000-0005-0000-0000-0000F4160000}"/>
    <cellStyle name="40% - Accent2 4 3 5 2" xfId="5878" xr:uid="{00000000-0005-0000-0000-0000F5160000}"/>
    <cellStyle name="40% - Accent2 4 3 6" xfId="5879" xr:uid="{00000000-0005-0000-0000-0000F6160000}"/>
    <cellStyle name="40% - Accent2 4 3 7" xfId="5880" xr:uid="{00000000-0005-0000-0000-0000F7160000}"/>
    <cellStyle name="40% - Accent2 4 3 8" xfId="5881" xr:uid="{00000000-0005-0000-0000-0000F8160000}"/>
    <cellStyle name="40% - Accent2 4 4" xfId="5882" xr:uid="{00000000-0005-0000-0000-0000F9160000}"/>
    <cellStyle name="40% - Accent2 4 4 2" xfId="5883" xr:uid="{00000000-0005-0000-0000-0000FA160000}"/>
    <cellStyle name="40% - Accent2 4 4 2 2" xfId="5884" xr:uid="{00000000-0005-0000-0000-0000FB160000}"/>
    <cellStyle name="40% - Accent2 4 4 2 2 2" xfId="5885" xr:uid="{00000000-0005-0000-0000-0000FC160000}"/>
    <cellStyle name="40% - Accent2 4 4 2 3" xfId="5886" xr:uid="{00000000-0005-0000-0000-0000FD160000}"/>
    <cellStyle name="40% - Accent2 4 4 2 3 2" xfId="5887" xr:uid="{00000000-0005-0000-0000-0000FE160000}"/>
    <cellStyle name="40% - Accent2 4 4 2 4" xfId="5888" xr:uid="{00000000-0005-0000-0000-0000FF160000}"/>
    <cellStyle name="40% - Accent2 4 4 2 5" xfId="5889" xr:uid="{00000000-0005-0000-0000-000000170000}"/>
    <cellStyle name="40% - Accent2 4 4 3" xfId="5890" xr:uid="{00000000-0005-0000-0000-000001170000}"/>
    <cellStyle name="40% - Accent2 4 4 3 2" xfId="5891" xr:uid="{00000000-0005-0000-0000-000002170000}"/>
    <cellStyle name="40% - Accent2 4 4 4" xfId="5892" xr:uid="{00000000-0005-0000-0000-000003170000}"/>
    <cellStyle name="40% - Accent2 4 4 4 2" xfId="5893" xr:uid="{00000000-0005-0000-0000-000004170000}"/>
    <cellStyle name="40% - Accent2 4 4 5" xfId="5894" xr:uid="{00000000-0005-0000-0000-000005170000}"/>
    <cellStyle name="40% - Accent2 4 4 6" xfId="5895" xr:uid="{00000000-0005-0000-0000-000006170000}"/>
    <cellStyle name="40% - Accent2 4 4 7" xfId="5896" xr:uid="{00000000-0005-0000-0000-000007170000}"/>
    <cellStyle name="40% - Accent2 4 5" xfId="5897" xr:uid="{00000000-0005-0000-0000-000008170000}"/>
    <cellStyle name="40% - Accent2 4 5 2" xfId="5898" xr:uid="{00000000-0005-0000-0000-000009170000}"/>
    <cellStyle name="40% - Accent2 4 5 2 2" xfId="5899" xr:uid="{00000000-0005-0000-0000-00000A170000}"/>
    <cellStyle name="40% - Accent2 4 5 2 2 2" xfId="5900" xr:uid="{00000000-0005-0000-0000-00000B170000}"/>
    <cellStyle name="40% - Accent2 4 5 2 3" xfId="5901" xr:uid="{00000000-0005-0000-0000-00000C170000}"/>
    <cellStyle name="40% - Accent2 4 5 3" xfId="5902" xr:uid="{00000000-0005-0000-0000-00000D170000}"/>
    <cellStyle name="40% - Accent2 4 5 3 2" xfId="5903" xr:uid="{00000000-0005-0000-0000-00000E170000}"/>
    <cellStyle name="40% - Accent2 4 5 4" xfId="5904" xr:uid="{00000000-0005-0000-0000-00000F170000}"/>
    <cellStyle name="40% - Accent2 4 5 4 2" xfId="5905" xr:uid="{00000000-0005-0000-0000-000010170000}"/>
    <cellStyle name="40% - Accent2 4 5 5" xfId="5906" xr:uid="{00000000-0005-0000-0000-000011170000}"/>
    <cellStyle name="40% - Accent2 4 5 6" xfId="5907" xr:uid="{00000000-0005-0000-0000-000012170000}"/>
    <cellStyle name="40% - Accent2 4 6" xfId="5908" xr:uid="{00000000-0005-0000-0000-000013170000}"/>
    <cellStyle name="40% - Accent2 4 6 2" xfId="5909" xr:uid="{00000000-0005-0000-0000-000014170000}"/>
    <cellStyle name="40% - Accent2 4 6 2 2" xfId="5910" xr:uid="{00000000-0005-0000-0000-000015170000}"/>
    <cellStyle name="40% - Accent2 4 6 3" xfId="5911" xr:uid="{00000000-0005-0000-0000-000016170000}"/>
    <cellStyle name="40% - Accent2 4 7" xfId="5912" xr:uid="{00000000-0005-0000-0000-000017170000}"/>
    <cellStyle name="40% - Accent2 4 7 2" xfId="5913" xr:uid="{00000000-0005-0000-0000-000018170000}"/>
    <cellStyle name="40% - Accent2 4 8" xfId="5914" xr:uid="{00000000-0005-0000-0000-000019170000}"/>
    <cellStyle name="40% - Accent2 4 8 2" xfId="5915" xr:uid="{00000000-0005-0000-0000-00001A170000}"/>
    <cellStyle name="40% - Accent2 4 9" xfId="5916" xr:uid="{00000000-0005-0000-0000-00001B170000}"/>
    <cellStyle name="40% - Accent2 5" xfId="5917" xr:uid="{00000000-0005-0000-0000-00001C170000}"/>
    <cellStyle name="40% - Accent2 5 2" xfId="5918" xr:uid="{00000000-0005-0000-0000-00001D170000}"/>
    <cellStyle name="40% - Accent2 5 2 2" xfId="5919" xr:uid="{00000000-0005-0000-0000-00001E170000}"/>
    <cellStyle name="40% - Accent2 5 2 2 2" xfId="5920" xr:uid="{00000000-0005-0000-0000-00001F170000}"/>
    <cellStyle name="40% - Accent2 5 2 2 2 2" xfId="5921" xr:uid="{00000000-0005-0000-0000-000020170000}"/>
    <cellStyle name="40% - Accent2 5 2 2 2 2 2" xfId="5922" xr:uid="{00000000-0005-0000-0000-000021170000}"/>
    <cellStyle name="40% - Accent2 5 2 2 2 2 2 2" xfId="5923" xr:uid="{00000000-0005-0000-0000-000022170000}"/>
    <cellStyle name="40% - Accent2 5 2 2 2 2 3" xfId="5924" xr:uid="{00000000-0005-0000-0000-000023170000}"/>
    <cellStyle name="40% - Accent2 5 2 2 2 2 3 2" xfId="5925" xr:uid="{00000000-0005-0000-0000-000024170000}"/>
    <cellStyle name="40% - Accent2 5 2 2 2 2 4" xfId="5926" xr:uid="{00000000-0005-0000-0000-000025170000}"/>
    <cellStyle name="40% - Accent2 5 2 2 2 2 5" xfId="5927" xr:uid="{00000000-0005-0000-0000-000026170000}"/>
    <cellStyle name="40% - Accent2 5 2 2 2 3" xfId="5928" xr:uid="{00000000-0005-0000-0000-000027170000}"/>
    <cellStyle name="40% - Accent2 5 2 2 2 3 2" xfId="5929" xr:uid="{00000000-0005-0000-0000-000028170000}"/>
    <cellStyle name="40% - Accent2 5 2 2 2 4" xfId="5930" xr:uid="{00000000-0005-0000-0000-000029170000}"/>
    <cellStyle name="40% - Accent2 5 2 2 2 4 2" xfId="5931" xr:uid="{00000000-0005-0000-0000-00002A170000}"/>
    <cellStyle name="40% - Accent2 5 2 2 2 5" xfId="5932" xr:uid="{00000000-0005-0000-0000-00002B170000}"/>
    <cellStyle name="40% - Accent2 5 2 2 2 6" xfId="5933" xr:uid="{00000000-0005-0000-0000-00002C170000}"/>
    <cellStyle name="40% - Accent2 5 2 2 3" xfId="5934" xr:uid="{00000000-0005-0000-0000-00002D170000}"/>
    <cellStyle name="40% - Accent2 5 2 2 3 2" xfId="5935" xr:uid="{00000000-0005-0000-0000-00002E170000}"/>
    <cellStyle name="40% - Accent2 5 2 2 3 2 2" xfId="5936" xr:uid="{00000000-0005-0000-0000-00002F170000}"/>
    <cellStyle name="40% - Accent2 5 2 2 3 3" xfId="5937" xr:uid="{00000000-0005-0000-0000-000030170000}"/>
    <cellStyle name="40% - Accent2 5 2 2 3 3 2" xfId="5938" xr:uid="{00000000-0005-0000-0000-000031170000}"/>
    <cellStyle name="40% - Accent2 5 2 2 3 4" xfId="5939" xr:uid="{00000000-0005-0000-0000-000032170000}"/>
    <cellStyle name="40% - Accent2 5 2 2 3 5" xfId="5940" xr:uid="{00000000-0005-0000-0000-000033170000}"/>
    <cellStyle name="40% - Accent2 5 2 2 4" xfId="5941" xr:uid="{00000000-0005-0000-0000-000034170000}"/>
    <cellStyle name="40% - Accent2 5 2 2 4 2" xfId="5942" xr:uid="{00000000-0005-0000-0000-000035170000}"/>
    <cellStyle name="40% - Accent2 5 2 2 5" xfId="5943" xr:uid="{00000000-0005-0000-0000-000036170000}"/>
    <cellStyle name="40% - Accent2 5 2 2 5 2" xfId="5944" xr:uid="{00000000-0005-0000-0000-000037170000}"/>
    <cellStyle name="40% - Accent2 5 2 2 6" xfId="5945" xr:uid="{00000000-0005-0000-0000-000038170000}"/>
    <cellStyle name="40% - Accent2 5 2 2 7" xfId="5946" xr:uid="{00000000-0005-0000-0000-000039170000}"/>
    <cellStyle name="40% - Accent2 5 2 3" xfId="5947" xr:uid="{00000000-0005-0000-0000-00003A170000}"/>
    <cellStyle name="40% - Accent2 5 2 3 2" xfId="5948" xr:uid="{00000000-0005-0000-0000-00003B170000}"/>
    <cellStyle name="40% - Accent2 5 2 3 2 2" xfId="5949" xr:uid="{00000000-0005-0000-0000-00003C170000}"/>
    <cellStyle name="40% - Accent2 5 2 3 2 2 2" xfId="5950" xr:uid="{00000000-0005-0000-0000-00003D170000}"/>
    <cellStyle name="40% - Accent2 5 2 3 2 3" xfId="5951" xr:uid="{00000000-0005-0000-0000-00003E170000}"/>
    <cellStyle name="40% - Accent2 5 2 3 2 3 2" xfId="5952" xr:uid="{00000000-0005-0000-0000-00003F170000}"/>
    <cellStyle name="40% - Accent2 5 2 3 2 4" xfId="5953" xr:uid="{00000000-0005-0000-0000-000040170000}"/>
    <cellStyle name="40% - Accent2 5 2 3 2 5" xfId="5954" xr:uid="{00000000-0005-0000-0000-000041170000}"/>
    <cellStyle name="40% - Accent2 5 2 3 3" xfId="5955" xr:uid="{00000000-0005-0000-0000-000042170000}"/>
    <cellStyle name="40% - Accent2 5 2 3 3 2" xfId="5956" xr:uid="{00000000-0005-0000-0000-000043170000}"/>
    <cellStyle name="40% - Accent2 5 2 3 4" xfId="5957" xr:uid="{00000000-0005-0000-0000-000044170000}"/>
    <cellStyle name="40% - Accent2 5 2 3 4 2" xfId="5958" xr:uid="{00000000-0005-0000-0000-000045170000}"/>
    <cellStyle name="40% - Accent2 5 2 3 5" xfId="5959" xr:uid="{00000000-0005-0000-0000-000046170000}"/>
    <cellStyle name="40% - Accent2 5 2 3 6" xfId="5960" xr:uid="{00000000-0005-0000-0000-000047170000}"/>
    <cellStyle name="40% - Accent2 5 2 4" xfId="5961" xr:uid="{00000000-0005-0000-0000-000048170000}"/>
    <cellStyle name="40% - Accent2 5 2 4 2" xfId="5962" xr:uid="{00000000-0005-0000-0000-000049170000}"/>
    <cellStyle name="40% - Accent2 5 2 4 2 2" xfId="5963" xr:uid="{00000000-0005-0000-0000-00004A170000}"/>
    <cellStyle name="40% - Accent2 5 2 4 3" xfId="5964" xr:uid="{00000000-0005-0000-0000-00004B170000}"/>
    <cellStyle name="40% - Accent2 5 2 4 3 2" xfId="5965" xr:uid="{00000000-0005-0000-0000-00004C170000}"/>
    <cellStyle name="40% - Accent2 5 2 4 4" xfId="5966" xr:uid="{00000000-0005-0000-0000-00004D170000}"/>
    <cellStyle name="40% - Accent2 5 2 4 5" xfId="5967" xr:uid="{00000000-0005-0000-0000-00004E170000}"/>
    <cellStyle name="40% - Accent2 5 2 5" xfId="5968" xr:uid="{00000000-0005-0000-0000-00004F170000}"/>
    <cellStyle name="40% - Accent2 5 2 5 2" xfId="5969" xr:uid="{00000000-0005-0000-0000-000050170000}"/>
    <cellStyle name="40% - Accent2 5 2 6" xfId="5970" xr:uid="{00000000-0005-0000-0000-000051170000}"/>
    <cellStyle name="40% - Accent2 5 2 6 2" xfId="5971" xr:uid="{00000000-0005-0000-0000-000052170000}"/>
    <cellStyle name="40% - Accent2 5 2 7" xfId="5972" xr:uid="{00000000-0005-0000-0000-000053170000}"/>
    <cellStyle name="40% - Accent2 5 2 8" xfId="5973" xr:uid="{00000000-0005-0000-0000-000054170000}"/>
    <cellStyle name="40% - Accent2 5 3" xfId="5974" xr:uid="{00000000-0005-0000-0000-000055170000}"/>
    <cellStyle name="40% - Accent2 5 3 2" xfId="5975" xr:uid="{00000000-0005-0000-0000-000056170000}"/>
    <cellStyle name="40% - Accent2 5 3 2 2" xfId="5976" xr:uid="{00000000-0005-0000-0000-000057170000}"/>
    <cellStyle name="40% - Accent2 5 3 2 2 2" xfId="5977" xr:uid="{00000000-0005-0000-0000-000058170000}"/>
    <cellStyle name="40% - Accent2 5 3 2 2 2 2" xfId="5978" xr:uid="{00000000-0005-0000-0000-000059170000}"/>
    <cellStyle name="40% - Accent2 5 3 2 2 3" xfId="5979" xr:uid="{00000000-0005-0000-0000-00005A170000}"/>
    <cellStyle name="40% - Accent2 5 3 2 2 3 2" xfId="5980" xr:uid="{00000000-0005-0000-0000-00005B170000}"/>
    <cellStyle name="40% - Accent2 5 3 2 2 4" xfId="5981" xr:uid="{00000000-0005-0000-0000-00005C170000}"/>
    <cellStyle name="40% - Accent2 5 3 2 2 5" xfId="5982" xr:uid="{00000000-0005-0000-0000-00005D170000}"/>
    <cellStyle name="40% - Accent2 5 3 2 3" xfId="5983" xr:uid="{00000000-0005-0000-0000-00005E170000}"/>
    <cellStyle name="40% - Accent2 5 3 2 3 2" xfId="5984" xr:uid="{00000000-0005-0000-0000-00005F170000}"/>
    <cellStyle name="40% - Accent2 5 3 2 4" xfId="5985" xr:uid="{00000000-0005-0000-0000-000060170000}"/>
    <cellStyle name="40% - Accent2 5 3 2 4 2" xfId="5986" xr:uid="{00000000-0005-0000-0000-000061170000}"/>
    <cellStyle name="40% - Accent2 5 3 2 5" xfId="5987" xr:uid="{00000000-0005-0000-0000-000062170000}"/>
    <cellStyle name="40% - Accent2 5 3 2 6" xfId="5988" xr:uid="{00000000-0005-0000-0000-000063170000}"/>
    <cellStyle name="40% - Accent2 5 3 3" xfId="5989" xr:uid="{00000000-0005-0000-0000-000064170000}"/>
    <cellStyle name="40% - Accent2 5 3 3 2" xfId="5990" xr:uid="{00000000-0005-0000-0000-000065170000}"/>
    <cellStyle name="40% - Accent2 5 3 3 2 2" xfId="5991" xr:uid="{00000000-0005-0000-0000-000066170000}"/>
    <cellStyle name="40% - Accent2 5 3 3 3" xfId="5992" xr:uid="{00000000-0005-0000-0000-000067170000}"/>
    <cellStyle name="40% - Accent2 5 3 3 3 2" xfId="5993" xr:uid="{00000000-0005-0000-0000-000068170000}"/>
    <cellStyle name="40% - Accent2 5 3 3 4" xfId="5994" xr:uid="{00000000-0005-0000-0000-000069170000}"/>
    <cellStyle name="40% - Accent2 5 3 3 5" xfId="5995" xr:uid="{00000000-0005-0000-0000-00006A170000}"/>
    <cellStyle name="40% - Accent2 5 3 4" xfId="5996" xr:uid="{00000000-0005-0000-0000-00006B170000}"/>
    <cellStyle name="40% - Accent2 5 3 4 2" xfId="5997" xr:uid="{00000000-0005-0000-0000-00006C170000}"/>
    <cellStyle name="40% - Accent2 5 3 5" xfId="5998" xr:uid="{00000000-0005-0000-0000-00006D170000}"/>
    <cellStyle name="40% - Accent2 5 3 5 2" xfId="5999" xr:uid="{00000000-0005-0000-0000-00006E170000}"/>
    <cellStyle name="40% - Accent2 5 3 6" xfId="6000" xr:uid="{00000000-0005-0000-0000-00006F170000}"/>
    <cellStyle name="40% - Accent2 5 3 7" xfId="6001" xr:uid="{00000000-0005-0000-0000-000070170000}"/>
    <cellStyle name="40% - Accent2 5 4" xfId="6002" xr:uid="{00000000-0005-0000-0000-000071170000}"/>
    <cellStyle name="40% - Accent2 5 4 2" xfId="6003" xr:uid="{00000000-0005-0000-0000-000072170000}"/>
    <cellStyle name="40% - Accent2 5 4 2 2" xfId="6004" xr:uid="{00000000-0005-0000-0000-000073170000}"/>
    <cellStyle name="40% - Accent2 5 4 2 2 2" xfId="6005" xr:uid="{00000000-0005-0000-0000-000074170000}"/>
    <cellStyle name="40% - Accent2 5 4 2 3" xfId="6006" xr:uid="{00000000-0005-0000-0000-000075170000}"/>
    <cellStyle name="40% - Accent2 5 4 2 3 2" xfId="6007" xr:uid="{00000000-0005-0000-0000-000076170000}"/>
    <cellStyle name="40% - Accent2 5 4 2 4" xfId="6008" xr:uid="{00000000-0005-0000-0000-000077170000}"/>
    <cellStyle name="40% - Accent2 5 4 2 5" xfId="6009" xr:uid="{00000000-0005-0000-0000-000078170000}"/>
    <cellStyle name="40% - Accent2 5 4 3" xfId="6010" xr:uid="{00000000-0005-0000-0000-000079170000}"/>
    <cellStyle name="40% - Accent2 5 4 3 2" xfId="6011" xr:uid="{00000000-0005-0000-0000-00007A170000}"/>
    <cellStyle name="40% - Accent2 5 4 4" xfId="6012" xr:uid="{00000000-0005-0000-0000-00007B170000}"/>
    <cellStyle name="40% - Accent2 5 4 4 2" xfId="6013" xr:uid="{00000000-0005-0000-0000-00007C170000}"/>
    <cellStyle name="40% - Accent2 5 4 5" xfId="6014" xr:uid="{00000000-0005-0000-0000-00007D170000}"/>
    <cellStyle name="40% - Accent2 5 4 6" xfId="6015" xr:uid="{00000000-0005-0000-0000-00007E170000}"/>
    <cellStyle name="40% - Accent2 5 5" xfId="6016" xr:uid="{00000000-0005-0000-0000-00007F170000}"/>
    <cellStyle name="40% - Accent2 5 5 2" xfId="6017" xr:uid="{00000000-0005-0000-0000-000080170000}"/>
    <cellStyle name="40% - Accent2 5 5 2 2" xfId="6018" xr:uid="{00000000-0005-0000-0000-000081170000}"/>
    <cellStyle name="40% - Accent2 5 5 2 2 2" xfId="6019" xr:uid="{00000000-0005-0000-0000-000082170000}"/>
    <cellStyle name="40% - Accent2 5 5 2 3" xfId="6020" xr:uid="{00000000-0005-0000-0000-000083170000}"/>
    <cellStyle name="40% - Accent2 5 5 3" xfId="6021" xr:uid="{00000000-0005-0000-0000-000084170000}"/>
    <cellStyle name="40% - Accent2 5 5 3 2" xfId="6022" xr:uid="{00000000-0005-0000-0000-000085170000}"/>
    <cellStyle name="40% - Accent2 5 5 4" xfId="6023" xr:uid="{00000000-0005-0000-0000-000086170000}"/>
    <cellStyle name="40% - Accent2 5 5 4 2" xfId="6024" xr:uid="{00000000-0005-0000-0000-000087170000}"/>
    <cellStyle name="40% - Accent2 5 5 5" xfId="6025" xr:uid="{00000000-0005-0000-0000-000088170000}"/>
    <cellStyle name="40% - Accent2 5 5 6" xfId="6026" xr:uid="{00000000-0005-0000-0000-000089170000}"/>
    <cellStyle name="40% - Accent2 5 6" xfId="6027" xr:uid="{00000000-0005-0000-0000-00008A170000}"/>
    <cellStyle name="40% - Accent2 5 6 2" xfId="6028" xr:uid="{00000000-0005-0000-0000-00008B170000}"/>
    <cellStyle name="40% - Accent2 5 7" xfId="6029" xr:uid="{00000000-0005-0000-0000-00008C170000}"/>
    <cellStyle name="40% - Accent2 5 8" xfId="6030" xr:uid="{00000000-0005-0000-0000-00008D170000}"/>
    <cellStyle name="40% - Accent2 6" xfId="6031" xr:uid="{00000000-0005-0000-0000-00008E170000}"/>
    <cellStyle name="40% - Accent2 6 2" xfId="6032" xr:uid="{00000000-0005-0000-0000-00008F170000}"/>
    <cellStyle name="40% - Accent2 6 2 2" xfId="6033" xr:uid="{00000000-0005-0000-0000-000090170000}"/>
    <cellStyle name="40% - Accent2 6 2 2 2" xfId="6034" xr:uid="{00000000-0005-0000-0000-000091170000}"/>
    <cellStyle name="40% - Accent2 6 2 2 2 2" xfId="6035" xr:uid="{00000000-0005-0000-0000-000092170000}"/>
    <cellStyle name="40% - Accent2 6 2 2 2 2 2" xfId="6036" xr:uid="{00000000-0005-0000-0000-000093170000}"/>
    <cellStyle name="40% - Accent2 6 2 2 2 3" xfId="6037" xr:uid="{00000000-0005-0000-0000-000094170000}"/>
    <cellStyle name="40% - Accent2 6 2 2 2 3 2" xfId="6038" xr:uid="{00000000-0005-0000-0000-000095170000}"/>
    <cellStyle name="40% - Accent2 6 2 2 2 4" xfId="6039" xr:uid="{00000000-0005-0000-0000-000096170000}"/>
    <cellStyle name="40% - Accent2 6 2 2 2 5" xfId="6040" xr:uid="{00000000-0005-0000-0000-000097170000}"/>
    <cellStyle name="40% - Accent2 6 2 2 3" xfId="6041" xr:uid="{00000000-0005-0000-0000-000098170000}"/>
    <cellStyle name="40% - Accent2 6 2 2 3 2" xfId="6042" xr:uid="{00000000-0005-0000-0000-000099170000}"/>
    <cellStyle name="40% - Accent2 6 2 2 4" xfId="6043" xr:uid="{00000000-0005-0000-0000-00009A170000}"/>
    <cellStyle name="40% - Accent2 6 2 2 4 2" xfId="6044" xr:uid="{00000000-0005-0000-0000-00009B170000}"/>
    <cellStyle name="40% - Accent2 6 2 2 5" xfId="6045" xr:uid="{00000000-0005-0000-0000-00009C170000}"/>
    <cellStyle name="40% - Accent2 6 2 2 6" xfId="6046" xr:uid="{00000000-0005-0000-0000-00009D170000}"/>
    <cellStyle name="40% - Accent2 6 2 3" xfId="6047" xr:uid="{00000000-0005-0000-0000-00009E170000}"/>
    <cellStyle name="40% - Accent2 6 2 3 2" xfId="6048" xr:uid="{00000000-0005-0000-0000-00009F170000}"/>
    <cellStyle name="40% - Accent2 6 2 3 2 2" xfId="6049" xr:uid="{00000000-0005-0000-0000-0000A0170000}"/>
    <cellStyle name="40% - Accent2 6 2 3 3" xfId="6050" xr:uid="{00000000-0005-0000-0000-0000A1170000}"/>
    <cellStyle name="40% - Accent2 6 2 3 3 2" xfId="6051" xr:uid="{00000000-0005-0000-0000-0000A2170000}"/>
    <cellStyle name="40% - Accent2 6 2 3 4" xfId="6052" xr:uid="{00000000-0005-0000-0000-0000A3170000}"/>
    <cellStyle name="40% - Accent2 6 2 3 5" xfId="6053" xr:uid="{00000000-0005-0000-0000-0000A4170000}"/>
    <cellStyle name="40% - Accent2 6 2 4" xfId="6054" xr:uid="{00000000-0005-0000-0000-0000A5170000}"/>
    <cellStyle name="40% - Accent2 6 2 4 2" xfId="6055" xr:uid="{00000000-0005-0000-0000-0000A6170000}"/>
    <cellStyle name="40% - Accent2 6 2 5" xfId="6056" xr:uid="{00000000-0005-0000-0000-0000A7170000}"/>
    <cellStyle name="40% - Accent2 6 2 5 2" xfId="6057" xr:uid="{00000000-0005-0000-0000-0000A8170000}"/>
    <cellStyle name="40% - Accent2 6 2 6" xfId="6058" xr:uid="{00000000-0005-0000-0000-0000A9170000}"/>
    <cellStyle name="40% - Accent2 6 2 7" xfId="6059" xr:uid="{00000000-0005-0000-0000-0000AA170000}"/>
    <cellStyle name="40% - Accent2 6 3" xfId="6060" xr:uid="{00000000-0005-0000-0000-0000AB170000}"/>
    <cellStyle name="40% - Accent2 6 3 2" xfId="6061" xr:uid="{00000000-0005-0000-0000-0000AC170000}"/>
    <cellStyle name="40% - Accent2 6 3 2 2" xfId="6062" xr:uid="{00000000-0005-0000-0000-0000AD170000}"/>
    <cellStyle name="40% - Accent2 6 3 2 2 2" xfId="6063" xr:uid="{00000000-0005-0000-0000-0000AE170000}"/>
    <cellStyle name="40% - Accent2 6 3 2 3" xfId="6064" xr:uid="{00000000-0005-0000-0000-0000AF170000}"/>
    <cellStyle name="40% - Accent2 6 3 2 3 2" xfId="6065" xr:uid="{00000000-0005-0000-0000-0000B0170000}"/>
    <cellStyle name="40% - Accent2 6 3 2 4" xfId="6066" xr:uid="{00000000-0005-0000-0000-0000B1170000}"/>
    <cellStyle name="40% - Accent2 6 3 2 5" xfId="6067" xr:uid="{00000000-0005-0000-0000-0000B2170000}"/>
    <cellStyle name="40% - Accent2 6 3 3" xfId="6068" xr:uid="{00000000-0005-0000-0000-0000B3170000}"/>
    <cellStyle name="40% - Accent2 6 3 3 2" xfId="6069" xr:uid="{00000000-0005-0000-0000-0000B4170000}"/>
    <cellStyle name="40% - Accent2 6 3 4" xfId="6070" xr:uid="{00000000-0005-0000-0000-0000B5170000}"/>
    <cellStyle name="40% - Accent2 6 3 4 2" xfId="6071" xr:uid="{00000000-0005-0000-0000-0000B6170000}"/>
    <cellStyle name="40% - Accent2 6 3 5" xfId="6072" xr:uid="{00000000-0005-0000-0000-0000B7170000}"/>
    <cellStyle name="40% - Accent2 6 3 6" xfId="6073" xr:uid="{00000000-0005-0000-0000-0000B8170000}"/>
    <cellStyle name="40% - Accent2 6 4" xfId="6074" xr:uid="{00000000-0005-0000-0000-0000B9170000}"/>
    <cellStyle name="40% - Accent2 6 4 2" xfId="6075" xr:uid="{00000000-0005-0000-0000-0000BA170000}"/>
    <cellStyle name="40% - Accent2 6 4 2 2" xfId="6076" xr:uid="{00000000-0005-0000-0000-0000BB170000}"/>
    <cellStyle name="40% - Accent2 6 4 3" xfId="6077" xr:uid="{00000000-0005-0000-0000-0000BC170000}"/>
    <cellStyle name="40% - Accent2 6 4 3 2" xfId="6078" xr:uid="{00000000-0005-0000-0000-0000BD170000}"/>
    <cellStyle name="40% - Accent2 6 4 4" xfId="6079" xr:uid="{00000000-0005-0000-0000-0000BE170000}"/>
    <cellStyle name="40% - Accent2 6 4 5" xfId="6080" xr:uid="{00000000-0005-0000-0000-0000BF170000}"/>
    <cellStyle name="40% - Accent2 6 5" xfId="6081" xr:uid="{00000000-0005-0000-0000-0000C0170000}"/>
    <cellStyle name="40% - Accent2 6 5 2" xfId="6082" xr:uid="{00000000-0005-0000-0000-0000C1170000}"/>
    <cellStyle name="40% - Accent2 6 6" xfId="6083" xr:uid="{00000000-0005-0000-0000-0000C2170000}"/>
    <cellStyle name="40% - Accent2 6 6 2" xfId="6084" xr:uid="{00000000-0005-0000-0000-0000C3170000}"/>
    <cellStyle name="40% - Accent2 6 7" xfId="6085" xr:uid="{00000000-0005-0000-0000-0000C4170000}"/>
    <cellStyle name="40% - Accent2 6 8" xfId="6086" xr:uid="{00000000-0005-0000-0000-0000C5170000}"/>
    <cellStyle name="40% - Accent2 6 9" xfId="6087" xr:uid="{00000000-0005-0000-0000-0000C6170000}"/>
    <cellStyle name="40% - Accent2 7" xfId="6088" xr:uid="{00000000-0005-0000-0000-0000C7170000}"/>
    <cellStyle name="40% - Accent2 7 2" xfId="6089" xr:uid="{00000000-0005-0000-0000-0000C8170000}"/>
    <cellStyle name="40% - Accent2 7 2 2" xfId="6090" xr:uid="{00000000-0005-0000-0000-0000C9170000}"/>
    <cellStyle name="40% - Accent2 7 2 2 2" xfId="6091" xr:uid="{00000000-0005-0000-0000-0000CA170000}"/>
    <cellStyle name="40% - Accent2 7 2 2 2 2" xfId="6092" xr:uid="{00000000-0005-0000-0000-0000CB170000}"/>
    <cellStyle name="40% - Accent2 7 2 2 2 2 2" xfId="6093" xr:uid="{00000000-0005-0000-0000-0000CC170000}"/>
    <cellStyle name="40% - Accent2 7 2 2 2 3" xfId="6094" xr:uid="{00000000-0005-0000-0000-0000CD170000}"/>
    <cellStyle name="40% - Accent2 7 2 2 2 3 2" xfId="6095" xr:uid="{00000000-0005-0000-0000-0000CE170000}"/>
    <cellStyle name="40% - Accent2 7 2 2 2 4" xfId="6096" xr:uid="{00000000-0005-0000-0000-0000CF170000}"/>
    <cellStyle name="40% - Accent2 7 2 2 2 5" xfId="6097" xr:uid="{00000000-0005-0000-0000-0000D0170000}"/>
    <cellStyle name="40% - Accent2 7 2 2 3" xfId="6098" xr:uid="{00000000-0005-0000-0000-0000D1170000}"/>
    <cellStyle name="40% - Accent2 7 2 2 3 2" xfId="6099" xr:uid="{00000000-0005-0000-0000-0000D2170000}"/>
    <cellStyle name="40% - Accent2 7 2 2 4" xfId="6100" xr:uid="{00000000-0005-0000-0000-0000D3170000}"/>
    <cellStyle name="40% - Accent2 7 2 2 4 2" xfId="6101" xr:uid="{00000000-0005-0000-0000-0000D4170000}"/>
    <cellStyle name="40% - Accent2 7 2 2 5" xfId="6102" xr:uid="{00000000-0005-0000-0000-0000D5170000}"/>
    <cellStyle name="40% - Accent2 7 2 2 6" xfId="6103" xr:uid="{00000000-0005-0000-0000-0000D6170000}"/>
    <cellStyle name="40% - Accent2 7 2 3" xfId="6104" xr:uid="{00000000-0005-0000-0000-0000D7170000}"/>
    <cellStyle name="40% - Accent2 7 2 3 2" xfId="6105" xr:uid="{00000000-0005-0000-0000-0000D8170000}"/>
    <cellStyle name="40% - Accent2 7 2 3 2 2" xfId="6106" xr:uid="{00000000-0005-0000-0000-0000D9170000}"/>
    <cellStyle name="40% - Accent2 7 2 3 3" xfId="6107" xr:uid="{00000000-0005-0000-0000-0000DA170000}"/>
    <cellStyle name="40% - Accent2 7 2 3 3 2" xfId="6108" xr:uid="{00000000-0005-0000-0000-0000DB170000}"/>
    <cellStyle name="40% - Accent2 7 2 3 4" xfId="6109" xr:uid="{00000000-0005-0000-0000-0000DC170000}"/>
    <cellStyle name="40% - Accent2 7 2 3 5" xfId="6110" xr:uid="{00000000-0005-0000-0000-0000DD170000}"/>
    <cellStyle name="40% - Accent2 7 2 4" xfId="6111" xr:uid="{00000000-0005-0000-0000-0000DE170000}"/>
    <cellStyle name="40% - Accent2 7 2 4 2" xfId="6112" xr:uid="{00000000-0005-0000-0000-0000DF170000}"/>
    <cellStyle name="40% - Accent2 7 2 5" xfId="6113" xr:uid="{00000000-0005-0000-0000-0000E0170000}"/>
    <cellStyle name="40% - Accent2 7 2 5 2" xfId="6114" xr:uid="{00000000-0005-0000-0000-0000E1170000}"/>
    <cellStyle name="40% - Accent2 7 2 6" xfId="6115" xr:uid="{00000000-0005-0000-0000-0000E2170000}"/>
    <cellStyle name="40% - Accent2 7 2 7" xfId="6116" xr:uid="{00000000-0005-0000-0000-0000E3170000}"/>
    <cellStyle name="40% - Accent2 7 3" xfId="6117" xr:uid="{00000000-0005-0000-0000-0000E4170000}"/>
    <cellStyle name="40% - Accent2 7 3 2" xfId="6118" xr:uid="{00000000-0005-0000-0000-0000E5170000}"/>
    <cellStyle name="40% - Accent2 7 3 2 2" xfId="6119" xr:uid="{00000000-0005-0000-0000-0000E6170000}"/>
    <cellStyle name="40% - Accent2 7 3 2 2 2" xfId="6120" xr:uid="{00000000-0005-0000-0000-0000E7170000}"/>
    <cellStyle name="40% - Accent2 7 3 2 3" xfId="6121" xr:uid="{00000000-0005-0000-0000-0000E8170000}"/>
    <cellStyle name="40% - Accent2 7 3 2 3 2" xfId="6122" xr:uid="{00000000-0005-0000-0000-0000E9170000}"/>
    <cellStyle name="40% - Accent2 7 3 2 4" xfId="6123" xr:uid="{00000000-0005-0000-0000-0000EA170000}"/>
    <cellStyle name="40% - Accent2 7 3 2 5" xfId="6124" xr:uid="{00000000-0005-0000-0000-0000EB170000}"/>
    <cellStyle name="40% - Accent2 7 3 3" xfId="6125" xr:uid="{00000000-0005-0000-0000-0000EC170000}"/>
    <cellStyle name="40% - Accent2 7 3 3 2" xfId="6126" xr:uid="{00000000-0005-0000-0000-0000ED170000}"/>
    <cellStyle name="40% - Accent2 7 3 4" xfId="6127" xr:uid="{00000000-0005-0000-0000-0000EE170000}"/>
    <cellStyle name="40% - Accent2 7 3 4 2" xfId="6128" xr:uid="{00000000-0005-0000-0000-0000EF170000}"/>
    <cellStyle name="40% - Accent2 7 3 5" xfId="6129" xr:uid="{00000000-0005-0000-0000-0000F0170000}"/>
    <cellStyle name="40% - Accent2 7 3 6" xfId="6130" xr:uid="{00000000-0005-0000-0000-0000F1170000}"/>
    <cellStyle name="40% - Accent2 7 4" xfId="6131" xr:uid="{00000000-0005-0000-0000-0000F2170000}"/>
    <cellStyle name="40% - Accent2 7 4 2" xfId="6132" xr:uid="{00000000-0005-0000-0000-0000F3170000}"/>
    <cellStyle name="40% - Accent2 7 4 2 2" xfId="6133" xr:uid="{00000000-0005-0000-0000-0000F4170000}"/>
    <cellStyle name="40% - Accent2 7 4 3" xfId="6134" xr:uid="{00000000-0005-0000-0000-0000F5170000}"/>
    <cellStyle name="40% - Accent2 7 4 3 2" xfId="6135" xr:uid="{00000000-0005-0000-0000-0000F6170000}"/>
    <cellStyle name="40% - Accent2 7 4 4" xfId="6136" xr:uid="{00000000-0005-0000-0000-0000F7170000}"/>
    <cellStyle name="40% - Accent2 7 4 5" xfId="6137" xr:uid="{00000000-0005-0000-0000-0000F8170000}"/>
    <cellStyle name="40% - Accent2 7 5" xfId="6138" xr:uid="{00000000-0005-0000-0000-0000F9170000}"/>
    <cellStyle name="40% - Accent2 7 5 2" xfId="6139" xr:uid="{00000000-0005-0000-0000-0000FA170000}"/>
    <cellStyle name="40% - Accent2 7 6" xfId="6140" xr:uid="{00000000-0005-0000-0000-0000FB170000}"/>
    <cellStyle name="40% - Accent2 7 6 2" xfId="6141" xr:uid="{00000000-0005-0000-0000-0000FC170000}"/>
    <cellStyle name="40% - Accent2 7 7" xfId="6142" xr:uid="{00000000-0005-0000-0000-0000FD170000}"/>
    <cellStyle name="40% - Accent2 7 8" xfId="6143" xr:uid="{00000000-0005-0000-0000-0000FE170000}"/>
    <cellStyle name="40% - Accent2 7 9" xfId="6144" xr:uid="{00000000-0005-0000-0000-0000FF170000}"/>
    <cellStyle name="40% - Accent2 8" xfId="6145" xr:uid="{00000000-0005-0000-0000-000000180000}"/>
    <cellStyle name="40% - Accent2 8 2" xfId="6146" xr:uid="{00000000-0005-0000-0000-000001180000}"/>
    <cellStyle name="40% - Accent2 8 2 2" xfId="6147" xr:uid="{00000000-0005-0000-0000-000002180000}"/>
    <cellStyle name="40% - Accent2 8 2 2 2" xfId="6148" xr:uid="{00000000-0005-0000-0000-000003180000}"/>
    <cellStyle name="40% - Accent2 8 2 2 2 2" xfId="6149" xr:uid="{00000000-0005-0000-0000-000004180000}"/>
    <cellStyle name="40% - Accent2 8 2 2 2 2 2" xfId="6150" xr:uid="{00000000-0005-0000-0000-000005180000}"/>
    <cellStyle name="40% - Accent2 8 2 2 2 3" xfId="6151" xr:uid="{00000000-0005-0000-0000-000006180000}"/>
    <cellStyle name="40% - Accent2 8 2 2 2 3 2" xfId="6152" xr:uid="{00000000-0005-0000-0000-000007180000}"/>
    <cellStyle name="40% - Accent2 8 2 2 2 4" xfId="6153" xr:uid="{00000000-0005-0000-0000-000008180000}"/>
    <cellStyle name="40% - Accent2 8 2 2 2 5" xfId="6154" xr:uid="{00000000-0005-0000-0000-000009180000}"/>
    <cellStyle name="40% - Accent2 8 2 2 3" xfId="6155" xr:uid="{00000000-0005-0000-0000-00000A180000}"/>
    <cellStyle name="40% - Accent2 8 2 2 3 2" xfId="6156" xr:uid="{00000000-0005-0000-0000-00000B180000}"/>
    <cellStyle name="40% - Accent2 8 2 2 4" xfId="6157" xr:uid="{00000000-0005-0000-0000-00000C180000}"/>
    <cellStyle name="40% - Accent2 8 2 2 4 2" xfId="6158" xr:uid="{00000000-0005-0000-0000-00000D180000}"/>
    <cellStyle name="40% - Accent2 8 2 2 5" xfId="6159" xr:uid="{00000000-0005-0000-0000-00000E180000}"/>
    <cellStyle name="40% - Accent2 8 2 2 6" xfId="6160" xr:uid="{00000000-0005-0000-0000-00000F180000}"/>
    <cellStyle name="40% - Accent2 8 2 3" xfId="6161" xr:uid="{00000000-0005-0000-0000-000010180000}"/>
    <cellStyle name="40% - Accent2 8 2 3 2" xfId="6162" xr:uid="{00000000-0005-0000-0000-000011180000}"/>
    <cellStyle name="40% - Accent2 8 2 3 2 2" xfId="6163" xr:uid="{00000000-0005-0000-0000-000012180000}"/>
    <cellStyle name="40% - Accent2 8 2 3 3" xfId="6164" xr:uid="{00000000-0005-0000-0000-000013180000}"/>
    <cellStyle name="40% - Accent2 8 2 3 3 2" xfId="6165" xr:uid="{00000000-0005-0000-0000-000014180000}"/>
    <cellStyle name="40% - Accent2 8 2 3 4" xfId="6166" xr:uid="{00000000-0005-0000-0000-000015180000}"/>
    <cellStyle name="40% - Accent2 8 2 3 5" xfId="6167" xr:uid="{00000000-0005-0000-0000-000016180000}"/>
    <cellStyle name="40% - Accent2 8 2 4" xfId="6168" xr:uid="{00000000-0005-0000-0000-000017180000}"/>
    <cellStyle name="40% - Accent2 8 2 4 2" xfId="6169" xr:uid="{00000000-0005-0000-0000-000018180000}"/>
    <cellStyle name="40% - Accent2 8 2 5" xfId="6170" xr:uid="{00000000-0005-0000-0000-000019180000}"/>
    <cellStyle name="40% - Accent2 8 2 5 2" xfId="6171" xr:uid="{00000000-0005-0000-0000-00001A180000}"/>
    <cellStyle name="40% - Accent2 8 2 6" xfId="6172" xr:uid="{00000000-0005-0000-0000-00001B180000}"/>
    <cellStyle name="40% - Accent2 8 2 7" xfId="6173" xr:uid="{00000000-0005-0000-0000-00001C180000}"/>
    <cellStyle name="40% - Accent2 8 3" xfId="6174" xr:uid="{00000000-0005-0000-0000-00001D180000}"/>
    <cellStyle name="40% - Accent2 8 3 2" xfId="6175" xr:uid="{00000000-0005-0000-0000-00001E180000}"/>
    <cellStyle name="40% - Accent2 8 3 2 2" xfId="6176" xr:uid="{00000000-0005-0000-0000-00001F180000}"/>
    <cellStyle name="40% - Accent2 8 3 2 2 2" xfId="6177" xr:uid="{00000000-0005-0000-0000-000020180000}"/>
    <cellStyle name="40% - Accent2 8 3 2 3" xfId="6178" xr:uid="{00000000-0005-0000-0000-000021180000}"/>
    <cellStyle name="40% - Accent2 8 3 2 3 2" xfId="6179" xr:uid="{00000000-0005-0000-0000-000022180000}"/>
    <cellStyle name="40% - Accent2 8 3 2 4" xfId="6180" xr:uid="{00000000-0005-0000-0000-000023180000}"/>
    <cellStyle name="40% - Accent2 8 3 2 5" xfId="6181" xr:uid="{00000000-0005-0000-0000-000024180000}"/>
    <cellStyle name="40% - Accent2 8 3 3" xfId="6182" xr:uid="{00000000-0005-0000-0000-000025180000}"/>
    <cellStyle name="40% - Accent2 8 3 3 2" xfId="6183" xr:uid="{00000000-0005-0000-0000-000026180000}"/>
    <cellStyle name="40% - Accent2 8 3 4" xfId="6184" xr:uid="{00000000-0005-0000-0000-000027180000}"/>
    <cellStyle name="40% - Accent2 8 3 4 2" xfId="6185" xr:uid="{00000000-0005-0000-0000-000028180000}"/>
    <cellStyle name="40% - Accent2 8 3 5" xfId="6186" xr:uid="{00000000-0005-0000-0000-000029180000}"/>
    <cellStyle name="40% - Accent2 8 3 6" xfId="6187" xr:uid="{00000000-0005-0000-0000-00002A180000}"/>
    <cellStyle name="40% - Accent2 8 4" xfId="6188" xr:uid="{00000000-0005-0000-0000-00002B180000}"/>
    <cellStyle name="40% - Accent2 8 4 2" xfId="6189" xr:uid="{00000000-0005-0000-0000-00002C180000}"/>
    <cellStyle name="40% - Accent2 8 4 2 2" xfId="6190" xr:uid="{00000000-0005-0000-0000-00002D180000}"/>
    <cellStyle name="40% - Accent2 8 4 3" xfId="6191" xr:uid="{00000000-0005-0000-0000-00002E180000}"/>
    <cellStyle name="40% - Accent2 8 4 3 2" xfId="6192" xr:uid="{00000000-0005-0000-0000-00002F180000}"/>
    <cellStyle name="40% - Accent2 8 4 4" xfId="6193" xr:uid="{00000000-0005-0000-0000-000030180000}"/>
    <cellStyle name="40% - Accent2 8 4 5" xfId="6194" xr:uid="{00000000-0005-0000-0000-000031180000}"/>
    <cellStyle name="40% - Accent2 8 5" xfId="6195" xr:uid="{00000000-0005-0000-0000-000032180000}"/>
    <cellStyle name="40% - Accent2 8 5 2" xfId="6196" xr:uid="{00000000-0005-0000-0000-000033180000}"/>
    <cellStyle name="40% - Accent2 8 6" xfId="6197" xr:uid="{00000000-0005-0000-0000-000034180000}"/>
    <cellStyle name="40% - Accent2 8 6 2" xfId="6198" xr:uid="{00000000-0005-0000-0000-000035180000}"/>
    <cellStyle name="40% - Accent2 8 7" xfId="6199" xr:uid="{00000000-0005-0000-0000-000036180000}"/>
    <cellStyle name="40% - Accent2 8 8" xfId="6200" xr:uid="{00000000-0005-0000-0000-000037180000}"/>
    <cellStyle name="40% - Accent2 9" xfId="6201" xr:uid="{00000000-0005-0000-0000-000038180000}"/>
    <cellStyle name="40% - Accent2 9 2" xfId="6202" xr:uid="{00000000-0005-0000-0000-000039180000}"/>
    <cellStyle name="40% - Accent2 9 2 2" xfId="6203" xr:uid="{00000000-0005-0000-0000-00003A180000}"/>
    <cellStyle name="40% - Accent2 9 2 2 2" xfId="6204" xr:uid="{00000000-0005-0000-0000-00003B180000}"/>
    <cellStyle name="40% - Accent2 9 2 2 2 2" xfId="6205" xr:uid="{00000000-0005-0000-0000-00003C180000}"/>
    <cellStyle name="40% - Accent2 9 2 2 2 2 2" xfId="6206" xr:uid="{00000000-0005-0000-0000-00003D180000}"/>
    <cellStyle name="40% - Accent2 9 2 2 2 3" xfId="6207" xr:uid="{00000000-0005-0000-0000-00003E180000}"/>
    <cellStyle name="40% - Accent2 9 2 2 2 3 2" xfId="6208" xr:uid="{00000000-0005-0000-0000-00003F180000}"/>
    <cellStyle name="40% - Accent2 9 2 2 2 4" xfId="6209" xr:uid="{00000000-0005-0000-0000-000040180000}"/>
    <cellStyle name="40% - Accent2 9 2 2 2 5" xfId="6210" xr:uid="{00000000-0005-0000-0000-000041180000}"/>
    <cellStyle name="40% - Accent2 9 2 2 3" xfId="6211" xr:uid="{00000000-0005-0000-0000-000042180000}"/>
    <cellStyle name="40% - Accent2 9 2 2 3 2" xfId="6212" xr:uid="{00000000-0005-0000-0000-000043180000}"/>
    <cellStyle name="40% - Accent2 9 2 2 4" xfId="6213" xr:uid="{00000000-0005-0000-0000-000044180000}"/>
    <cellStyle name="40% - Accent2 9 2 2 4 2" xfId="6214" xr:uid="{00000000-0005-0000-0000-000045180000}"/>
    <cellStyle name="40% - Accent2 9 2 2 5" xfId="6215" xr:uid="{00000000-0005-0000-0000-000046180000}"/>
    <cellStyle name="40% - Accent2 9 2 2 6" xfId="6216" xr:uid="{00000000-0005-0000-0000-000047180000}"/>
    <cellStyle name="40% - Accent2 9 2 3" xfId="6217" xr:uid="{00000000-0005-0000-0000-000048180000}"/>
    <cellStyle name="40% - Accent2 9 2 3 2" xfId="6218" xr:uid="{00000000-0005-0000-0000-000049180000}"/>
    <cellStyle name="40% - Accent2 9 2 3 2 2" xfId="6219" xr:uid="{00000000-0005-0000-0000-00004A180000}"/>
    <cellStyle name="40% - Accent2 9 2 3 3" xfId="6220" xr:uid="{00000000-0005-0000-0000-00004B180000}"/>
    <cellStyle name="40% - Accent2 9 2 3 3 2" xfId="6221" xr:uid="{00000000-0005-0000-0000-00004C180000}"/>
    <cellStyle name="40% - Accent2 9 2 3 4" xfId="6222" xr:uid="{00000000-0005-0000-0000-00004D180000}"/>
    <cellStyle name="40% - Accent2 9 2 3 5" xfId="6223" xr:uid="{00000000-0005-0000-0000-00004E180000}"/>
    <cellStyle name="40% - Accent2 9 2 4" xfId="6224" xr:uid="{00000000-0005-0000-0000-00004F180000}"/>
    <cellStyle name="40% - Accent2 9 2 4 2" xfId="6225" xr:uid="{00000000-0005-0000-0000-000050180000}"/>
    <cellStyle name="40% - Accent2 9 2 5" xfId="6226" xr:uid="{00000000-0005-0000-0000-000051180000}"/>
    <cellStyle name="40% - Accent2 9 2 5 2" xfId="6227" xr:uid="{00000000-0005-0000-0000-000052180000}"/>
    <cellStyle name="40% - Accent2 9 2 6" xfId="6228" xr:uid="{00000000-0005-0000-0000-000053180000}"/>
    <cellStyle name="40% - Accent2 9 2 7" xfId="6229" xr:uid="{00000000-0005-0000-0000-000054180000}"/>
    <cellStyle name="40% - Accent2 9 3" xfId="6230" xr:uid="{00000000-0005-0000-0000-000055180000}"/>
    <cellStyle name="40% - Accent2 9 3 2" xfId="6231" xr:uid="{00000000-0005-0000-0000-000056180000}"/>
    <cellStyle name="40% - Accent2 9 3 2 2" xfId="6232" xr:uid="{00000000-0005-0000-0000-000057180000}"/>
    <cellStyle name="40% - Accent2 9 3 2 2 2" xfId="6233" xr:uid="{00000000-0005-0000-0000-000058180000}"/>
    <cellStyle name="40% - Accent2 9 3 2 3" xfId="6234" xr:uid="{00000000-0005-0000-0000-000059180000}"/>
    <cellStyle name="40% - Accent2 9 3 2 3 2" xfId="6235" xr:uid="{00000000-0005-0000-0000-00005A180000}"/>
    <cellStyle name="40% - Accent2 9 3 2 4" xfId="6236" xr:uid="{00000000-0005-0000-0000-00005B180000}"/>
    <cellStyle name="40% - Accent2 9 3 2 5" xfId="6237" xr:uid="{00000000-0005-0000-0000-00005C180000}"/>
    <cellStyle name="40% - Accent2 9 3 3" xfId="6238" xr:uid="{00000000-0005-0000-0000-00005D180000}"/>
    <cellStyle name="40% - Accent2 9 3 3 2" xfId="6239" xr:uid="{00000000-0005-0000-0000-00005E180000}"/>
    <cellStyle name="40% - Accent2 9 3 4" xfId="6240" xr:uid="{00000000-0005-0000-0000-00005F180000}"/>
    <cellStyle name="40% - Accent2 9 3 4 2" xfId="6241" xr:uid="{00000000-0005-0000-0000-000060180000}"/>
    <cellStyle name="40% - Accent2 9 3 5" xfId="6242" xr:uid="{00000000-0005-0000-0000-000061180000}"/>
    <cellStyle name="40% - Accent2 9 3 6" xfId="6243" xr:uid="{00000000-0005-0000-0000-000062180000}"/>
    <cellStyle name="40% - Accent2 9 4" xfId="6244" xr:uid="{00000000-0005-0000-0000-000063180000}"/>
    <cellStyle name="40% - Accent2 9 4 2" xfId="6245" xr:uid="{00000000-0005-0000-0000-000064180000}"/>
    <cellStyle name="40% - Accent2 9 4 2 2" xfId="6246" xr:uid="{00000000-0005-0000-0000-000065180000}"/>
    <cellStyle name="40% - Accent2 9 4 3" xfId="6247" xr:uid="{00000000-0005-0000-0000-000066180000}"/>
    <cellStyle name="40% - Accent2 9 4 3 2" xfId="6248" xr:uid="{00000000-0005-0000-0000-000067180000}"/>
    <cellStyle name="40% - Accent2 9 4 4" xfId="6249" xr:uid="{00000000-0005-0000-0000-000068180000}"/>
    <cellStyle name="40% - Accent2 9 4 5" xfId="6250" xr:uid="{00000000-0005-0000-0000-000069180000}"/>
    <cellStyle name="40% - Accent2 9 5" xfId="6251" xr:uid="{00000000-0005-0000-0000-00006A180000}"/>
    <cellStyle name="40% - Accent2 9 5 2" xfId="6252" xr:uid="{00000000-0005-0000-0000-00006B180000}"/>
    <cellStyle name="40% - Accent2 9 6" xfId="6253" xr:uid="{00000000-0005-0000-0000-00006C180000}"/>
    <cellStyle name="40% - Accent2 9 6 2" xfId="6254" xr:uid="{00000000-0005-0000-0000-00006D180000}"/>
    <cellStyle name="40% - Accent2 9 7" xfId="6255" xr:uid="{00000000-0005-0000-0000-00006E180000}"/>
    <cellStyle name="40% - Accent2 9 8" xfId="6256" xr:uid="{00000000-0005-0000-0000-00006F180000}"/>
    <cellStyle name="40% - Accent3 10" xfId="6257" xr:uid="{00000000-0005-0000-0000-000070180000}"/>
    <cellStyle name="40% - Accent3 10 2" xfId="6258" xr:uid="{00000000-0005-0000-0000-000071180000}"/>
    <cellStyle name="40% - Accent3 10 2 2" xfId="6259" xr:uid="{00000000-0005-0000-0000-000072180000}"/>
    <cellStyle name="40% - Accent3 10 2 2 2" xfId="6260" xr:uid="{00000000-0005-0000-0000-000073180000}"/>
    <cellStyle name="40% - Accent3 10 2 2 2 2" xfId="6261" xr:uid="{00000000-0005-0000-0000-000074180000}"/>
    <cellStyle name="40% - Accent3 10 2 2 2 2 2" xfId="6262" xr:uid="{00000000-0005-0000-0000-000075180000}"/>
    <cellStyle name="40% - Accent3 10 2 2 2 3" xfId="6263" xr:uid="{00000000-0005-0000-0000-000076180000}"/>
    <cellStyle name="40% - Accent3 10 2 2 2 3 2" xfId="6264" xr:uid="{00000000-0005-0000-0000-000077180000}"/>
    <cellStyle name="40% - Accent3 10 2 2 2 4" xfId="6265" xr:uid="{00000000-0005-0000-0000-000078180000}"/>
    <cellStyle name="40% - Accent3 10 2 2 2 5" xfId="6266" xr:uid="{00000000-0005-0000-0000-000079180000}"/>
    <cellStyle name="40% - Accent3 10 2 2 3" xfId="6267" xr:uid="{00000000-0005-0000-0000-00007A180000}"/>
    <cellStyle name="40% - Accent3 10 2 2 3 2" xfId="6268" xr:uid="{00000000-0005-0000-0000-00007B180000}"/>
    <cellStyle name="40% - Accent3 10 2 2 4" xfId="6269" xr:uid="{00000000-0005-0000-0000-00007C180000}"/>
    <cellStyle name="40% - Accent3 10 2 2 4 2" xfId="6270" xr:uid="{00000000-0005-0000-0000-00007D180000}"/>
    <cellStyle name="40% - Accent3 10 2 2 5" xfId="6271" xr:uid="{00000000-0005-0000-0000-00007E180000}"/>
    <cellStyle name="40% - Accent3 10 2 2 6" xfId="6272" xr:uid="{00000000-0005-0000-0000-00007F180000}"/>
    <cellStyle name="40% - Accent3 10 2 3" xfId="6273" xr:uid="{00000000-0005-0000-0000-000080180000}"/>
    <cellStyle name="40% - Accent3 10 2 3 2" xfId="6274" xr:uid="{00000000-0005-0000-0000-000081180000}"/>
    <cellStyle name="40% - Accent3 10 2 3 2 2" xfId="6275" xr:uid="{00000000-0005-0000-0000-000082180000}"/>
    <cellStyle name="40% - Accent3 10 2 3 3" xfId="6276" xr:uid="{00000000-0005-0000-0000-000083180000}"/>
    <cellStyle name="40% - Accent3 10 2 3 3 2" xfId="6277" xr:uid="{00000000-0005-0000-0000-000084180000}"/>
    <cellStyle name="40% - Accent3 10 2 3 4" xfId="6278" xr:uid="{00000000-0005-0000-0000-000085180000}"/>
    <cellStyle name="40% - Accent3 10 2 3 5" xfId="6279" xr:uid="{00000000-0005-0000-0000-000086180000}"/>
    <cellStyle name="40% - Accent3 10 2 4" xfId="6280" xr:uid="{00000000-0005-0000-0000-000087180000}"/>
    <cellStyle name="40% - Accent3 10 2 4 2" xfId="6281" xr:uid="{00000000-0005-0000-0000-000088180000}"/>
    <cellStyle name="40% - Accent3 10 2 5" xfId="6282" xr:uid="{00000000-0005-0000-0000-000089180000}"/>
    <cellStyle name="40% - Accent3 10 2 5 2" xfId="6283" xr:uid="{00000000-0005-0000-0000-00008A180000}"/>
    <cellStyle name="40% - Accent3 10 2 6" xfId="6284" xr:uid="{00000000-0005-0000-0000-00008B180000}"/>
    <cellStyle name="40% - Accent3 10 2 7" xfId="6285" xr:uid="{00000000-0005-0000-0000-00008C180000}"/>
    <cellStyle name="40% - Accent3 10 3" xfId="6286" xr:uid="{00000000-0005-0000-0000-00008D180000}"/>
    <cellStyle name="40% - Accent3 10 3 2" xfId="6287" xr:uid="{00000000-0005-0000-0000-00008E180000}"/>
    <cellStyle name="40% - Accent3 10 3 2 2" xfId="6288" xr:uid="{00000000-0005-0000-0000-00008F180000}"/>
    <cellStyle name="40% - Accent3 10 3 2 2 2" xfId="6289" xr:uid="{00000000-0005-0000-0000-000090180000}"/>
    <cellStyle name="40% - Accent3 10 3 2 3" xfId="6290" xr:uid="{00000000-0005-0000-0000-000091180000}"/>
    <cellStyle name="40% - Accent3 10 3 2 3 2" xfId="6291" xr:uid="{00000000-0005-0000-0000-000092180000}"/>
    <cellStyle name="40% - Accent3 10 3 2 4" xfId="6292" xr:uid="{00000000-0005-0000-0000-000093180000}"/>
    <cellStyle name="40% - Accent3 10 3 2 5" xfId="6293" xr:uid="{00000000-0005-0000-0000-000094180000}"/>
    <cellStyle name="40% - Accent3 10 3 3" xfId="6294" xr:uid="{00000000-0005-0000-0000-000095180000}"/>
    <cellStyle name="40% - Accent3 10 3 3 2" xfId="6295" xr:uid="{00000000-0005-0000-0000-000096180000}"/>
    <cellStyle name="40% - Accent3 10 3 4" xfId="6296" xr:uid="{00000000-0005-0000-0000-000097180000}"/>
    <cellStyle name="40% - Accent3 10 3 4 2" xfId="6297" xr:uid="{00000000-0005-0000-0000-000098180000}"/>
    <cellStyle name="40% - Accent3 10 3 5" xfId="6298" xr:uid="{00000000-0005-0000-0000-000099180000}"/>
    <cellStyle name="40% - Accent3 10 3 6" xfId="6299" xr:uid="{00000000-0005-0000-0000-00009A180000}"/>
    <cellStyle name="40% - Accent3 10 4" xfId="6300" xr:uid="{00000000-0005-0000-0000-00009B180000}"/>
    <cellStyle name="40% - Accent3 10 4 2" xfId="6301" xr:uid="{00000000-0005-0000-0000-00009C180000}"/>
    <cellStyle name="40% - Accent3 10 4 2 2" xfId="6302" xr:uid="{00000000-0005-0000-0000-00009D180000}"/>
    <cellStyle name="40% - Accent3 10 4 3" xfId="6303" xr:uid="{00000000-0005-0000-0000-00009E180000}"/>
    <cellStyle name="40% - Accent3 10 4 3 2" xfId="6304" xr:uid="{00000000-0005-0000-0000-00009F180000}"/>
    <cellStyle name="40% - Accent3 10 4 4" xfId="6305" xr:uid="{00000000-0005-0000-0000-0000A0180000}"/>
    <cellStyle name="40% - Accent3 10 4 5" xfId="6306" xr:uid="{00000000-0005-0000-0000-0000A1180000}"/>
    <cellStyle name="40% - Accent3 10 5" xfId="6307" xr:uid="{00000000-0005-0000-0000-0000A2180000}"/>
    <cellStyle name="40% - Accent3 10 5 2" xfId="6308" xr:uid="{00000000-0005-0000-0000-0000A3180000}"/>
    <cellStyle name="40% - Accent3 10 6" xfId="6309" xr:uid="{00000000-0005-0000-0000-0000A4180000}"/>
    <cellStyle name="40% - Accent3 10 6 2" xfId="6310" xr:uid="{00000000-0005-0000-0000-0000A5180000}"/>
    <cellStyle name="40% - Accent3 10 7" xfId="6311" xr:uid="{00000000-0005-0000-0000-0000A6180000}"/>
    <cellStyle name="40% - Accent3 10 8" xfId="6312" xr:uid="{00000000-0005-0000-0000-0000A7180000}"/>
    <cellStyle name="40% - Accent3 11" xfId="6313" xr:uid="{00000000-0005-0000-0000-0000A8180000}"/>
    <cellStyle name="40% - Accent3 11 2" xfId="6314" xr:uid="{00000000-0005-0000-0000-0000A9180000}"/>
    <cellStyle name="40% - Accent3 11 2 2" xfId="6315" xr:uid="{00000000-0005-0000-0000-0000AA180000}"/>
    <cellStyle name="40% - Accent3 11 2 2 2" xfId="6316" xr:uid="{00000000-0005-0000-0000-0000AB180000}"/>
    <cellStyle name="40% - Accent3 11 2 2 2 2" xfId="6317" xr:uid="{00000000-0005-0000-0000-0000AC180000}"/>
    <cellStyle name="40% - Accent3 11 2 2 3" xfId="6318" xr:uid="{00000000-0005-0000-0000-0000AD180000}"/>
    <cellStyle name="40% - Accent3 11 2 2 3 2" xfId="6319" xr:uid="{00000000-0005-0000-0000-0000AE180000}"/>
    <cellStyle name="40% - Accent3 11 2 2 4" xfId="6320" xr:uid="{00000000-0005-0000-0000-0000AF180000}"/>
    <cellStyle name="40% - Accent3 11 2 2 5" xfId="6321" xr:uid="{00000000-0005-0000-0000-0000B0180000}"/>
    <cellStyle name="40% - Accent3 11 2 3" xfId="6322" xr:uid="{00000000-0005-0000-0000-0000B1180000}"/>
    <cellStyle name="40% - Accent3 11 2 3 2" xfId="6323" xr:uid="{00000000-0005-0000-0000-0000B2180000}"/>
    <cellStyle name="40% - Accent3 11 2 4" xfId="6324" xr:uid="{00000000-0005-0000-0000-0000B3180000}"/>
    <cellStyle name="40% - Accent3 11 2 4 2" xfId="6325" xr:uid="{00000000-0005-0000-0000-0000B4180000}"/>
    <cellStyle name="40% - Accent3 11 2 5" xfId="6326" xr:uid="{00000000-0005-0000-0000-0000B5180000}"/>
    <cellStyle name="40% - Accent3 11 2 6" xfId="6327" xr:uid="{00000000-0005-0000-0000-0000B6180000}"/>
    <cellStyle name="40% - Accent3 11 3" xfId="6328" xr:uid="{00000000-0005-0000-0000-0000B7180000}"/>
    <cellStyle name="40% - Accent3 11 3 2" xfId="6329" xr:uid="{00000000-0005-0000-0000-0000B8180000}"/>
    <cellStyle name="40% - Accent3 11 3 2 2" xfId="6330" xr:uid="{00000000-0005-0000-0000-0000B9180000}"/>
    <cellStyle name="40% - Accent3 11 3 3" xfId="6331" xr:uid="{00000000-0005-0000-0000-0000BA180000}"/>
    <cellStyle name="40% - Accent3 11 3 3 2" xfId="6332" xr:uid="{00000000-0005-0000-0000-0000BB180000}"/>
    <cellStyle name="40% - Accent3 11 3 4" xfId="6333" xr:uid="{00000000-0005-0000-0000-0000BC180000}"/>
    <cellStyle name="40% - Accent3 11 3 5" xfId="6334" xr:uid="{00000000-0005-0000-0000-0000BD180000}"/>
    <cellStyle name="40% - Accent3 11 4" xfId="6335" xr:uid="{00000000-0005-0000-0000-0000BE180000}"/>
    <cellStyle name="40% - Accent3 11 4 2" xfId="6336" xr:uid="{00000000-0005-0000-0000-0000BF180000}"/>
    <cellStyle name="40% - Accent3 11 5" xfId="6337" xr:uid="{00000000-0005-0000-0000-0000C0180000}"/>
    <cellStyle name="40% - Accent3 11 5 2" xfId="6338" xr:uid="{00000000-0005-0000-0000-0000C1180000}"/>
    <cellStyle name="40% - Accent3 11 6" xfId="6339" xr:uid="{00000000-0005-0000-0000-0000C2180000}"/>
    <cellStyle name="40% - Accent3 11 7" xfId="6340" xr:uid="{00000000-0005-0000-0000-0000C3180000}"/>
    <cellStyle name="40% - Accent3 12" xfId="6341" xr:uid="{00000000-0005-0000-0000-0000C4180000}"/>
    <cellStyle name="40% - Accent3 12 2" xfId="6342" xr:uid="{00000000-0005-0000-0000-0000C5180000}"/>
    <cellStyle name="40% - Accent3 12 2 2" xfId="6343" xr:uid="{00000000-0005-0000-0000-0000C6180000}"/>
    <cellStyle name="40% - Accent3 12 2 2 2" xfId="6344" xr:uid="{00000000-0005-0000-0000-0000C7180000}"/>
    <cellStyle name="40% - Accent3 12 2 3" xfId="6345" xr:uid="{00000000-0005-0000-0000-0000C8180000}"/>
    <cellStyle name="40% - Accent3 12 2 3 2" xfId="6346" xr:uid="{00000000-0005-0000-0000-0000C9180000}"/>
    <cellStyle name="40% - Accent3 12 2 4" xfId="6347" xr:uid="{00000000-0005-0000-0000-0000CA180000}"/>
    <cellStyle name="40% - Accent3 12 2 5" xfId="6348" xr:uid="{00000000-0005-0000-0000-0000CB180000}"/>
    <cellStyle name="40% - Accent3 12 3" xfId="6349" xr:uid="{00000000-0005-0000-0000-0000CC180000}"/>
    <cellStyle name="40% - Accent3 12 3 2" xfId="6350" xr:uid="{00000000-0005-0000-0000-0000CD180000}"/>
    <cellStyle name="40% - Accent3 12 4" xfId="6351" xr:uid="{00000000-0005-0000-0000-0000CE180000}"/>
    <cellStyle name="40% - Accent3 12 4 2" xfId="6352" xr:uid="{00000000-0005-0000-0000-0000CF180000}"/>
    <cellStyle name="40% - Accent3 12 5" xfId="6353" xr:uid="{00000000-0005-0000-0000-0000D0180000}"/>
    <cellStyle name="40% - Accent3 12 6" xfId="6354" xr:uid="{00000000-0005-0000-0000-0000D1180000}"/>
    <cellStyle name="40% - Accent3 13" xfId="6355" xr:uid="{00000000-0005-0000-0000-0000D2180000}"/>
    <cellStyle name="40% - Accent3 13 2" xfId="6356" xr:uid="{00000000-0005-0000-0000-0000D3180000}"/>
    <cellStyle name="40% - Accent3 13 2 2" xfId="6357" xr:uid="{00000000-0005-0000-0000-0000D4180000}"/>
    <cellStyle name="40% - Accent3 13 2 2 2" xfId="6358" xr:uid="{00000000-0005-0000-0000-0000D5180000}"/>
    <cellStyle name="40% - Accent3 13 2 3" xfId="6359" xr:uid="{00000000-0005-0000-0000-0000D6180000}"/>
    <cellStyle name="40% - Accent3 13 2 3 2" xfId="6360" xr:uid="{00000000-0005-0000-0000-0000D7180000}"/>
    <cellStyle name="40% - Accent3 13 2 4" xfId="6361" xr:uid="{00000000-0005-0000-0000-0000D8180000}"/>
    <cellStyle name="40% - Accent3 13 2 5" xfId="6362" xr:uid="{00000000-0005-0000-0000-0000D9180000}"/>
    <cellStyle name="40% - Accent3 13 3" xfId="6363" xr:uid="{00000000-0005-0000-0000-0000DA180000}"/>
    <cellStyle name="40% - Accent3 13 3 2" xfId="6364" xr:uid="{00000000-0005-0000-0000-0000DB180000}"/>
    <cellStyle name="40% - Accent3 13 4" xfId="6365" xr:uid="{00000000-0005-0000-0000-0000DC180000}"/>
    <cellStyle name="40% - Accent3 13 4 2" xfId="6366" xr:uid="{00000000-0005-0000-0000-0000DD180000}"/>
    <cellStyle name="40% - Accent3 13 5" xfId="6367" xr:uid="{00000000-0005-0000-0000-0000DE180000}"/>
    <cellStyle name="40% - Accent3 13 6" xfId="6368" xr:uid="{00000000-0005-0000-0000-0000DF180000}"/>
    <cellStyle name="40% - Accent3 14" xfId="6369" xr:uid="{00000000-0005-0000-0000-0000E0180000}"/>
    <cellStyle name="40% - Accent3 14 2" xfId="6370" xr:uid="{00000000-0005-0000-0000-0000E1180000}"/>
    <cellStyle name="40% - Accent3 14 2 2" xfId="6371" xr:uid="{00000000-0005-0000-0000-0000E2180000}"/>
    <cellStyle name="40% - Accent3 14 2 2 2" xfId="6372" xr:uid="{00000000-0005-0000-0000-0000E3180000}"/>
    <cellStyle name="40% - Accent3 14 2 3" xfId="6373" xr:uid="{00000000-0005-0000-0000-0000E4180000}"/>
    <cellStyle name="40% - Accent3 14 2 3 2" xfId="6374" xr:uid="{00000000-0005-0000-0000-0000E5180000}"/>
    <cellStyle name="40% - Accent3 14 2 4" xfId="6375" xr:uid="{00000000-0005-0000-0000-0000E6180000}"/>
    <cellStyle name="40% - Accent3 14 2 5" xfId="6376" xr:uid="{00000000-0005-0000-0000-0000E7180000}"/>
    <cellStyle name="40% - Accent3 14 3" xfId="6377" xr:uid="{00000000-0005-0000-0000-0000E8180000}"/>
    <cellStyle name="40% - Accent3 14 3 2" xfId="6378" xr:uid="{00000000-0005-0000-0000-0000E9180000}"/>
    <cellStyle name="40% - Accent3 14 4" xfId="6379" xr:uid="{00000000-0005-0000-0000-0000EA180000}"/>
    <cellStyle name="40% - Accent3 14 4 2" xfId="6380" xr:uid="{00000000-0005-0000-0000-0000EB180000}"/>
    <cellStyle name="40% - Accent3 14 5" xfId="6381" xr:uid="{00000000-0005-0000-0000-0000EC180000}"/>
    <cellStyle name="40% - Accent3 14 6" xfId="6382" xr:uid="{00000000-0005-0000-0000-0000ED180000}"/>
    <cellStyle name="40% - Accent3 15" xfId="6383" xr:uid="{00000000-0005-0000-0000-0000EE180000}"/>
    <cellStyle name="40% - Accent3 15 2" xfId="6384" xr:uid="{00000000-0005-0000-0000-0000EF180000}"/>
    <cellStyle name="40% - Accent3 15 2 2" xfId="6385" xr:uid="{00000000-0005-0000-0000-0000F0180000}"/>
    <cellStyle name="40% - Accent3 15 2 2 2" xfId="6386" xr:uid="{00000000-0005-0000-0000-0000F1180000}"/>
    <cellStyle name="40% - Accent3 15 2 3" xfId="6387" xr:uid="{00000000-0005-0000-0000-0000F2180000}"/>
    <cellStyle name="40% - Accent3 15 2 3 2" xfId="6388" xr:uid="{00000000-0005-0000-0000-0000F3180000}"/>
    <cellStyle name="40% - Accent3 15 2 4" xfId="6389" xr:uid="{00000000-0005-0000-0000-0000F4180000}"/>
    <cellStyle name="40% - Accent3 15 2 5" xfId="6390" xr:uid="{00000000-0005-0000-0000-0000F5180000}"/>
    <cellStyle name="40% - Accent3 15 3" xfId="6391" xr:uid="{00000000-0005-0000-0000-0000F6180000}"/>
    <cellStyle name="40% - Accent3 15 3 2" xfId="6392" xr:uid="{00000000-0005-0000-0000-0000F7180000}"/>
    <cellStyle name="40% - Accent3 15 4" xfId="6393" xr:uid="{00000000-0005-0000-0000-0000F8180000}"/>
    <cellStyle name="40% - Accent3 15 4 2" xfId="6394" xr:uid="{00000000-0005-0000-0000-0000F9180000}"/>
    <cellStyle name="40% - Accent3 15 5" xfId="6395" xr:uid="{00000000-0005-0000-0000-0000FA180000}"/>
    <cellStyle name="40% - Accent3 15 6" xfId="6396" xr:uid="{00000000-0005-0000-0000-0000FB180000}"/>
    <cellStyle name="40% - Accent3 16" xfId="6397" xr:uid="{00000000-0005-0000-0000-0000FC180000}"/>
    <cellStyle name="40% - Accent3 16 2" xfId="6398" xr:uid="{00000000-0005-0000-0000-0000FD180000}"/>
    <cellStyle name="40% - Accent3 16 2 2" xfId="6399" xr:uid="{00000000-0005-0000-0000-0000FE180000}"/>
    <cellStyle name="40% - Accent3 16 2 3" xfId="6400" xr:uid="{00000000-0005-0000-0000-0000FF180000}"/>
    <cellStyle name="40% - Accent3 16 3" xfId="6401" xr:uid="{00000000-0005-0000-0000-000000190000}"/>
    <cellStyle name="40% - Accent3 16 4" xfId="6402" xr:uid="{00000000-0005-0000-0000-000001190000}"/>
    <cellStyle name="40% - Accent3 17" xfId="6403" xr:uid="{00000000-0005-0000-0000-000002190000}"/>
    <cellStyle name="40% - Accent3 17 2" xfId="6404" xr:uid="{00000000-0005-0000-0000-000003190000}"/>
    <cellStyle name="40% - Accent3 17 2 2" xfId="6405" xr:uid="{00000000-0005-0000-0000-000004190000}"/>
    <cellStyle name="40% - Accent3 17 2 3" xfId="6406" xr:uid="{00000000-0005-0000-0000-000005190000}"/>
    <cellStyle name="40% - Accent3 17 3" xfId="6407" xr:uid="{00000000-0005-0000-0000-000006190000}"/>
    <cellStyle name="40% - Accent3 17 4" xfId="6408" xr:uid="{00000000-0005-0000-0000-000007190000}"/>
    <cellStyle name="40% - Accent3 18" xfId="6409" xr:uid="{00000000-0005-0000-0000-000008190000}"/>
    <cellStyle name="40% - Accent3 18 2" xfId="6410" xr:uid="{00000000-0005-0000-0000-000009190000}"/>
    <cellStyle name="40% - Accent3 18 2 2" xfId="6411" xr:uid="{00000000-0005-0000-0000-00000A190000}"/>
    <cellStyle name="40% - Accent3 18 2 3" xfId="6412" xr:uid="{00000000-0005-0000-0000-00000B190000}"/>
    <cellStyle name="40% - Accent3 18 3" xfId="6413" xr:uid="{00000000-0005-0000-0000-00000C190000}"/>
    <cellStyle name="40% - Accent3 18 4" xfId="6414" xr:uid="{00000000-0005-0000-0000-00000D190000}"/>
    <cellStyle name="40% - Accent3 19" xfId="6415" xr:uid="{00000000-0005-0000-0000-00000E190000}"/>
    <cellStyle name="40% - Accent3 19 2" xfId="6416" xr:uid="{00000000-0005-0000-0000-00000F190000}"/>
    <cellStyle name="40% - Accent3 19 2 2" xfId="6417" xr:uid="{00000000-0005-0000-0000-000010190000}"/>
    <cellStyle name="40% - Accent3 19 2 3" xfId="6418" xr:uid="{00000000-0005-0000-0000-000011190000}"/>
    <cellStyle name="40% - Accent3 19 3" xfId="6419" xr:uid="{00000000-0005-0000-0000-000012190000}"/>
    <cellStyle name="40% - Accent3 19 4" xfId="6420" xr:uid="{00000000-0005-0000-0000-000013190000}"/>
    <cellStyle name="40% - Accent3 2" xfId="6421" xr:uid="{00000000-0005-0000-0000-000014190000}"/>
    <cellStyle name="40% - Accent3 2 2" xfId="6422" xr:uid="{00000000-0005-0000-0000-000015190000}"/>
    <cellStyle name="40% - Accent3 2 2 2" xfId="6423" xr:uid="{00000000-0005-0000-0000-000016190000}"/>
    <cellStyle name="40% - Accent3 2 2 3" xfId="6424" xr:uid="{00000000-0005-0000-0000-000017190000}"/>
    <cellStyle name="40% - Accent3 2 2 4" xfId="6425" xr:uid="{00000000-0005-0000-0000-000018190000}"/>
    <cellStyle name="40% - Accent3 2 2 5" xfId="6426" xr:uid="{00000000-0005-0000-0000-000019190000}"/>
    <cellStyle name="40% - Accent3 2 3" xfId="6427" xr:uid="{00000000-0005-0000-0000-00001A190000}"/>
    <cellStyle name="40% - Accent3 2 3 2" xfId="6428" xr:uid="{00000000-0005-0000-0000-00001B190000}"/>
    <cellStyle name="40% - Accent3 2 4" xfId="6429" xr:uid="{00000000-0005-0000-0000-00001C190000}"/>
    <cellStyle name="40% - Accent3 2 4 2" xfId="6430" xr:uid="{00000000-0005-0000-0000-00001D190000}"/>
    <cellStyle name="40% - Accent3 2 4 2 2" xfId="6431" xr:uid="{00000000-0005-0000-0000-00001E190000}"/>
    <cellStyle name="40% - Accent3 2 4 3" xfId="6432" xr:uid="{00000000-0005-0000-0000-00001F190000}"/>
    <cellStyle name="40% - Accent3 2 4 4" xfId="6433" xr:uid="{00000000-0005-0000-0000-000020190000}"/>
    <cellStyle name="40% - Accent3 2 5" xfId="6434" xr:uid="{00000000-0005-0000-0000-000021190000}"/>
    <cellStyle name="40% - Accent3 2 5 2" xfId="6435" xr:uid="{00000000-0005-0000-0000-000022190000}"/>
    <cellStyle name="40% - Accent3 2 5 3" xfId="6436" xr:uid="{00000000-0005-0000-0000-000023190000}"/>
    <cellStyle name="40% - Accent3 2 6" xfId="6437" xr:uid="{00000000-0005-0000-0000-000024190000}"/>
    <cellStyle name="40% - Accent3 2 7" xfId="6438" xr:uid="{00000000-0005-0000-0000-000025190000}"/>
    <cellStyle name="40% - Accent3 20" xfId="6439" xr:uid="{00000000-0005-0000-0000-000026190000}"/>
    <cellStyle name="40% - Accent3 20 2" xfId="6440" xr:uid="{00000000-0005-0000-0000-000027190000}"/>
    <cellStyle name="40% - Accent3 20 3" xfId="6441" xr:uid="{00000000-0005-0000-0000-000028190000}"/>
    <cellStyle name="40% - Accent3 21" xfId="6442" xr:uid="{00000000-0005-0000-0000-000029190000}"/>
    <cellStyle name="40% - Accent3 21 2" xfId="6443" xr:uid="{00000000-0005-0000-0000-00002A190000}"/>
    <cellStyle name="40% - Accent3 22" xfId="6444" xr:uid="{00000000-0005-0000-0000-00002B190000}"/>
    <cellStyle name="40% - Accent3 23" xfId="6445" xr:uid="{00000000-0005-0000-0000-00002C190000}"/>
    <cellStyle name="40% - Accent3 24" xfId="6446" xr:uid="{00000000-0005-0000-0000-00002D190000}"/>
    <cellStyle name="40% - Accent3 3" xfId="6447" xr:uid="{00000000-0005-0000-0000-00002E190000}"/>
    <cellStyle name="40% - Accent3 3 10" xfId="6448" xr:uid="{00000000-0005-0000-0000-00002F190000}"/>
    <cellStyle name="40% - Accent3 3 11" xfId="6449" xr:uid="{00000000-0005-0000-0000-000030190000}"/>
    <cellStyle name="40% - Accent3 3 2" xfId="6450" xr:uid="{00000000-0005-0000-0000-000031190000}"/>
    <cellStyle name="40% - Accent3 3 2 2" xfId="6451" xr:uid="{00000000-0005-0000-0000-000032190000}"/>
    <cellStyle name="40% - Accent3 3 2 2 2" xfId="6452" xr:uid="{00000000-0005-0000-0000-000033190000}"/>
    <cellStyle name="40% - Accent3 3 2 2 2 2" xfId="6453" xr:uid="{00000000-0005-0000-0000-000034190000}"/>
    <cellStyle name="40% - Accent3 3 2 2 2 2 2" xfId="6454" xr:uid="{00000000-0005-0000-0000-000035190000}"/>
    <cellStyle name="40% - Accent3 3 2 2 2 2 2 2" xfId="6455" xr:uid="{00000000-0005-0000-0000-000036190000}"/>
    <cellStyle name="40% - Accent3 3 2 2 2 2 3" xfId="6456" xr:uid="{00000000-0005-0000-0000-000037190000}"/>
    <cellStyle name="40% - Accent3 3 2 2 2 2 3 2" xfId="6457" xr:uid="{00000000-0005-0000-0000-000038190000}"/>
    <cellStyle name="40% - Accent3 3 2 2 2 2 4" xfId="6458" xr:uid="{00000000-0005-0000-0000-000039190000}"/>
    <cellStyle name="40% - Accent3 3 2 2 2 2 5" xfId="6459" xr:uid="{00000000-0005-0000-0000-00003A190000}"/>
    <cellStyle name="40% - Accent3 3 2 2 2 3" xfId="6460" xr:uid="{00000000-0005-0000-0000-00003B190000}"/>
    <cellStyle name="40% - Accent3 3 2 2 2 3 2" xfId="6461" xr:uid="{00000000-0005-0000-0000-00003C190000}"/>
    <cellStyle name="40% - Accent3 3 2 2 2 4" xfId="6462" xr:uid="{00000000-0005-0000-0000-00003D190000}"/>
    <cellStyle name="40% - Accent3 3 2 2 2 4 2" xfId="6463" xr:uid="{00000000-0005-0000-0000-00003E190000}"/>
    <cellStyle name="40% - Accent3 3 2 2 2 5" xfId="6464" xr:uid="{00000000-0005-0000-0000-00003F190000}"/>
    <cellStyle name="40% - Accent3 3 2 2 2 6" xfId="6465" xr:uid="{00000000-0005-0000-0000-000040190000}"/>
    <cellStyle name="40% - Accent3 3 2 2 3" xfId="6466" xr:uid="{00000000-0005-0000-0000-000041190000}"/>
    <cellStyle name="40% - Accent3 3 2 2 3 2" xfId="6467" xr:uid="{00000000-0005-0000-0000-000042190000}"/>
    <cellStyle name="40% - Accent3 3 2 2 3 2 2" xfId="6468" xr:uid="{00000000-0005-0000-0000-000043190000}"/>
    <cellStyle name="40% - Accent3 3 2 2 3 3" xfId="6469" xr:uid="{00000000-0005-0000-0000-000044190000}"/>
    <cellStyle name="40% - Accent3 3 2 2 3 3 2" xfId="6470" xr:uid="{00000000-0005-0000-0000-000045190000}"/>
    <cellStyle name="40% - Accent3 3 2 2 3 4" xfId="6471" xr:uid="{00000000-0005-0000-0000-000046190000}"/>
    <cellStyle name="40% - Accent3 3 2 2 3 5" xfId="6472" xr:uid="{00000000-0005-0000-0000-000047190000}"/>
    <cellStyle name="40% - Accent3 3 2 2 4" xfId="6473" xr:uid="{00000000-0005-0000-0000-000048190000}"/>
    <cellStyle name="40% - Accent3 3 2 2 4 2" xfId="6474" xr:uid="{00000000-0005-0000-0000-000049190000}"/>
    <cellStyle name="40% - Accent3 3 2 2 5" xfId="6475" xr:uid="{00000000-0005-0000-0000-00004A190000}"/>
    <cellStyle name="40% - Accent3 3 2 2 5 2" xfId="6476" xr:uid="{00000000-0005-0000-0000-00004B190000}"/>
    <cellStyle name="40% - Accent3 3 2 2 6" xfId="6477" xr:uid="{00000000-0005-0000-0000-00004C190000}"/>
    <cellStyle name="40% - Accent3 3 2 2 7" xfId="6478" xr:uid="{00000000-0005-0000-0000-00004D190000}"/>
    <cellStyle name="40% - Accent3 3 2 2 8" xfId="6479" xr:uid="{00000000-0005-0000-0000-00004E190000}"/>
    <cellStyle name="40% - Accent3 3 2 3" xfId="6480" xr:uid="{00000000-0005-0000-0000-00004F190000}"/>
    <cellStyle name="40% - Accent3 3 2 3 2" xfId="6481" xr:uid="{00000000-0005-0000-0000-000050190000}"/>
    <cellStyle name="40% - Accent3 3 2 3 2 2" xfId="6482" xr:uid="{00000000-0005-0000-0000-000051190000}"/>
    <cellStyle name="40% - Accent3 3 2 3 2 2 2" xfId="6483" xr:uid="{00000000-0005-0000-0000-000052190000}"/>
    <cellStyle name="40% - Accent3 3 2 3 2 3" xfId="6484" xr:uid="{00000000-0005-0000-0000-000053190000}"/>
    <cellStyle name="40% - Accent3 3 2 3 2 3 2" xfId="6485" xr:uid="{00000000-0005-0000-0000-000054190000}"/>
    <cellStyle name="40% - Accent3 3 2 3 2 4" xfId="6486" xr:uid="{00000000-0005-0000-0000-000055190000}"/>
    <cellStyle name="40% - Accent3 3 2 3 2 5" xfId="6487" xr:uid="{00000000-0005-0000-0000-000056190000}"/>
    <cellStyle name="40% - Accent3 3 2 3 3" xfId="6488" xr:uid="{00000000-0005-0000-0000-000057190000}"/>
    <cellStyle name="40% - Accent3 3 2 3 3 2" xfId="6489" xr:uid="{00000000-0005-0000-0000-000058190000}"/>
    <cellStyle name="40% - Accent3 3 2 3 4" xfId="6490" xr:uid="{00000000-0005-0000-0000-000059190000}"/>
    <cellStyle name="40% - Accent3 3 2 3 4 2" xfId="6491" xr:uid="{00000000-0005-0000-0000-00005A190000}"/>
    <cellStyle name="40% - Accent3 3 2 3 5" xfId="6492" xr:uid="{00000000-0005-0000-0000-00005B190000}"/>
    <cellStyle name="40% - Accent3 3 2 3 6" xfId="6493" xr:uid="{00000000-0005-0000-0000-00005C190000}"/>
    <cellStyle name="40% - Accent3 3 2 3 7" xfId="6494" xr:uid="{00000000-0005-0000-0000-00005D190000}"/>
    <cellStyle name="40% - Accent3 3 2 4" xfId="6495" xr:uid="{00000000-0005-0000-0000-00005E190000}"/>
    <cellStyle name="40% - Accent3 3 2 4 2" xfId="6496" xr:uid="{00000000-0005-0000-0000-00005F190000}"/>
    <cellStyle name="40% - Accent3 3 2 4 2 2" xfId="6497" xr:uid="{00000000-0005-0000-0000-000060190000}"/>
    <cellStyle name="40% - Accent3 3 2 4 3" xfId="6498" xr:uid="{00000000-0005-0000-0000-000061190000}"/>
    <cellStyle name="40% - Accent3 3 2 4 3 2" xfId="6499" xr:uid="{00000000-0005-0000-0000-000062190000}"/>
    <cellStyle name="40% - Accent3 3 2 4 4" xfId="6500" xr:uid="{00000000-0005-0000-0000-000063190000}"/>
    <cellStyle name="40% - Accent3 3 2 4 5" xfId="6501" xr:uid="{00000000-0005-0000-0000-000064190000}"/>
    <cellStyle name="40% - Accent3 3 2 4 6" xfId="6502" xr:uid="{00000000-0005-0000-0000-000065190000}"/>
    <cellStyle name="40% - Accent3 3 2 5" xfId="6503" xr:uid="{00000000-0005-0000-0000-000066190000}"/>
    <cellStyle name="40% - Accent3 3 2 5 2" xfId="6504" xr:uid="{00000000-0005-0000-0000-000067190000}"/>
    <cellStyle name="40% - Accent3 3 2 6" xfId="6505" xr:uid="{00000000-0005-0000-0000-000068190000}"/>
    <cellStyle name="40% - Accent3 3 2 6 2" xfId="6506" xr:uid="{00000000-0005-0000-0000-000069190000}"/>
    <cellStyle name="40% - Accent3 3 2 7" xfId="6507" xr:uid="{00000000-0005-0000-0000-00006A190000}"/>
    <cellStyle name="40% - Accent3 3 2 8" xfId="6508" xr:uid="{00000000-0005-0000-0000-00006B190000}"/>
    <cellStyle name="40% - Accent3 3 2 9" xfId="6509" xr:uid="{00000000-0005-0000-0000-00006C190000}"/>
    <cellStyle name="40% - Accent3 3 3" xfId="6510" xr:uid="{00000000-0005-0000-0000-00006D190000}"/>
    <cellStyle name="40% - Accent3 3 3 2" xfId="6511" xr:uid="{00000000-0005-0000-0000-00006E190000}"/>
    <cellStyle name="40% - Accent3 3 3 2 2" xfId="6512" xr:uid="{00000000-0005-0000-0000-00006F190000}"/>
    <cellStyle name="40% - Accent3 3 3 2 2 2" xfId="6513" xr:uid="{00000000-0005-0000-0000-000070190000}"/>
    <cellStyle name="40% - Accent3 3 3 2 2 2 2" xfId="6514" xr:uid="{00000000-0005-0000-0000-000071190000}"/>
    <cellStyle name="40% - Accent3 3 3 2 2 3" xfId="6515" xr:uid="{00000000-0005-0000-0000-000072190000}"/>
    <cellStyle name="40% - Accent3 3 3 2 2 3 2" xfId="6516" xr:uid="{00000000-0005-0000-0000-000073190000}"/>
    <cellStyle name="40% - Accent3 3 3 2 2 4" xfId="6517" xr:uid="{00000000-0005-0000-0000-000074190000}"/>
    <cellStyle name="40% - Accent3 3 3 2 2 5" xfId="6518" xr:uid="{00000000-0005-0000-0000-000075190000}"/>
    <cellStyle name="40% - Accent3 3 3 2 3" xfId="6519" xr:uid="{00000000-0005-0000-0000-000076190000}"/>
    <cellStyle name="40% - Accent3 3 3 2 3 2" xfId="6520" xr:uid="{00000000-0005-0000-0000-000077190000}"/>
    <cellStyle name="40% - Accent3 3 3 2 4" xfId="6521" xr:uid="{00000000-0005-0000-0000-000078190000}"/>
    <cellStyle name="40% - Accent3 3 3 2 4 2" xfId="6522" xr:uid="{00000000-0005-0000-0000-000079190000}"/>
    <cellStyle name="40% - Accent3 3 3 2 5" xfId="6523" xr:uid="{00000000-0005-0000-0000-00007A190000}"/>
    <cellStyle name="40% - Accent3 3 3 2 6" xfId="6524" xr:uid="{00000000-0005-0000-0000-00007B190000}"/>
    <cellStyle name="40% - Accent3 3 3 3" xfId="6525" xr:uid="{00000000-0005-0000-0000-00007C190000}"/>
    <cellStyle name="40% - Accent3 3 3 3 2" xfId="6526" xr:uid="{00000000-0005-0000-0000-00007D190000}"/>
    <cellStyle name="40% - Accent3 3 3 3 2 2" xfId="6527" xr:uid="{00000000-0005-0000-0000-00007E190000}"/>
    <cellStyle name="40% - Accent3 3 3 3 3" xfId="6528" xr:uid="{00000000-0005-0000-0000-00007F190000}"/>
    <cellStyle name="40% - Accent3 3 3 3 3 2" xfId="6529" xr:uid="{00000000-0005-0000-0000-000080190000}"/>
    <cellStyle name="40% - Accent3 3 3 3 4" xfId="6530" xr:uid="{00000000-0005-0000-0000-000081190000}"/>
    <cellStyle name="40% - Accent3 3 3 3 5" xfId="6531" xr:uid="{00000000-0005-0000-0000-000082190000}"/>
    <cellStyle name="40% - Accent3 3 3 4" xfId="6532" xr:uid="{00000000-0005-0000-0000-000083190000}"/>
    <cellStyle name="40% - Accent3 3 3 4 2" xfId="6533" xr:uid="{00000000-0005-0000-0000-000084190000}"/>
    <cellStyle name="40% - Accent3 3 3 5" xfId="6534" xr:uid="{00000000-0005-0000-0000-000085190000}"/>
    <cellStyle name="40% - Accent3 3 3 5 2" xfId="6535" xr:uid="{00000000-0005-0000-0000-000086190000}"/>
    <cellStyle name="40% - Accent3 3 3 6" xfId="6536" xr:uid="{00000000-0005-0000-0000-000087190000}"/>
    <cellStyle name="40% - Accent3 3 3 7" xfId="6537" xr:uid="{00000000-0005-0000-0000-000088190000}"/>
    <cellStyle name="40% - Accent3 3 3 8" xfId="6538" xr:uid="{00000000-0005-0000-0000-000089190000}"/>
    <cellStyle name="40% - Accent3 3 4" xfId="6539" xr:uid="{00000000-0005-0000-0000-00008A190000}"/>
    <cellStyle name="40% - Accent3 3 4 2" xfId="6540" xr:uid="{00000000-0005-0000-0000-00008B190000}"/>
    <cellStyle name="40% - Accent3 3 4 2 2" xfId="6541" xr:uid="{00000000-0005-0000-0000-00008C190000}"/>
    <cellStyle name="40% - Accent3 3 4 2 2 2" xfId="6542" xr:uid="{00000000-0005-0000-0000-00008D190000}"/>
    <cellStyle name="40% - Accent3 3 4 2 3" xfId="6543" xr:uid="{00000000-0005-0000-0000-00008E190000}"/>
    <cellStyle name="40% - Accent3 3 4 2 3 2" xfId="6544" xr:uid="{00000000-0005-0000-0000-00008F190000}"/>
    <cellStyle name="40% - Accent3 3 4 2 4" xfId="6545" xr:uid="{00000000-0005-0000-0000-000090190000}"/>
    <cellStyle name="40% - Accent3 3 4 2 5" xfId="6546" xr:uid="{00000000-0005-0000-0000-000091190000}"/>
    <cellStyle name="40% - Accent3 3 4 3" xfId="6547" xr:uid="{00000000-0005-0000-0000-000092190000}"/>
    <cellStyle name="40% - Accent3 3 4 3 2" xfId="6548" xr:uid="{00000000-0005-0000-0000-000093190000}"/>
    <cellStyle name="40% - Accent3 3 4 4" xfId="6549" xr:uid="{00000000-0005-0000-0000-000094190000}"/>
    <cellStyle name="40% - Accent3 3 4 4 2" xfId="6550" xr:uid="{00000000-0005-0000-0000-000095190000}"/>
    <cellStyle name="40% - Accent3 3 4 5" xfId="6551" xr:uid="{00000000-0005-0000-0000-000096190000}"/>
    <cellStyle name="40% - Accent3 3 4 6" xfId="6552" xr:uid="{00000000-0005-0000-0000-000097190000}"/>
    <cellStyle name="40% - Accent3 3 4 7" xfId="6553" xr:uid="{00000000-0005-0000-0000-000098190000}"/>
    <cellStyle name="40% - Accent3 3 5" xfId="6554" xr:uid="{00000000-0005-0000-0000-000099190000}"/>
    <cellStyle name="40% - Accent3 3 5 2" xfId="6555" xr:uid="{00000000-0005-0000-0000-00009A190000}"/>
    <cellStyle name="40% - Accent3 3 5 2 2" xfId="6556" xr:uid="{00000000-0005-0000-0000-00009B190000}"/>
    <cellStyle name="40% - Accent3 3 5 2 2 2" xfId="6557" xr:uid="{00000000-0005-0000-0000-00009C190000}"/>
    <cellStyle name="40% - Accent3 3 5 2 3" xfId="6558" xr:uid="{00000000-0005-0000-0000-00009D190000}"/>
    <cellStyle name="40% - Accent3 3 5 3" xfId="6559" xr:uid="{00000000-0005-0000-0000-00009E190000}"/>
    <cellStyle name="40% - Accent3 3 5 3 2" xfId="6560" xr:uid="{00000000-0005-0000-0000-00009F190000}"/>
    <cellStyle name="40% - Accent3 3 5 4" xfId="6561" xr:uid="{00000000-0005-0000-0000-0000A0190000}"/>
    <cellStyle name="40% - Accent3 3 5 4 2" xfId="6562" xr:uid="{00000000-0005-0000-0000-0000A1190000}"/>
    <cellStyle name="40% - Accent3 3 5 5" xfId="6563" xr:uid="{00000000-0005-0000-0000-0000A2190000}"/>
    <cellStyle name="40% - Accent3 3 5 6" xfId="6564" xr:uid="{00000000-0005-0000-0000-0000A3190000}"/>
    <cellStyle name="40% - Accent3 3 5 7" xfId="6565" xr:uid="{00000000-0005-0000-0000-0000A4190000}"/>
    <cellStyle name="40% - Accent3 3 6" xfId="6566" xr:uid="{00000000-0005-0000-0000-0000A5190000}"/>
    <cellStyle name="40% - Accent3 3 6 2" xfId="6567" xr:uid="{00000000-0005-0000-0000-0000A6190000}"/>
    <cellStyle name="40% - Accent3 3 6 2 2" xfId="6568" xr:uid="{00000000-0005-0000-0000-0000A7190000}"/>
    <cellStyle name="40% - Accent3 3 6 3" xfId="6569" xr:uid="{00000000-0005-0000-0000-0000A8190000}"/>
    <cellStyle name="40% - Accent3 3 7" xfId="6570" xr:uid="{00000000-0005-0000-0000-0000A9190000}"/>
    <cellStyle name="40% - Accent3 3 7 2" xfId="6571" xr:uid="{00000000-0005-0000-0000-0000AA190000}"/>
    <cellStyle name="40% - Accent3 3 8" xfId="6572" xr:uid="{00000000-0005-0000-0000-0000AB190000}"/>
    <cellStyle name="40% - Accent3 3 8 2" xfId="6573" xr:uid="{00000000-0005-0000-0000-0000AC190000}"/>
    <cellStyle name="40% - Accent3 3 9" xfId="6574" xr:uid="{00000000-0005-0000-0000-0000AD190000}"/>
    <cellStyle name="40% - Accent3 4" xfId="6575" xr:uid="{00000000-0005-0000-0000-0000AE190000}"/>
    <cellStyle name="40% - Accent3 4 10" xfId="6576" xr:uid="{00000000-0005-0000-0000-0000AF190000}"/>
    <cellStyle name="40% - Accent3 4 11" xfId="6577" xr:uid="{00000000-0005-0000-0000-0000B0190000}"/>
    <cellStyle name="40% - Accent3 4 2" xfId="6578" xr:uid="{00000000-0005-0000-0000-0000B1190000}"/>
    <cellStyle name="40% - Accent3 4 2 2" xfId="6579" xr:uid="{00000000-0005-0000-0000-0000B2190000}"/>
    <cellStyle name="40% - Accent3 4 2 2 2" xfId="6580" xr:uid="{00000000-0005-0000-0000-0000B3190000}"/>
    <cellStyle name="40% - Accent3 4 2 2 2 2" xfId="6581" xr:uid="{00000000-0005-0000-0000-0000B4190000}"/>
    <cellStyle name="40% - Accent3 4 2 2 2 2 2" xfId="6582" xr:uid="{00000000-0005-0000-0000-0000B5190000}"/>
    <cellStyle name="40% - Accent3 4 2 2 2 2 2 2" xfId="6583" xr:uid="{00000000-0005-0000-0000-0000B6190000}"/>
    <cellStyle name="40% - Accent3 4 2 2 2 2 3" xfId="6584" xr:uid="{00000000-0005-0000-0000-0000B7190000}"/>
    <cellStyle name="40% - Accent3 4 2 2 2 2 3 2" xfId="6585" xr:uid="{00000000-0005-0000-0000-0000B8190000}"/>
    <cellStyle name="40% - Accent3 4 2 2 2 2 4" xfId="6586" xr:uid="{00000000-0005-0000-0000-0000B9190000}"/>
    <cellStyle name="40% - Accent3 4 2 2 2 2 5" xfId="6587" xr:uid="{00000000-0005-0000-0000-0000BA190000}"/>
    <cellStyle name="40% - Accent3 4 2 2 2 3" xfId="6588" xr:uid="{00000000-0005-0000-0000-0000BB190000}"/>
    <cellStyle name="40% - Accent3 4 2 2 2 3 2" xfId="6589" xr:uid="{00000000-0005-0000-0000-0000BC190000}"/>
    <cellStyle name="40% - Accent3 4 2 2 2 4" xfId="6590" xr:uid="{00000000-0005-0000-0000-0000BD190000}"/>
    <cellStyle name="40% - Accent3 4 2 2 2 4 2" xfId="6591" xr:uid="{00000000-0005-0000-0000-0000BE190000}"/>
    <cellStyle name="40% - Accent3 4 2 2 2 5" xfId="6592" xr:uid="{00000000-0005-0000-0000-0000BF190000}"/>
    <cellStyle name="40% - Accent3 4 2 2 2 6" xfId="6593" xr:uid="{00000000-0005-0000-0000-0000C0190000}"/>
    <cellStyle name="40% - Accent3 4 2 2 3" xfId="6594" xr:uid="{00000000-0005-0000-0000-0000C1190000}"/>
    <cellStyle name="40% - Accent3 4 2 2 3 2" xfId="6595" xr:uid="{00000000-0005-0000-0000-0000C2190000}"/>
    <cellStyle name="40% - Accent3 4 2 2 3 2 2" xfId="6596" xr:uid="{00000000-0005-0000-0000-0000C3190000}"/>
    <cellStyle name="40% - Accent3 4 2 2 3 3" xfId="6597" xr:uid="{00000000-0005-0000-0000-0000C4190000}"/>
    <cellStyle name="40% - Accent3 4 2 2 3 3 2" xfId="6598" xr:uid="{00000000-0005-0000-0000-0000C5190000}"/>
    <cellStyle name="40% - Accent3 4 2 2 3 4" xfId="6599" xr:uid="{00000000-0005-0000-0000-0000C6190000}"/>
    <cellStyle name="40% - Accent3 4 2 2 3 5" xfId="6600" xr:uid="{00000000-0005-0000-0000-0000C7190000}"/>
    <cellStyle name="40% - Accent3 4 2 2 4" xfId="6601" xr:uid="{00000000-0005-0000-0000-0000C8190000}"/>
    <cellStyle name="40% - Accent3 4 2 2 4 2" xfId="6602" xr:uid="{00000000-0005-0000-0000-0000C9190000}"/>
    <cellStyle name="40% - Accent3 4 2 2 5" xfId="6603" xr:uid="{00000000-0005-0000-0000-0000CA190000}"/>
    <cellStyle name="40% - Accent3 4 2 2 5 2" xfId="6604" xr:uid="{00000000-0005-0000-0000-0000CB190000}"/>
    <cellStyle name="40% - Accent3 4 2 2 6" xfId="6605" xr:uid="{00000000-0005-0000-0000-0000CC190000}"/>
    <cellStyle name="40% - Accent3 4 2 2 7" xfId="6606" xr:uid="{00000000-0005-0000-0000-0000CD190000}"/>
    <cellStyle name="40% - Accent3 4 2 3" xfId="6607" xr:uid="{00000000-0005-0000-0000-0000CE190000}"/>
    <cellStyle name="40% - Accent3 4 2 3 2" xfId="6608" xr:uid="{00000000-0005-0000-0000-0000CF190000}"/>
    <cellStyle name="40% - Accent3 4 2 3 2 2" xfId="6609" xr:uid="{00000000-0005-0000-0000-0000D0190000}"/>
    <cellStyle name="40% - Accent3 4 2 3 2 2 2" xfId="6610" xr:uid="{00000000-0005-0000-0000-0000D1190000}"/>
    <cellStyle name="40% - Accent3 4 2 3 2 3" xfId="6611" xr:uid="{00000000-0005-0000-0000-0000D2190000}"/>
    <cellStyle name="40% - Accent3 4 2 3 2 3 2" xfId="6612" xr:uid="{00000000-0005-0000-0000-0000D3190000}"/>
    <cellStyle name="40% - Accent3 4 2 3 2 4" xfId="6613" xr:uid="{00000000-0005-0000-0000-0000D4190000}"/>
    <cellStyle name="40% - Accent3 4 2 3 2 5" xfId="6614" xr:uid="{00000000-0005-0000-0000-0000D5190000}"/>
    <cellStyle name="40% - Accent3 4 2 3 3" xfId="6615" xr:uid="{00000000-0005-0000-0000-0000D6190000}"/>
    <cellStyle name="40% - Accent3 4 2 3 3 2" xfId="6616" xr:uid="{00000000-0005-0000-0000-0000D7190000}"/>
    <cellStyle name="40% - Accent3 4 2 3 4" xfId="6617" xr:uid="{00000000-0005-0000-0000-0000D8190000}"/>
    <cellStyle name="40% - Accent3 4 2 3 4 2" xfId="6618" xr:uid="{00000000-0005-0000-0000-0000D9190000}"/>
    <cellStyle name="40% - Accent3 4 2 3 5" xfId="6619" xr:uid="{00000000-0005-0000-0000-0000DA190000}"/>
    <cellStyle name="40% - Accent3 4 2 3 6" xfId="6620" xr:uid="{00000000-0005-0000-0000-0000DB190000}"/>
    <cellStyle name="40% - Accent3 4 2 4" xfId="6621" xr:uid="{00000000-0005-0000-0000-0000DC190000}"/>
    <cellStyle name="40% - Accent3 4 2 4 2" xfId="6622" xr:uid="{00000000-0005-0000-0000-0000DD190000}"/>
    <cellStyle name="40% - Accent3 4 2 4 2 2" xfId="6623" xr:uid="{00000000-0005-0000-0000-0000DE190000}"/>
    <cellStyle name="40% - Accent3 4 2 4 3" xfId="6624" xr:uid="{00000000-0005-0000-0000-0000DF190000}"/>
    <cellStyle name="40% - Accent3 4 2 4 3 2" xfId="6625" xr:uid="{00000000-0005-0000-0000-0000E0190000}"/>
    <cellStyle name="40% - Accent3 4 2 4 4" xfId="6626" xr:uid="{00000000-0005-0000-0000-0000E1190000}"/>
    <cellStyle name="40% - Accent3 4 2 4 5" xfId="6627" xr:uid="{00000000-0005-0000-0000-0000E2190000}"/>
    <cellStyle name="40% - Accent3 4 2 5" xfId="6628" xr:uid="{00000000-0005-0000-0000-0000E3190000}"/>
    <cellStyle name="40% - Accent3 4 2 5 2" xfId="6629" xr:uid="{00000000-0005-0000-0000-0000E4190000}"/>
    <cellStyle name="40% - Accent3 4 2 6" xfId="6630" xr:uid="{00000000-0005-0000-0000-0000E5190000}"/>
    <cellStyle name="40% - Accent3 4 2 6 2" xfId="6631" xr:uid="{00000000-0005-0000-0000-0000E6190000}"/>
    <cellStyle name="40% - Accent3 4 2 7" xfId="6632" xr:uid="{00000000-0005-0000-0000-0000E7190000}"/>
    <cellStyle name="40% - Accent3 4 2 8" xfId="6633" xr:uid="{00000000-0005-0000-0000-0000E8190000}"/>
    <cellStyle name="40% - Accent3 4 2 9" xfId="6634" xr:uid="{00000000-0005-0000-0000-0000E9190000}"/>
    <cellStyle name="40% - Accent3 4 3" xfId="6635" xr:uid="{00000000-0005-0000-0000-0000EA190000}"/>
    <cellStyle name="40% - Accent3 4 3 2" xfId="6636" xr:uid="{00000000-0005-0000-0000-0000EB190000}"/>
    <cellStyle name="40% - Accent3 4 3 2 2" xfId="6637" xr:uid="{00000000-0005-0000-0000-0000EC190000}"/>
    <cellStyle name="40% - Accent3 4 3 2 2 2" xfId="6638" xr:uid="{00000000-0005-0000-0000-0000ED190000}"/>
    <cellStyle name="40% - Accent3 4 3 2 2 2 2" xfId="6639" xr:uid="{00000000-0005-0000-0000-0000EE190000}"/>
    <cellStyle name="40% - Accent3 4 3 2 2 3" xfId="6640" xr:uid="{00000000-0005-0000-0000-0000EF190000}"/>
    <cellStyle name="40% - Accent3 4 3 2 2 3 2" xfId="6641" xr:uid="{00000000-0005-0000-0000-0000F0190000}"/>
    <cellStyle name="40% - Accent3 4 3 2 2 4" xfId="6642" xr:uid="{00000000-0005-0000-0000-0000F1190000}"/>
    <cellStyle name="40% - Accent3 4 3 2 2 5" xfId="6643" xr:uid="{00000000-0005-0000-0000-0000F2190000}"/>
    <cellStyle name="40% - Accent3 4 3 2 3" xfId="6644" xr:uid="{00000000-0005-0000-0000-0000F3190000}"/>
    <cellStyle name="40% - Accent3 4 3 2 3 2" xfId="6645" xr:uid="{00000000-0005-0000-0000-0000F4190000}"/>
    <cellStyle name="40% - Accent3 4 3 2 4" xfId="6646" xr:uid="{00000000-0005-0000-0000-0000F5190000}"/>
    <cellStyle name="40% - Accent3 4 3 2 4 2" xfId="6647" xr:uid="{00000000-0005-0000-0000-0000F6190000}"/>
    <cellStyle name="40% - Accent3 4 3 2 5" xfId="6648" xr:uid="{00000000-0005-0000-0000-0000F7190000}"/>
    <cellStyle name="40% - Accent3 4 3 2 6" xfId="6649" xr:uid="{00000000-0005-0000-0000-0000F8190000}"/>
    <cellStyle name="40% - Accent3 4 3 3" xfId="6650" xr:uid="{00000000-0005-0000-0000-0000F9190000}"/>
    <cellStyle name="40% - Accent3 4 3 3 2" xfId="6651" xr:uid="{00000000-0005-0000-0000-0000FA190000}"/>
    <cellStyle name="40% - Accent3 4 3 3 2 2" xfId="6652" xr:uid="{00000000-0005-0000-0000-0000FB190000}"/>
    <cellStyle name="40% - Accent3 4 3 3 3" xfId="6653" xr:uid="{00000000-0005-0000-0000-0000FC190000}"/>
    <cellStyle name="40% - Accent3 4 3 3 3 2" xfId="6654" xr:uid="{00000000-0005-0000-0000-0000FD190000}"/>
    <cellStyle name="40% - Accent3 4 3 3 4" xfId="6655" xr:uid="{00000000-0005-0000-0000-0000FE190000}"/>
    <cellStyle name="40% - Accent3 4 3 3 5" xfId="6656" xr:uid="{00000000-0005-0000-0000-0000FF190000}"/>
    <cellStyle name="40% - Accent3 4 3 4" xfId="6657" xr:uid="{00000000-0005-0000-0000-0000001A0000}"/>
    <cellStyle name="40% - Accent3 4 3 4 2" xfId="6658" xr:uid="{00000000-0005-0000-0000-0000011A0000}"/>
    <cellStyle name="40% - Accent3 4 3 5" xfId="6659" xr:uid="{00000000-0005-0000-0000-0000021A0000}"/>
    <cellStyle name="40% - Accent3 4 3 5 2" xfId="6660" xr:uid="{00000000-0005-0000-0000-0000031A0000}"/>
    <cellStyle name="40% - Accent3 4 3 6" xfId="6661" xr:uid="{00000000-0005-0000-0000-0000041A0000}"/>
    <cellStyle name="40% - Accent3 4 3 7" xfId="6662" xr:uid="{00000000-0005-0000-0000-0000051A0000}"/>
    <cellStyle name="40% - Accent3 4 3 8" xfId="6663" xr:uid="{00000000-0005-0000-0000-0000061A0000}"/>
    <cellStyle name="40% - Accent3 4 4" xfId="6664" xr:uid="{00000000-0005-0000-0000-0000071A0000}"/>
    <cellStyle name="40% - Accent3 4 4 2" xfId="6665" xr:uid="{00000000-0005-0000-0000-0000081A0000}"/>
    <cellStyle name="40% - Accent3 4 4 2 2" xfId="6666" xr:uid="{00000000-0005-0000-0000-0000091A0000}"/>
    <cellStyle name="40% - Accent3 4 4 2 2 2" xfId="6667" xr:uid="{00000000-0005-0000-0000-00000A1A0000}"/>
    <cellStyle name="40% - Accent3 4 4 2 3" xfId="6668" xr:uid="{00000000-0005-0000-0000-00000B1A0000}"/>
    <cellStyle name="40% - Accent3 4 4 2 3 2" xfId="6669" xr:uid="{00000000-0005-0000-0000-00000C1A0000}"/>
    <cellStyle name="40% - Accent3 4 4 2 4" xfId="6670" xr:uid="{00000000-0005-0000-0000-00000D1A0000}"/>
    <cellStyle name="40% - Accent3 4 4 2 5" xfId="6671" xr:uid="{00000000-0005-0000-0000-00000E1A0000}"/>
    <cellStyle name="40% - Accent3 4 4 3" xfId="6672" xr:uid="{00000000-0005-0000-0000-00000F1A0000}"/>
    <cellStyle name="40% - Accent3 4 4 3 2" xfId="6673" xr:uid="{00000000-0005-0000-0000-0000101A0000}"/>
    <cellStyle name="40% - Accent3 4 4 4" xfId="6674" xr:uid="{00000000-0005-0000-0000-0000111A0000}"/>
    <cellStyle name="40% - Accent3 4 4 4 2" xfId="6675" xr:uid="{00000000-0005-0000-0000-0000121A0000}"/>
    <cellStyle name="40% - Accent3 4 4 5" xfId="6676" xr:uid="{00000000-0005-0000-0000-0000131A0000}"/>
    <cellStyle name="40% - Accent3 4 4 6" xfId="6677" xr:uid="{00000000-0005-0000-0000-0000141A0000}"/>
    <cellStyle name="40% - Accent3 4 4 7" xfId="6678" xr:uid="{00000000-0005-0000-0000-0000151A0000}"/>
    <cellStyle name="40% - Accent3 4 5" xfId="6679" xr:uid="{00000000-0005-0000-0000-0000161A0000}"/>
    <cellStyle name="40% - Accent3 4 5 2" xfId="6680" xr:uid="{00000000-0005-0000-0000-0000171A0000}"/>
    <cellStyle name="40% - Accent3 4 5 2 2" xfId="6681" xr:uid="{00000000-0005-0000-0000-0000181A0000}"/>
    <cellStyle name="40% - Accent3 4 5 2 2 2" xfId="6682" xr:uid="{00000000-0005-0000-0000-0000191A0000}"/>
    <cellStyle name="40% - Accent3 4 5 2 3" xfId="6683" xr:uid="{00000000-0005-0000-0000-00001A1A0000}"/>
    <cellStyle name="40% - Accent3 4 5 3" xfId="6684" xr:uid="{00000000-0005-0000-0000-00001B1A0000}"/>
    <cellStyle name="40% - Accent3 4 5 3 2" xfId="6685" xr:uid="{00000000-0005-0000-0000-00001C1A0000}"/>
    <cellStyle name="40% - Accent3 4 5 4" xfId="6686" xr:uid="{00000000-0005-0000-0000-00001D1A0000}"/>
    <cellStyle name="40% - Accent3 4 5 4 2" xfId="6687" xr:uid="{00000000-0005-0000-0000-00001E1A0000}"/>
    <cellStyle name="40% - Accent3 4 5 5" xfId="6688" xr:uid="{00000000-0005-0000-0000-00001F1A0000}"/>
    <cellStyle name="40% - Accent3 4 5 6" xfId="6689" xr:uid="{00000000-0005-0000-0000-0000201A0000}"/>
    <cellStyle name="40% - Accent3 4 6" xfId="6690" xr:uid="{00000000-0005-0000-0000-0000211A0000}"/>
    <cellStyle name="40% - Accent3 4 6 2" xfId="6691" xr:uid="{00000000-0005-0000-0000-0000221A0000}"/>
    <cellStyle name="40% - Accent3 4 6 2 2" xfId="6692" xr:uid="{00000000-0005-0000-0000-0000231A0000}"/>
    <cellStyle name="40% - Accent3 4 6 3" xfId="6693" xr:uid="{00000000-0005-0000-0000-0000241A0000}"/>
    <cellStyle name="40% - Accent3 4 7" xfId="6694" xr:uid="{00000000-0005-0000-0000-0000251A0000}"/>
    <cellStyle name="40% - Accent3 4 7 2" xfId="6695" xr:uid="{00000000-0005-0000-0000-0000261A0000}"/>
    <cellStyle name="40% - Accent3 4 8" xfId="6696" xr:uid="{00000000-0005-0000-0000-0000271A0000}"/>
    <cellStyle name="40% - Accent3 4 8 2" xfId="6697" xr:uid="{00000000-0005-0000-0000-0000281A0000}"/>
    <cellStyle name="40% - Accent3 4 9" xfId="6698" xr:uid="{00000000-0005-0000-0000-0000291A0000}"/>
    <cellStyle name="40% - Accent3 5" xfId="6699" xr:uid="{00000000-0005-0000-0000-00002A1A0000}"/>
    <cellStyle name="40% - Accent3 5 2" xfId="6700" xr:uid="{00000000-0005-0000-0000-00002B1A0000}"/>
    <cellStyle name="40% - Accent3 5 2 2" xfId="6701" xr:uid="{00000000-0005-0000-0000-00002C1A0000}"/>
    <cellStyle name="40% - Accent3 5 2 2 2" xfId="6702" xr:uid="{00000000-0005-0000-0000-00002D1A0000}"/>
    <cellStyle name="40% - Accent3 5 2 2 2 2" xfId="6703" xr:uid="{00000000-0005-0000-0000-00002E1A0000}"/>
    <cellStyle name="40% - Accent3 5 2 2 2 2 2" xfId="6704" xr:uid="{00000000-0005-0000-0000-00002F1A0000}"/>
    <cellStyle name="40% - Accent3 5 2 2 2 2 2 2" xfId="6705" xr:uid="{00000000-0005-0000-0000-0000301A0000}"/>
    <cellStyle name="40% - Accent3 5 2 2 2 2 3" xfId="6706" xr:uid="{00000000-0005-0000-0000-0000311A0000}"/>
    <cellStyle name="40% - Accent3 5 2 2 2 2 3 2" xfId="6707" xr:uid="{00000000-0005-0000-0000-0000321A0000}"/>
    <cellStyle name="40% - Accent3 5 2 2 2 2 4" xfId="6708" xr:uid="{00000000-0005-0000-0000-0000331A0000}"/>
    <cellStyle name="40% - Accent3 5 2 2 2 2 5" xfId="6709" xr:uid="{00000000-0005-0000-0000-0000341A0000}"/>
    <cellStyle name="40% - Accent3 5 2 2 2 3" xfId="6710" xr:uid="{00000000-0005-0000-0000-0000351A0000}"/>
    <cellStyle name="40% - Accent3 5 2 2 2 3 2" xfId="6711" xr:uid="{00000000-0005-0000-0000-0000361A0000}"/>
    <cellStyle name="40% - Accent3 5 2 2 2 4" xfId="6712" xr:uid="{00000000-0005-0000-0000-0000371A0000}"/>
    <cellStyle name="40% - Accent3 5 2 2 2 4 2" xfId="6713" xr:uid="{00000000-0005-0000-0000-0000381A0000}"/>
    <cellStyle name="40% - Accent3 5 2 2 2 5" xfId="6714" xr:uid="{00000000-0005-0000-0000-0000391A0000}"/>
    <cellStyle name="40% - Accent3 5 2 2 2 6" xfId="6715" xr:uid="{00000000-0005-0000-0000-00003A1A0000}"/>
    <cellStyle name="40% - Accent3 5 2 2 3" xfId="6716" xr:uid="{00000000-0005-0000-0000-00003B1A0000}"/>
    <cellStyle name="40% - Accent3 5 2 2 3 2" xfId="6717" xr:uid="{00000000-0005-0000-0000-00003C1A0000}"/>
    <cellStyle name="40% - Accent3 5 2 2 3 2 2" xfId="6718" xr:uid="{00000000-0005-0000-0000-00003D1A0000}"/>
    <cellStyle name="40% - Accent3 5 2 2 3 3" xfId="6719" xr:uid="{00000000-0005-0000-0000-00003E1A0000}"/>
    <cellStyle name="40% - Accent3 5 2 2 3 3 2" xfId="6720" xr:uid="{00000000-0005-0000-0000-00003F1A0000}"/>
    <cellStyle name="40% - Accent3 5 2 2 3 4" xfId="6721" xr:uid="{00000000-0005-0000-0000-0000401A0000}"/>
    <cellStyle name="40% - Accent3 5 2 2 3 5" xfId="6722" xr:uid="{00000000-0005-0000-0000-0000411A0000}"/>
    <cellStyle name="40% - Accent3 5 2 2 4" xfId="6723" xr:uid="{00000000-0005-0000-0000-0000421A0000}"/>
    <cellStyle name="40% - Accent3 5 2 2 4 2" xfId="6724" xr:uid="{00000000-0005-0000-0000-0000431A0000}"/>
    <cellStyle name="40% - Accent3 5 2 2 5" xfId="6725" xr:uid="{00000000-0005-0000-0000-0000441A0000}"/>
    <cellStyle name="40% - Accent3 5 2 2 5 2" xfId="6726" xr:uid="{00000000-0005-0000-0000-0000451A0000}"/>
    <cellStyle name="40% - Accent3 5 2 2 6" xfId="6727" xr:uid="{00000000-0005-0000-0000-0000461A0000}"/>
    <cellStyle name="40% - Accent3 5 2 2 7" xfId="6728" xr:uid="{00000000-0005-0000-0000-0000471A0000}"/>
    <cellStyle name="40% - Accent3 5 2 3" xfId="6729" xr:uid="{00000000-0005-0000-0000-0000481A0000}"/>
    <cellStyle name="40% - Accent3 5 2 3 2" xfId="6730" xr:uid="{00000000-0005-0000-0000-0000491A0000}"/>
    <cellStyle name="40% - Accent3 5 2 3 2 2" xfId="6731" xr:uid="{00000000-0005-0000-0000-00004A1A0000}"/>
    <cellStyle name="40% - Accent3 5 2 3 2 2 2" xfId="6732" xr:uid="{00000000-0005-0000-0000-00004B1A0000}"/>
    <cellStyle name="40% - Accent3 5 2 3 2 3" xfId="6733" xr:uid="{00000000-0005-0000-0000-00004C1A0000}"/>
    <cellStyle name="40% - Accent3 5 2 3 2 3 2" xfId="6734" xr:uid="{00000000-0005-0000-0000-00004D1A0000}"/>
    <cellStyle name="40% - Accent3 5 2 3 2 4" xfId="6735" xr:uid="{00000000-0005-0000-0000-00004E1A0000}"/>
    <cellStyle name="40% - Accent3 5 2 3 2 5" xfId="6736" xr:uid="{00000000-0005-0000-0000-00004F1A0000}"/>
    <cellStyle name="40% - Accent3 5 2 3 3" xfId="6737" xr:uid="{00000000-0005-0000-0000-0000501A0000}"/>
    <cellStyle name="40% - Accent3 5 2 3 3 2" xfId="6738" xr:uid="{00000000-0005-0000-0000-0000511A0000}"/>
    <cellStyle name="40% - Accent3 5 2 3 4" xfId="6739" xr:uid="{00000000-0005-0000-0000-0000521A0000}"/>
    <cellStyle name="40% - Accent3 5 2 3 4 2" xfId="6740" xr:uid="{00000000-0005-0000-0000-0000531A0000}"/>
    <cellStyle name="40% - Accent3 5 2 3 5" xfId="6741" xr:uid="{00000000-0005-0000-0000-0000541A0000}"/>
    <cellStyle name="40% - Accent3 5 2 3 6" xfId="6742" xr:uid="{00000000-0005-0000-0000-0000551A0000}"/>
    <cellStyle name="40% - Accent3 5 2 4" xfId="6743" xr:uid="{00000000-0005-0000-0000-0000561A0000}"/>
    <cellStyle name="40% - Accent3 5 2 4 2" xfId="6744" xr:uid="{00000000-0005-0000-0000-0000571A0000}"/>
    <cellStyle name="40% - Accent3 5 2 4 2 2" xfId="6745" xr:uid="{00000000-0005-0000-0000-0000581A0000}"/>
    <cellStyle name="40% - Accent3 5 2 4 3" xfId="6746" xr:uid="{00000000-0005-0000-0000-0000591A0000}"/>
    <cellStyle name="40% - Accent3 5 2 4 3 2" xfId="6747" xr:uid="{00000000-0005-0000-0000-00005A1A0000}"/>
    <cellStyle name="40% - Accent3 5 2 4 4" xfId="6748" xr:uid="{00000000-0005-0000-0000-00005B1A0000}"/>
    <cellStyle name="40% - Accent3 5 2 4 5" xfId="6749" xr:uid="{00000000-0005-0000-0000-00005C1A0000}"/>
    <cellStyle name="40% - Accent3 5 2 5" xfId="6750" xr:uid="{00000000-0005-0000-0000-00005D1A0000}"/>
    <cellStyle name="40% - Accent3 5 2 5 2" xfId="6751" xr:uid="{00000000-0005-0000-0000-00005E1A0000}"/>
    <cellStyle name="40% - Accent3 5 2 6" xfId="6752" xr:uid="{00000000-0005-0000-0000-00005F1A0000}"/>
    <cellStyle name="40% - Accent3 5 2 6 2" xfId="6753" xr:uid="{00000000-0005-0000-0000-0000601A0000}"/>
    <cellStyle name="40% - Accent3 5 2 7" xfId="6754" xr:uid="{00000000-0005-0000-0000-0000611A0000}"/>
    <cellStyle name="40% - Accent3 5 2 8" xfId="6755" xr:uid="{00000000-0005-0000-0000-0000621A0000}"/>
    <cellStyle name="40% - Accent3 5 3" xfId="6756" xr:uid="{00000000-0005-0000-0000-0000631A0000}"/>
    <cellStyle name="40% - Accent3 5 3 2" xfId="6757" xr:uid="{00000000-0005-0000-0000-0000641A0000}"/>
    <cellStyle name="40% - Accent3 5 3 2 2" xfId="6758" xr:uid="{00000000-0005-0000-0000-0000651A0000}"/>
    <cellStyle name="40% - Accent3 5 3 2 2 2" xfId="6759" xr:uid="{00000000-0005-0000-0000-0000661A0000}"/>
    <cellStyle name="40% - Accent3 5 3 2 2 2 2" xfId="6760" xr:uid="{00000000-0005-0000-0000-0000671A0000}"/>
    <cellStyle name="40% - Accent3 5 3 2 2 3" xfId="6761" xr:uid="{00000000-0005-0000-0000-0000681A0000}"/>
    <cellStyle name="40% - Accent3 5 3 2 2 3 2" xfId="6762" xr:uid="{00000000-0005-0000-0000-0000691A0000}"/>
    <cellStyle name="40% - Accent3 5 3 2 2 4" xfId="6763" xr:uid="{00000000-0005-0000-0000-00006A1A0000}"/>
    <cellStyle name="40% - Accent3 5 3 2 2 5" xfId="6764" xr:uid="{00000000-0005-0000-0000-00006B1A0000}"/>
    <cellStyle name="40% - Accent3 5 3 2 3" xfId="6765" xr:uid="{00000000-0005-0000-0000-00006C1A0000}"/>
    <cellStyle name="40% - Accent3 5 3 2 3 2" xfId="6766" xr:uid="{00000000-0005-0000-0000-00006D1A0000}"/>
    <cellStyle name="40% - Accent3 5 3 2 4" xfId="6767" xr:uid="{00000000-0005-0000-0000-00006E1A0000}"/>
    <cellStyle name="40% - Accent3 5 3 2 4 2" xfId="6768" xr:uid="{00000000-0005-0000-0000-00006F1A0000}"/>
    <cellStyle name="40% - Accent3 5 3 2 5" xfId="6769" xr:uid="{00000000-0005-0000-0000-0000701A0000}"/>
    <cellStyle name="40% - Accent3 5 3 2 6" xfId="6770" xr:uid="{00000000-0005-0000-0000-0000711A0000}"/>
    <cellStyle name="40% - Accent3 5 3 3" xfId="6771" xr:uid="{00000000-0005-0000-0000-0000721A0000}"/>
    <cellStyle name="40% - Accent3 5 3 3 2" xfId="6772" xr:uid="{00000000-0005-0000-0000-0000731A0000}"/>
    <cellStyle name="40% - Accent3 5 3 3 2 2" xfId="6773" xr:uid="{00000000-0005-0000-0000-0000741A0000}"/>
    <cellStyle name="40% - Accent3 5 3 3 3" xfId="6774" xr:uid="{00000000-0005-0000-0000-0000751A0000}"/>
    <cellStyle name="40% - Accent3 5 3 3 3 2" xfId="6775" xr:uid="{00000000-0005-0000-0000-0000761A0000}"/>
    <cellStyle name="40% - Accent3 5 3 3 4" xfId="6776" xr:uid="{00000000-0005-0000-0000-0000771A0000}"/>
    <cellStyle name="40% - Accent3 5 3 3 5" xfId="6777" xr:uid="{00000000-0005-0000-0000-0000781A0000}"/>
    <cellStyle name="40% - Accent3 5 3 4" xfId="6778" xr:uid="{00000000-0005-0000-0000-0000791A0000}"/>
    <cellStyle name="40% - Accent3 5 3 4 2" xfId="6779" xr:uid="{00000000-0005-0000-0000-00007A1A0000}"/>
    <cellStyle name="40% - Accent3 5 3 5" xfId="6780" xr:uid="{00000000-0005-0000-0000-00007B1A0000}"/>
    <cellStyle name="40% - Accent3 5 3 5 2" xfId="6781" xr:uid="{00000000-0005-0000-0000-00007C1A0000}"/>
    <cellStyle name="40% - Accent3 5 3 6" xfId="6782" xr:uid="{00000000-0005-0000-0000-00007D1A0000}"/>
    <cellStyle name="40% - Accent3 5 3 7" xfId="6783" xr:uid="{00000000-0005-0000-0000-00007E1A0000}"/>
    <cellStyle name="40% - Accent3 5 4" xfId="6784" xr:uid="{00000000-0005-0000-0000-00007F1A0000}"/>
    <cellStyle name="40% - Accent3 5 4 2" xfId="6785" xr:uid="{00000000-0005-0000-0000-0000801A0000}"/>
    <cellStyle name="40% - Accent3 5 4 2 2" xfId="6786" xr:uid="{00000000-0005-0000-0000-0000811A0000}"/>
    <cellStyle name="40% - Accent3 5 4 2 2 2" xfId="6787" xr:uid="{00000000-0005-0000-0000-0000821A0000}"/>
    <cellStyle name="40% - Accent3 5 4 2 3" xfId="6788" xr:uid="{00000000-0005-0000-0000-0000831A0000}"/>
    <cellStyle name="40% - Accent3 5 4 2 3 2" xfId="6789" xr:uid="{00000000-0005-0000-0000-0000841A0000}"/>
    <cellStyle name="40% - Accent3 5 4 2 4" xfId="6790" xr:uid="{00000000-0005-0000-0000-0000851A0000}"/>
    <cellStyle name="40% - Accent3 5 4 2 5" xfId="6791" xr:uid="{00000000-0005-0000-0000-0000861A0000}"/>
    <cellStyle name="40% - Accent3 5 4 3" xfId="6792" xr:uid="{00000000-0005-0000-0000-0000871A0000}"/>
    <cellStyle name="40% - Accent3 5 4 3 2" xfId="6793" xr:uid="{00000000-0005-0000-0000-0000881A0000}"/>
    <cellStyle name="40% - Accent3 5 4 4" xfId="6794" xr:uid="{00000000-0005-0000-0000-0000891A0000}"/>
    <cellStyle name="40% - Accent3 5 4 4 2" xfId="6795" xr:uid="{00000000-0005-0000-0000-00008A1A0000}"/>
    <cellStyle name="40% - Accent3 5 4 5" xfId="6796" xr:uid="{00000000-0005-0000-0000-00008B1A0000}"/>
    <cellStyle name="40% - Accent3 5 4 6" xfId="6797" xr:uid="{00000000-0005-0000-0000-00008C1A0000}"/>
    <cellStyle name="40% - Accent3 5 5" xfId="6798" xr:uid="{00000000-0005-0000-0000-00008D1A0000}"/>
    <cellStyle name="40% - Accent3 5 5 2" xfId="6799" xr:uid="{00000000-0005-0000-0000-00008E1A0000}"/>
    <cellStyle name="40% - Accent3 5 5 2 2" xfId="6800" xr:uid="{00000000-0005-0000-0000-00008F1A0000}"/>
    <cellStyle name="40% - Accent3 5 5 2 2 2" xfId="6801" xr:uid="{00000000-0005-0000-0000-0000901A0000}"/>
    <cellStyle name="40% - Accent3 5 5 2 3" xfId="6802" xr:uid="{00000000-0005-0000-0000-0000911A0000}"/>
    <cellStyle name="40% - Accent3 5 5 3" xfId="6803" xr:uid="{00000000-0005-0000-0000-0000921A0000}"/>
    <cellStyle name="40% - Accent3 5 5 3 2" xfId="6804" xr:uid="{00000000-0005-0000-0000-0000931A0000}"/>
    <cellStyle name="40% - Accent3 5 5 4" xfId="6805" xr:uid="{00000000-0005-0000-0000-0000941A0000}"/>
    <cellStyle name="40% - Accent3 5 5 4 2" xfId="6806" xr:uid="{00000000-0005-0000-0000-0000951A0000}"/>
    <cellStyle name="40% - Accent3 5 5 5" xfId="6807" xr:uid="{00000000-0005-0000-0000-0000961A0000}"/>
    <cellStyle name="40% - Accent3 5 5 6" xfId="6808" xr:uid="{00000000-0005-0000-0000-0000971A0000}"/>
    <cellStyle name="40% - Accent3 5 6" xfId="6809" xr:uid="{00000000-0005-0000-0000-0000981A0000}"/>
    <cellStyle name="40% - Accent3 5 6 2" xfId="6810" xr:uid="{00000000-0005-0000-0000-0000991A0000}"/>
    <cellStyle name="40% - Accent3 5 7" xfId="6811" xr:uid="{00000000-0005-0000-0000-00009A1A0000}"/>
    <cellStyle name="40% - Accent3 5 8" xfId="6812" xr:uid="{00000000-0005-0000-0000-00009B1A0000}"/>
    <cellStyle name="40% - Accent3 6" xfId="6813" xr:uid="{00000000-0005-0000-0000-00009C1A0000}"/>
    <cellStyle name="40% - Accent3 6 2" xfId="6814" xr:uid="{00000000-0005-0000-0000-00009D1A0000}"/>
    <cellStyle name="40% - Accent3 6 2 2" xfId="6815" xr:uid="{00000000-0005-0000-0000-00009E1A0000}"/>
    <cellStyle name="40% - Accent3 6 2 2 2" xfId="6816" xr:uid="{00000000-0005-0000-0000-00009F1A0000}"/>
    <cellStyle name="40% - Accent3 6 2 2 2 2" xfId="6817" xr:uid="{00000000-0005-0000-0000-0000A01A0000}"/>
    <cellStyle name="40% - Accent3 6 2 2 2 2 2" xfId="6818" xr:uid="{00000000-0005-0000-0000-0000A11A0000}"/>
    <cellStyle name="40% - Accent3 6 2 2 2 3" xfId="6819" xr:uid="{00000000-0005-0000-0000-0000A21A0000}"/>
    <cellStyle name="40% - Accent3 6 2 2 2 3 2" xfId="6820" xr:uid="{00000000-0005-0000-0000-0000A31A0000}"/>
    <cellStyle name="40% - Accent3 6 2 2 2 4" xfId="6821" xr:uid="{00000000-0005-0000-0000-0000A41A0000}"/>
    <cellStyle name="40% - Accent3 6 2 2 2 5" xfId="6822" xr:uid="{00000000-0005-0000-0000-0000A51A0000}"/>
    <cellStyle name="40% - Accent3 6 2 2 3" xfId="6823" xr:uid="{00000000-0005-0000-0000-0000A61A0000}"/>
    <cellStyle name="40% - Accent3 6 2 2 3 2" xfId="6824" xr:uid="{00000000-0005-0000-0000-0000A71A0000}"/>
    <cellStyle name="40% - Accent3 6 2 2 4" xfId="6825" xr:uid="{00000000-0005-0000-0000-0000A81A0000}"/>
    <cellStyle name="40% - Accent3 6 2 2 4 2" xfId="6826" xr:uid="{00000000-0005-0000-0000-0000A91A0000}"/>
    <cellStyle name="40% - Accent3 6 2 2 5" xfId="6827" xr:uid="{00000000-0005-0000-0000-0000AA1A0000}"/>
    <cellStyle name="40% - Accent3 6 2 2 6" xfId="6828" xr:uid="{00000000-0005-0000-0000-0000AB1A0000}"/>
    <cellStyle name="40% - Accent3 6 2 3" xfId="6829" xr:uid="{00000000-0005-0000-0000-0000AC1A0000}"/>
    <cellStyle name="40% - Accent3 6 2 3 2" xfId="6830" xr:uid="{00000000-0005-0000-0000-0000AD1A0000}"/>
    <cellStyle name="40% - Accent3 6 2 3 2 2" xfId="6831" xr:uid="{00000000-0005-0000-0000-0000AE1A0000}"/>
    <cellStyle name="40% - Accent3 6 2 3 3" xfId="6832" xr:uid="{00000000-0005-0000-0000-0000AF1A0000}"/>
    <cellStyle name="40% - Accent3 6 2 3 3 2" xfId="6833" xr:uid="{00000000-0005-0000-0000-0000B01A0000}"/>
    <cellStyle name="40% - Accent3 6 2 3 4" xfId="6834" xr:uid="{00000000-0005-0000-0000-0000B11A0000}"/>
    <cellStyle name="40% - Accent3 6 2 3 5" xfId="6835" xr:uid="{00000000-0005-0000-0000-0000B21A0000}"/>
    <cellStyle name="40% - Accent3 6 2 4" xfId="6836" xr:uid="{00000000-0005-0000-0000-0000B31A0000}"/>
    <cellStyle name="40% - Accent3 6 2 4 2" xfId="6837" xr:uid="{00000000-0005-0000-0000-0000B41A0000}"/>
    <cellStyle name="40% - Accent3 6 2 5" xfId="6838" xr:uid="{00000000-0005-0000-0000-0000B51A0000}"/>
    <cellStyle name="40% - Accent3 6 2 5 2" xfId="6839" xr:uid="{00000000-0005-0000-0000-0000B61A0000}"/>
    <cellStyle name="40% - Accent3 6 2 6" xfId="6840" xr:uid="{00000000-0005-0000-0000-0000B71A0000}"/>
    <cellStyle name="40% - Accent3 6 2 7" xfId="6841" xr:uid="{00000000-0005-0000-0000-0000B81A0000}"/>
    <cellStyle name="40% - Accent3 6 3" xfId="6842" xr:uid="{00000000-0005-0000-0000-0000B91A0000}"/>
    <cellStyle name="40% - Accent3 6 3 2" xfId="6843" xr:uid="{00000000-0005-0000-0000-0000BA1A0000}"/>
    <cellStyle name="40% - Accent3 6 3 2 2" xfId="6844" xr:uid="{00000000-0005-0000-0000-0000BB1A0000}"/>
    <cellStyle name="40% - Accent3 6 3 2 2 2" xfId="6845" xr:uid="{00000000-0005-0000-0000-0000BC1A0000}"/>
    <cellStyle name="40% - Accent3 6 3 2 3" xfId="6846" xr:uid="{00000000-0005-0000-0000-0000BD1A0000}"/>
    <cellStyle name="40% - Accent3 6 3 2 3 2" xfId="6847" xr:uid="{00000000-0005-0000-0000-0000BE1A0000}"/>
    <cellStyle name="40% - Accent3 6 3 2 4" xfId="6848" xr:uid="{00000000-0005-0000-0000-0000BF1A0000}"/>
    <cellStyle name="40% - Accent3 6 3 2 5" xfId="6849" xr:uid="{00000000-0005-0000-0000-0000C01A0000}"/>
    <cellStyle name="40% - Accent3 6 3 3" xfId="6850" xr:uid="{00000000-0005-0000-0000-0000C11A0000}"/>
    <cellStyle name="40% - Accent3 6 3 3 2" xfId="6851" xr:uid="{00000000-0005-0000-0000-0000C21A0000}"/>
    <cellStyle name="40% - Accent3 6 3 4" xfId="6852" xr:uid="{00000000-0005-0000-0000-0000C31A0000}"/>
    <cellStyle name="40% - Accent3 6 3 4 2" xfId="6853" xr:uid="{00000000-0005-0000-0000-0000C41A0000}"/>
    <cellStyle name="40% - Accent3 6 3 5" xfId="6854" xr:uid="{00000000-0005-0000-0000-0000C51A0000}"/>
    <cellStyle name="40% - Accent3 6 3 6" xfId="6855" xr:uid="{00000000-0005-0000-0000-0000C61A0000}"/>
    <cellStyle name="40% - Accent3 6 4" xfId="6856" xr:uid="{00000000-0005-0000-0000-0000C71A0000}"/>
    <cellStyle name="40% - Accent3 6 4 2" xfId="6857" xr:uid="{00000000-0005-0000-0000-0000C81A0000}"/>
    <cellStyle name="40% - Accent3 6 4 2 2" xfId="6858" xr:uid="{00000000-0005-0000-0000-0000C91A0000}"/>
    <cellStyle name="40% - Accent3 6 4 3" xfId="6859" xr:uid="{00000000-0005-0000-0000-0000CA1A0000}"/>
    <cellStyle name="40% - Accent3 6 4 3 2" xfId="6860" xr:uid="{00000000-0005-0000-0000-0000CB1A0000}"/>
    <cellStyle name="40% - Accent3 6 4 4" xfId="6861" xr:uid="{00000000-0005-0000-0000-0000CC1A0000}"/>
    <cellStyle name="40% - Accent3 6 4 5" xfId="6862" xr:uid="{00000000-0005-0000-0000-0000CD1A0000}"/>
    <cellStyle name="40% - Accent3 6 5" xfId="6863" xr:uid="{00000000-0005-0000-0000-0000CE1A0000}"/>
    <cellStyle name="40% - Accent3 6 5 2" xfId="6864" xr:uid="{00000000-0005-0000-0000-0000CF1A0000}"/>
    <cellStyle name="40% - Accent3 6 6" xfId="6865" xr:uid="{00000000-0005-0000-0000-0000D01A0000}"/>
    <cellStyle name="40% - Accent3 6 6 2" xfId="6866" xr:uid="{00000000-0005-0000-0000-0000D11A0000}"/>
    <cellStyle name="40% - Accent3 6 7" xfId="6867" xr:uid="{00000000-0005-0000-0000-0000D21A0000}"/>
    <cellStyle name="40% - Accent3 6 8" xfId="6868" xr:uid="{00000000-0005-0000-0000-0000D31A0000}"/>
    <cellStyle name="40% - Accent3 6 9" xfId="6869" xr:uid="{00000000-0005-0000-0000-0000D41A0000}"/>
    <cellStyle name="40% - Accent3 7" xfId="6870" xr:uid="{00000000-0005-0000-0000-0000D51A0000}"/>
    <cellStyle name="40% - Accent3 7 2" xfId="6871" xr:uid="{00000000-0005-0000-0000-0000D61A0000}"/>
    <cellStyle name="40% - Accent3 7 2 2" xfId="6872" xr:uid="{00000000-0005-0000-0000-0000D71A0000}"/>
    <cellStyle name="40% - Accent3 7 2 2 2" xfId="6873" xr:uid="{00000000-0005-0000-0000-0000D81A0000}"/>
    <cellStyle name="40% - Accent3 7 2 2 2 2" xfId="6874" xr:uid="{00000000-0005-0000-0000-0000D91A0000}"/>
    <cellStyle name="40% - Accent3 7 2 2 2 2 2" xfId="6875" xr:uid="{00000000-0005-0000-0000-0000DA1A0000}"/>
    <cellStyle name="40% - Accent3 7 2 2 2 3" xfId="6876" xr:uid="{00000000-0005-0000-0000-0000DB1A0000}"/>
    <cellStyle name="40% - Accent3 7 2 2 2 3 2" xfId="6877" xr:uid="{00000000-0005-0000-0000-0000DC1A0000}"/>
    <cellStyle name="40% - Accent3 7 2 2 2 4" xfId="6878" xr:uid="{00000000-0005-0000-0000-0000DD1A0000}"/>
    <cellStyle name="40% - Accent3 7 2 2 2 5" xfId="6879" xr:uid="{00000000-0005-0000-0000-0000DE1A0000}"/>
    <cellStyle name="40% - Accent3 7 2 2 3" xfId="6880" xr:uid="{00000000-0005-0000-0000-0000DF1A0000}"/>
    <cellStyle name="40% - Accent3 7 2 2 3 2" xfId="6881" xr:uid="{00000000-0005-0000-0000-0000E01A0000}"/>
    <cellStyle name="40% - Accent3 7 2 2 4" xfId="6882" xr:uid="{00000000-0005-0000-0000-0000E11A0000}"/>
    <cellStyle name="40% - Accent3 7 2 2 4 2" xfId="6883" xr:uid="{00000000-0005-0000-0000-0000E21A0000}"/>
    <cellStyle name="40% - Accent3 7 2 2 5" xfId="6884" xr:uid="{00000000-0005-0000-0000-0000E31A0000}"/>
    <cellStyle name="40% - Accent3 7 2 2 6" xfId="6885" xr:uid="{00000000-0005-0000-0000-0000E41A0000}"/>
    <cellStyle name="40% - Accent3 7 2 3" xfId="6886" xr:uid="{00000000-0005-0000-0000-0000E51A0000}"/>
    <cellStyle name="40% - Accent3 7 2 3 2" xfId="6887" xr:uid="{00000000-0005-0000-0000-0000E61A0000}"/>
    <cellStyle name="40% - Accent3 7 2 3 2 2" xfId="6888" xr:uid="{00000000-0005-0000-0000-0000E71A0000}"/>
    <cellStyle name="40% - Accent3 7 2 3 3" xfId="6889" xr:uid="{00000000-0005-0000-0000-0000E81A0000}"/>
    <cellStyle name="40% - Accent3 7 2 3 3 2" xfId="6890" xr:uid="{00000000-0005-0000-0000-0000E91A0000}"/>
    <cellStyle name="40% - Accent3 7 2 3 4" xfId="6891" xr:uid="{00000000-0005-0000-0000-0000EA1A0000}"/>
    <cellStyle name="40% - Accent3 7 2 3 5" xfId="6892" xr:uid="{00000000-0005-0000-0000-0000EB1A0000}"/>
    <cellStyle name="40% - Accent3 7 2 4" xfId="6893" xr:uid="{00000000-0005-0000-0000-0000EC1A0000}"/>
    <cellStyle name="40% - Accent3 7 2 4 2" xfId="6894" xr:uid="{00000000-0005-0000-0000-0000ED1A0000}"/>
    <cellStyle name="40% - Accent3 7 2 5" xfId="6895" xr:uid="{00000000-0005-0000-0000-0000EE1A0000}"/>
    <cellStyle name="40% - Accent3 7 2 5 2" xfId="6896" xr:uid="{00000000-0005-0000-0000-0000EF1A0000}"/>
    <cellStyle name="40% - Accent3 7 2 6" xfId="6897" xr:uid="{00000000-0005-0000-0000-0000F01A0000}"/>
    <cellStyle name="40% - Accent3 7 2 7" xfId="6898" xr:uid="{00000000-0005-0000-0000-0000F11A0000}"/>
    <cellStyle name="40% - Accent3 7 3" xfId="6899" xr:uid="{00000000-0005-0000-0000-0000F21A0000}"/>
    <cellStyle name="40% - Accent3 7 3 2" xfId="6900" xr:uid="{00000000-0005-0000-0000-0000F31A0000}"/>
    <cellStyle name="40% - Accent3 7 3 2 2" xfId="6901" xr:uid="{00000000-0005-0000-0000-0000F41A0000}"/>
    <cellStyle name="40% - Accent3 7 3 2 2 2" xfId="6902" xr:uid="{00000000-0005-0000-0000-0000F51A0000}"/>
    <cellStyle name="40% - Accent3 7 3 2 3" xfId="6903" xr:uid="{00000000-0005-0000-0000-0000F61A0000}"/>
    <cellStyle name="40% - Accent3 7 3 2 3 2" xfId="6904" xr:uid="{00000000-0005-0000-0000-0000F71A0000}"/>
    <cellStyle name="40% - Accent3 7 3 2 4" xfId="6905" xr:uid="{00000000-0005-0000-0000-0000F81A0000}"/>
    <cellStyle name="40% - Accent3 7 3 2 5" xfId="6906" xr:uid="{00000000-0005-0000-0000-0000F91A0000}"/>
    <cellStyle name="40% - Accent3 7 3 3" xfId="6907" xr:uid="{00000000-0005-0000-0000-0000FA1A0000}"/>
    <cellStyle name="40% - Accent3 7 3 3 2" xfId="6908" xr:uid="{00000000-0005-0000-0000-0000FB1A0000}"/>
    <cellStyle name="40% - Accent3 7 3 4" xfId="6909" xr:uid="{00000000-0005-0000-0000-0000FC1A0000}"/>
    <cellStyle name="40% - Accent3 7 3 4 2" xfId="6910" xr:uid="{00000000-0005-0000-0000-0000FD1A0000}"/>
    <cellStyle name="40% - Accent3 7 3 5" xfId="6911" xr:uid="{00000000-0005-0000-0000-0000FE1A0000}"/>
    <cellStyle name="40% - Accent3 7 3 6" xfId="6912" xr:uid="{00000000-0005-0000-0000-0000FF1A0000}"/>
    <cellStyle name="40% - Accent3 7 4" xfId="6913" xr:uid="{00000000-0005-0000-0000-0000001B0000}"/>
    <cellStyle name="40% - Accent3 7 4 2" xfId="6914" xr:uid="{00000000-0005-0000-0000-0000011B0000}"/>
    <cellStyle name="40% - Accent3 7 4 2 2" xfId="6915" xr:uid="{00000000-0005-0000-0000-0000021B0000}"/>
    <cellStyle name="40% - Accent3 7 4 3" xfId="6916" xr:uid="{00000000-0005-0000-0000-0000031B0000}"/>
    <cellStyle name="40% - Accent3 7 4 3 2" xfId="6917" xr:uid="{00000000-0005-0000-0000-0000041B0000}"/>
    <cellStyle name="40% - Accent3 7 4 4" xfId="6918" xr:uid="{00000000-0005-0000-0000-0000051B0000}"/>
    <cellStyle name="40% - Accent3 7 4 5" xfId="6919" xr:uid="{00000000-0005-0000-0000-0000061B0000}"/>
    <cellStyle name="40% - Accent3 7 5" xfId="6920" xr:uid="{00000000-0005-0000-0000-0000071B0000}"/>
    <cellStyle name="40% - Accent3 7 5 2" xfId="6921" xr:uid="{00000000-0005-0000-0000-0000081B0000}"/>
    <cellStyle name="40% - Accent3 7 6" xfId="6922" xr:uid="{00000000-0005-0000-0000-0000091B0000}"/>
    <cellStyle name="40% - Accent3 7 6 2" xfId="6923" xr:uid="{00000000-0005-0000-0000-00000A1B0000}"/>
    <cellStyle name="40% - Accent3 7 7" xfId="6924" xr:uid="{00000000-0005-0000-0000-00000B1B0000}"/>
    <cellStyle name="40% - Accent3 7 8" xfId="6925" xr:uid="{00000000-0005-0000-0000-00000C1B0000}"/>
    <cellStyle name="40% - Accent3 7 9" xfId="6926" xr:uid="{00000000-0005-0000-0000-00000D1B0000}"/>
    <cellStyle name="40% - Accent3 8" xfId="6927" xr:uid="{00000000-0005-0000-0000-00000E1B0000}"/>
    <cellStyle name="40% - Accent3 8 2" xfId="6928" xr:uid="{00000000-0005-0000-0000-00000F1B0000}"/>
    <cellStyle name="40% - Accent3 8 2 2" xfId="6929" xr:uid="{00000000-0005-0000-0000-0000101B0000}"/>
    <cellStyle name="40% - Accent3 8 2 2 2" xfId="6930" xr:uid="{00000000-0005-0000-0000-0000111B0000}"/>
    <cellStyle name="40% - Accent3 8 2 2 2 2" xfId="6931" xr:uid="{00000000-0005-0000-0000-0000121B0000}"/>
    <cellStyle name="40% - Accent3 8 2 2 2 2 2" xfId="6932" xr:uid="{00000000-0005-0000-0000-0000131B0000}"/>
    <cellStyle name="40% - Accent3 8 2 2 2 3" xfId="6933" xr:uid="{00000000-0005-0000-0000-0000141B0000}"/>
    <cellStyle name="40% - Accent3 8 2 2 2 3 2" xfId="6934" xr:uid="{00000000-0005-0000-0000-0000151B0000}"/>
    <cellStyle name="40% - Accent3 8 2 2 2 4" xfId="6935" xr:uid="{00000000-0005-0000-0000-0000161B0000}"/>
    <cellStyle name="40% - Accent3 8 2 2 2 5" xfId="6936" xr:uid="{00000000-0005-0000-0000-0000171B0000}"/>
    <cellStyle name="40% - Accent3 8 2 2 3" xfId="6937" xr:uid="{00000000-0005-0000-0000-0000181B0000}"/>
    <cellStyle name="40% - Accent3 8 2 2 3 2" xfId="6938" xr:uid="{00000000-0005-0000-0000-0000191B0000}"/>
    <cellStyle name="40% - Accent3 8 2 2 4" xfId="6939" xr:uid="{00000000-0005-0000-0000-00001A1B0000}"/>
    <cellStyle name="40% - Accent3 8 2 2 4 2" xfId="6940" xr:uid="{00000000-0005-0000-0000-00001B1B0000}"/>
    <cellStyle name="40% - Accent3 8 2 2 5" xfId="6941" xr:uid="{00000000-0005-0000-0000-00001C1B0000}"/>
    <cellStyle name="40% - Accent3 8 2 2 6" xfId="6942" xr:uid="{00000000-0005-0000-0000-00001D1B0000}"/>
    <cellStyle name="40% - Accent3 8 2 3" xfId="6943" xr:uid="{00000000-0005-0000-0000-00001E1B0000}"/>
    <cellStyle name="40% - Accent3 8 2 3 2" xfId="6944" xr:uid="{00000000-0005-0000-0000-00001F1B0000}"/>
    <cellStyle name="40% - Accent3 8 2 3 2 2" xfId="6945" xr:uid="{00000000-0005-0000-0000-0000201B0000}"/>
    <cellStyle name="40% - Accent3 8 2 3 3" xfId="6946" xr:uid="{00000000-0005-0000-0000-0000211B0000}"/>
    <cellStyle name="40% - Accent3 8 2 3 3 2" xfId="6947" xr:uid="{00000000-0005-0000-0000-0000221B0000}"/>
    <cellStyle name="40% - Accent3 8 2 3 4" xfId="6948" xr:uid="{00000000-0005-0000-0000-0000231B0000}"/>
    <cellStyle name="40% - Accent3 8 2 3 5" xfId="6949" xr:uid="{00000000-0005-0000-0000-0000241B0000}"/>
    <cellStyle name="40% - Accent3 8 2 4" xfId="6950" xr:uid="{00000000-0005-0000-0000-0000251B0000}"/>
    <cellStyle name="40% - Accent3 8 2 4 2" xfId="6951" xr:uid="{00000000-0005-0000-0000-0000261B0000}"/>
    <cellStyle name="40% - Accent3 8 2 5" xfId="6952" xr:uid="{00000000-0005-0000-0000-0000271B0000}"/>
    <cellStyle name="40% - Accent3 8 2 5 2" xfId="6953" xr:uid="{00000000-0005-0000-0000-0000281B0000}"/>
    <cellStyle name="40% - Accent3 8 2 6" xfId="6954" xr:uid="{00000000-0005-0000-0000-0000291B0000}"/>
    <cellStyle name="40% - Accent3 8 2 7" xfId="6955" xr:uid="{00000000-0005-0000-0000-00002A1B0000}"/>
    <cellStyle name="40% - Accent3 8 3" xfId="6956" xr:uid="{00000000-0005-0000-0000-00002B1B0000}"/>
    <cellStyle name="40% - Accent3 8 3 2" xfId="6957" xr:uid="{00000000-0005-0000-0000-00002C1B0000}"/>
    <cellStyle name="40% - Accent3 8 3 2 2" xfId="6958" xr:uid="{00000000-0005-0000-0000-00002D1B0000}"/>
    <cellStyle name="40% - Accent3 8 3 2 2 2" xfId="6959" xr:uid="{00000000-0005-0000-0000-00002E1B0000}"/>
    <cellStyle name="40% - Accent3 8 3 2 3" xfId="6960" xr:uid="{00000000-0005-0000-0000-00002F1B0000}"/>
    <cellStyle name="40% - Accent3 8 3 2 3 2" xfId="6961" xr:uid="{00000000-0005-0000-0000-0000301B0000}"/>
    <cellStyle name="40% - Accent3 8 3 2 4" xfId="6962" xr:uid="{00000000-0005-0000-0000-0000311B0000}"/>
    <cellStyle name="40% - Accent3 8 3 2 5" xfId="6963" xr:uid="{00000000-0005-0000-0000-0000321B0000}"/>
    <cellStyle name="40% - Accent3 8 3 3" xfId="6964" xr:uid="{00000000-0005-0000-0000-0000331B0000}"/>
    <cellStyle name="40% - Accent3 8 3 3 2" xfId="6965" xr:uid="{00000000-0005-0000-0000-0000341B0000}"/>
    <cellStyle name="40% - Accent3 8 3 4" xfId="6966" xr:uid="{00000000-0005-0000-0000-0000351B0000}"/>
    <cellStyle name="40% - Accent3 8 3 4 2" xfId="6967" xr:uid="{00000000-0005-0000-0000-0000361B0000}"/>
    <cellStyle name="40% - Accent3 8 3 5" xfId="6968" xr:uid="{00000000-0005-0000-0000-0000371B0000}"/>
    <cellStyle name="40% - Accent3 8 3 6" xfId="6969" xr:uid="{00000000-0005-0000-0000-0000381B0000}"/>
    <cellStyle name="40% - Accent3 8 4" xfId="6970" xr:uid="{00000000-0005-0000-0000-0000391B0000}"/>
    <cellStyle name="40% - Accent3 8 4 2" xfId="6971" xr:uid="{00000000-0005-0000-0000-00003A1B0000}"/>
    <cellStyle name="40% - Accent3 8 4 2 2" xfId="6972" xr:uid="{00000000-0005-0000-0000-00003B1B0000}"/>
    <cellStyle name="40% - Accent3 8 4 3" xfId="6973" xr:uid="{00000000-0005-0000-0000-00003C1B0000}"/>
    <cellStyle name="40% - Accent3 8 4 3 2" xfId="6974" xr:uid="{00000000-0005-0000-0000-00003D1B0000}"/>
    <cellStyle name="40% - Accent3 8 4 4" xfId="6975" xr:uid="{00000000-0005-0000-0000-00003E1B0000}"/>
    <cellStyle name="40% - Accent3 8 4 5" xfId="6976" xr:uid="{00000000-0005-0000-0000-00003F1B0000}"/>
    <cellStyle name="40% - Accent3 8 5" xfId="6977" xr:uid="{00000000-0005-0000-0000-0000401B0000}"/>
    <cellStyle name="40% - Accent3 8 5 2" xfId="6978" xr:uid="{00000000-0005-0000-0000-0000411B0000}"/>
    <cellStyle name="40% - Accent3 8 6" xfId="6979" xr:uid="{00000000-0005-0000-0000-0000421B0000}"/>
    <cellStyle name="40% - Accent3 8 6 2" xfId="6980" xr:uid="{00000000-0005-0000-0000-0000431B0000}"/>
    <cellStyle name="40% - Accent3 8 7" xfId="6981" xr:uid="{00000000-0005-0000-0000-0000441B0000}"/>
    <cellStyle name="40% - Accent3 8 8" xfId="6982" xr:uid="{00000000-0005-0000-0000-0000451B0000}"/>
    <cellStyle name="40% - Accent3 9" xfId="6983" xr:uid="{00000000-0005-0000-0000-0000461B0000}"/>
    <cellStyle name="40% - Accent3 9 2" xfId="6984" xr:uid="{00000000-0005-0000-0000-0000471B0000}"/>
    <cellStyle name="40% - Accent3 9 2 2" xfId="6985" xr:uid="{00000000-0005-0000-0000-0000481B0000}"/>
    <cellStyle name="40% - Accent3 9 2 2 2" xfId="6986" xr:uid="{00000000-0005-0000-0000-0000491B0000}"/>
    <cellStyle name="40% - Accent3 9 2 2 2 2" xfId="6987" xr:uid="{00000000-0005-0000-0000-00004A1B0000}"/>
    <cellStyle name="40% - Accent3 9 2 2 2 2 2" xfId="6988" xr:uid="{00000000-0005-0000-0000-00004B1B0000}"/>
    <cellStyle name="40% - Accent3 9 2 2 2 3" xfId="6989" xr:uid="{00000000-0005-0000-0000-00004C1B0000}"/>
    <cellStyle name="40% - Accent3 9 2 2 2 3 2" xfId="6990" xr:uid="{00000000-0005-0000-0000-00004D1B0000}"/>
    <cellStyle name="40% - Accent3 9 2 2 2 4" xfId="6991" xr:uid="{00000000-0005-0000-0000-00004E1B0000}"/>
    <cellStyle name="40% - Accent3 9 2 2 2 5" xfId="6992" xr:uid="{00000000-0005-0000-0000-00004F1B0000}"/>
    <cellStyle name="40% - Accent3 9 2 2 3" xfId="6993" xr:uid="{00000000-0005-0000-0000-0000501B0000}"/>
    <cellStyle name="40% - Accent3 9 2 2 3 2" xfId="6994" xr:uid="{00000000-0005-0000-0000-0000511B0000}"/>
    <cellStyle name="40% - Accent3 9 2 2 4" xfId="6995" xr:uid="{00000000-0005-0000-0000-0000521B0000}"/>
    <cellStyle name="40% - Accent3 9 2 2 4 2" xfId="6996" xr:uid="{00000000-0005-0000-0000-0000531B0000}"/>
    <cellStyle name="40% - Accent3 9 2 2 5" xfId="6997" xr:uid="{00000000-0005-0000-0000-0000541B0000}"/>
    <cellStyle name="40% - Accent3 9 2 2 6" xfId="6998" xr:uid="{00000000-0005-0000-0000-0000551B0000}"/>
    <cellStyle name="40% - Accent3 9 2 3" xfId="6999" xr:uid="{00000000-0005-0000-0000-0000561B0000}"/>
    <cellStyle name="40% - Accent3 9 2 3 2" xfId="7000" xr:uid="{00000000-0005-0000-0000-0000571B0000}"/>
    <cellStyle name="40% - Accent3 9 2 3 2 2" xfId="7001" xr:uid="{00000000-0005-0000-0000-0000581B0000}"/>
    <cellStyle name="40% - Accent3 9 2 3 3" xfId="7002" xr:uid="{00000000-0005-0000-0000-0000591B0000}"/>
    <cellStyle name="40% - Accent3 9 2 3 3 2" xfId="7003" xr:uid="{00000000-0005-0000-0000-00005A1B0000}"/>
    <cellStyle name="40% - Accent3 9 2 3 4" xfId="7004" xr:uid="{00000000-0005-0000-0000-00005B1B0000}"/>
    <cellStyle name="40% - Accent3 9 2 3 5" xfId="7005" xr:uid="{00000000-0005-0000-0000-00005C1B0000}"/>
    <cellStyle name="40% - Accent3 9 2 4" xfId="7006" xr:uid="{00000000-0005-0000-0000-00005D1B0000}"/>
    <cellStyle name="40% - Accent3 9 2 4 2" xfId="7007" xr:uid="{00000000-0005-0000-0000-00005E1B0000}"/>
    <cellStyle name="40% - Accent3 9 2 5" xfId="7008" xr:uid="{00000000-0005-0000-0000-00005F1B0000}"/>
    <cellStyle name="40% - Accent3 9 2 5 2" xfId="7009" xr:uid="{00000000-0005-0000-0000-0000601B0000}"/>
    <cellStyle name="40% - Accent3 9 2 6" xfId="7010" xr:uid="{00000000-0005-0000-0000-0000611B0000}"/>
    <cellStyle name="40% - Accent3 9 2 7" xfId="7011" xr:uid="{00000000-0005-0000-0000-0000621B0000}"/>
    <cellStyle name="40% - Accent3 9 3" xfId="7012" xr:uid="{00000000-0005-0000-0000-0000631B0000}"/>
    <cellStyle name="40% - Accent3 9 3 2" xfId="7013" xr:uid="{00000000-0005-0000-0000-0000641B0000}"/>
    <cellStyle name="40% - Accent3 9 3 2 2" xfId="7014" xr:uid="{00000000-0005-0000-0000-0000651B0000}"/>
    <cellStyle name="40% - Accent3 9 3 2 2 2" xfId="7015" xr:uid="{00000000-0005-0000-0000-0000661B0000}"/>
    <cellStyle name="40% - Accent3 9 3 2 3" xfId="7016" xr:uid="{00000000-0005-0000-0000-0000671B0000}"/>
    <cellStyle name="40% - Accent3 9 3 2 3 2" xfId="7017" xr:uid="{00000000-0005-0000-0000-0000681B0000}"/>
    <cellStyle name="40% - Accent3 9 3 2 4" xfId="7018" xr:uid="{00000000-0005-0000-0000-0000691B0000}"/>
    <cellStyle name="40% - Accent3 9 3 2 5" xfId="7019" xr:uid="{00000000-0005-0000-0000-00006A1B0000}"/>
    <cellStyle name="40% - Accent3 9 3 3" xfId="7020" xr:uid="{00000000-0005-0000-0000-00006B1B0000}"/>
    <cellStyle name="40% - Accent3 9 3 3 2" xfId="7021" xr:uid="{00000000-0005-0000-0000-00006C1B0000}"/>
    <cellStyle name="40% - Accent3 9 3 4" xfId="7022" xr:uid="{00000000-0005-0000-0000-00006D1B0000}"/>
    <cellStyle name="40% - Accent3 9 3 4 2" xfId="7023" xr:uid="{00000000-0005-0000-0000-00006E1B0000}"/>
    <cellStyle name="40% - Accent3 9 3 5" xfId="7024" xr:uid="{00000000-0005-0000-0000-00006F1B0000}"/>
    <cellStyle name="40% - Accent3 9 3 6" xfId="7025" xr:uid="{00000000-0005-0000-0000-0000701B0000}"/>
    <cellStyle name="40% - Accent3 9 4" xfId="7026" xr:uid="{00000000-0005-0000-0000-0000711B0000}"/>
    <cellStyle name="40% - Accent3 9 4 2" xfId="7027" xr:uid="{00000000-0005-0000-0000-0000721B0000}"/>
    <cellStyle name="40% - Accent3 9 4 2 2" xfId="7028" xr:uid="{00000000-0005-0000-0000-0000731B0000}"/>
    <cellStyle name="40% - Accent3 9 4 3" xfId="7029" xr:uid="{00000000-0005-0000-0000-0000741B0000}"/>
    <cellStyle name="40% - Accent3 9 4 3 2" xfId="7030" xr:uid="{00000000-0005-0000-0000-0000751B0000}"/>
    <cellStyle name="40% - Accent3 9 4 4" xfId="7031" xr:uid="{00000000-0005-0000-0000-0000761B0000}"/>
    <cellStyle name="40% - Accent3 9 4 5" xfId="7032" xr:uid="{00000000-0005-0000-0000-0000771B0000}"/>
    <cellStyle name="40% - Accent3 9 5" xfId="7033" xr:uid="{00000000-0005-0000-0000-0000781B0000}"/>
    <cellStyle name="40% - Accent3 9 5 2" xfId="7034" xr:uid="{00000000-0005-0000-0000-0000791B0000}"/>
    <cellStyle name="40% - Accent3 9 6" xfId="7035" xr:uid="{00000000-0005-0000-0000-00007A1B0000}"/>
    <cellStyle name="40% - Accent3 9 6 2" xfId="7036" xr:uid="{00000000-0005-0000-0000-00007B1B0000}"/>
    <cellStyle name="40% - Accent3 9 7" xfId="7037" xr:uid="{00000000-0005-0000-0000-00007C1B0000}"/>
    <cellStyle name="40% - Accent3 9 8" xfId="7038" xr:uid="{00000000-0005-0000-0000-00007D1B0000}"/>
    <cellStyle name="40% - Accent4 10" xfId="7039" xr:uid="{00000000-0005-0000-0000-00007E1B0000}"/>
    <cellStyle name="40% - Accent4 10 2" xfId="7040" xr:uid="{00000000-0005-0000-0000-00007F1B0000}"/>
    <cellStyle name="40% - Accent4 10 2 2" xfId="7041" xr:uid="{00000000-0005-0000-0000-0000801B0000}"/>
    <cellStyle name="40% - Accent4 10 2 2 2" xfId="7042" xr:uid="{00000000-0005-0000-0000-0000811B0000}"/>
    <cellStyle name="40% - Accent4 10 2 2 2 2" xfId="7043" xr:uid="{00000000-0005-0000-0000-0000821B0000}"/>
    <cellStyle name="40% - Accent4 10 2 2 2 2 2" xfId="7044" xr:uid="{00000000-0005-0000-0000-0000831B0000}"/>
    <cellStyle name="40% - Accent4 10 2 2 2 3" xfId="7045" xr:uid="{00000000-0005-0000-0000-0000841B0000}"/>
    <cellStyle name="40% - Accent4 10 2 2 2 3 2" xfId="7046" xr:uid="{00000000-0005-0000-0000-0000851B0000}"/>
    <cellStyle name="40% - Accent4 10 2 2 2 4" xfId="7047" xr:uid="{00000000-0005-0000-0000-0000861B0000}"/>
    <cellStyle name="40% - Accent4 10 2 2 2 5" xfId="7048" xr:uid="{00000000-0005-0000-0000-0000871B0000}"/>
    <cellStyle name="40% - Accent4 10 2 2 3" xfId="7049" xr:uid="{00000000-0005-0000-0000-0000881B0000}"/>
    <cellStyle name="40% - Accent4 10 2 2 3 2" xfId="7050" xr:uid="{00000000-0005-0000-0000-0000891B0000}"/>
    <cellStyle name="40% - Accent4 10 2 2 4" xfId="7051" xr:uid="{00000000-0005-0000-0000-00008A1B0000}"/>
    <cellStyle name="40% - Accent4 10 2 2 4 2" xfId="7052" xr:uid="{00000000-0005-0000-0000-00008B1B0000}"/>
    <cellStyle name="40% - Accent4 10 2 2 5" xfId="7053" xr:uid="{00000000-0005-0000-0000-00008C1B0000}"/>
    <cellStyle name="40% - Accent4 10 2 2 6" xfId="7054" xr:uid="{00000000-0005-0000-0000-00008D1B0000}"/>
    <cellStyle name="40% - Accent4 10 2 3" xfId="7055" xr:uid="{00000000-0005-0000-0000-00008E1B0000}"/>
    <cellStyle name="40% - Accent4 10 2 3 2" xfId="7056" xr:uid="{00000000-0005-0000-0000-00008F1B0000}"/>
    <cellStyle name="40% - Accent4 10 2 3 2 2" xfId="7057" xr:uid="{00000000-0005-0000-0000-0000901B0000}"/>
    <cellStyle name="40% - Accent4 10 2 3 3" xfId="7058" xr:uid="{00000000-0005-0000-0000-0000911B0000}"/>
    <cellStyle name="40% - Accent4 10 2 3 3 2" xfId="7059" xr:uid="{00000000-0005-0000-0000-0000921B0000}"/>
    <cellStyle name="40% - Accent4 10 2 3 4" xfId="7060" xr:uid="{00000000-0005-0000-0000-0000931B0000}"/>
    <cellStyle name="40% - Accent4 10 2 3 5" xfId="7061" xr:uid="{00000000-0005-0000-0000-0000941B0000}"/>
    <cellStyle name="40% - Accent4 10 2 4" xfId="7062" xr:uid="{00000000-0005-0000-0000-0000951B0000}"/>
    <cellStyle name="40% - Accent4 10 2 4 2" xfId="7063" xr:uid="{00000000-0005-0000-0000-0000961B0000}"/>
    <cellStyle name="40% - Accent4 10 2 5" xfId="7064" xr:uid="{00000000-0005-0000-0000-0000971B0000}"/>
    <cellStyle name="40% - Accent4 10 2 5 2" xfId="7065" xr:uid="{00000000-0005-0000-0000-0000981B0000}"/>
    <cellStyle name="40% - Accent4 10 2 6" xfId="7066" xr:uid="{00000000-0005-0000-0000-0000991B0000}"/>
    <cellStyle name="40% - Accent4 10 2 7" xfId="7067" xr:uid="{00000000-0005-0000-0000-00009A1B0000}"/>
    <cellStyle name="40% - Accent4 10 3" xfId="7068" xr:uid="{00000000-0005-0000-0000-00009B1B0000}"/>
    <cellStyle name="40% - Accent4 10 3 2" xfId="7069" xr:uid="{00000000-0005-0000-0000-00009C1B0000}"/>
    <cellStyle name="40% - Accent4 10 3 2 2" xfId="7070" xr:uid="{00000000-0005-0000-0000-00009D1B0000}"/>
    <cellStyle name="40% - Accent4 10 3 2 2 2" xfId="7071" xr:uid="{00000000-0005-0000-0000-00009E1B0000}"/>
    <cellStyle name="40% - Accent4 10 3 2 3" xfId="7072" xr:uid="{00000000-0005-0000-0000-00009F1B0000}"/>
    <cellStyle name="40% - Accent4 10 3 2 3 2" xfId="7073" xr:uid="{00000000-0005-0000-0000-0000A01B0000}"/>
    <cellStyle name="40% - Accent4 10 3 2 4" xfId="7074" xr:uid="{00000000-0005-0000-0000-0000A11B0000}"/>
    <cellStyle name="40% - Accent4 10 3 2 5" xfId="7075" xr:uid="{00000000-0005-0000-0000-0000A21B0000}"/>
    <cellStyle name="40% - Accent4 10 3 3" xfId="7076" xr:uid="{00000000-0005-0000-0000-0000A31B0000}"/>
    <cellStyle name="40% - Accent4 10 3 3 2" xfId="7077" xr:uid="{00000000-0005-0000-0000-0000A41B0000}"/>
    <cellStyle name="40% - Accent4 10 3 4" xfId="7078" xr:uid="{00000000-0005-0000-0000-0000A51B0000}"/>
    <cellStyle name="40% - Accent4 10 3 4 2" xfId="7079" xr:uid="{00000000-0005-0000-0000-0000A61B0000}"/>
    <cellStyle name="40% - Accent4 10 3 5" xfId="7080" xr:uid="{00000000-0005-0000-0000-0000A71B0000}"/>
    <cellStyle name="40% - Accent4 10 3 6" xfId="7081" xr:uid="{00000000-0005-0000-0000-0000A81B0000}"/>
    <cellStyle name="40% - Accent4 10 4" xfId="7082" xr:uid="{00000000-0005-0000-0000-0000A91B0000}"/>
    <cellStyle name="40% - Accent4 10 4 2" xfId="7083" xr:uid="{00000000-0005-0000-0000-0000AA1B0000}"/>
    <cellStyle name="40% - Accent4 10 4 2 2" xfId="7084" xr:uid="{00000000-0005-0000-0000-0000AB1B0000}"/>
    <cellStyle name="40% - Accent4 10 4 3" xfId="7085" xr:uid="{00000000-0005-0000-0000-0000AC1B0000}"/>
    <cellStyle name="40% - Accent4 10 4 3 2" xfId="7086" xr:uid="{00000000-0005-0000-0000-0000AD1B0000}"/>
    <cellStyle name="40% - Accent4 10 4 4" xfId="7087" xr:uid="{00000000-0005-0000-0000-0000AE1B0000}"/>
    <cellStyle name="40% - Accent4 10 4 5" xfId="7088" xr:uid="{00000000-0005-0000-0000-0000AF1B0000}"/>
    <cellStyle name="40% - Accent4 10 5" xfId="7089" xr:uid="{00000000-0005-0000-0000-0000B01B0000}"/>
    <cellStyle name="40% - Accent4 10 5 2" xfId="7090" xr:uid="{00000000-0005-0000-0000-0000B11B0000}"/>
    <cellStyle name="40% - Accent4 10 6" xfId="7091" xr:uid="{00000000-0005-0000-0000-0000B21B0000}"/>
    <cellStyle name="40% - Accent4 10 6 2" xfId="7092" xr:uid="{00000000-0005-0000-0000-0000B31B0000}"/>
    <cellStyle name="40% - Accent4 10 7" xfId="7093" xr:uid="{00000000-0005-0000-0000-0000B41B0000}"/>
    <cellStyle name="40% - Accent4 10 8" xfId="7094" xr:uid="{00000000-0005-0000-0000-0000B51B0000}"/>
    <cellStyle name="40% - Accent4 11" xfId="7095" xr:uid="{00000000-0005-0000-0000-0000B61B0000}"/>
    <cellStyle name="40% - Accent4 11 2" xfId="7096" xr:uid="{00000000-0005-0000-0000-0000B71B0000}"/>
    <cellStyle name="40% - Accent4 11 2 2" xfId="7097" xr:uid="{00000000-0005-0000-0000-0000B81B0000}"/>
    <cellStyle name="40% - Accent4 11 2 2 2" xfId="7098" xr:uid="{00000000-0005-0000-0000-0000B91B0000}"/>
    <cellStyle name="40% - Accent4 11 2 2 2 2" xfId="7099" xr:uid="{00000000-0005-0000-0000-0000BA1B0000}"/>
    <cellStyle name="40% - Accent4 11 2 2 3" xfId="7100" xr:uid="{00000000-0005-0000-0000-0000BB1B0000}"/>
    <cellStyle name="40% - Accent4 11 2 2 3 2" xfId="7101" xr:uid="{00000000-0005-0000-0000-0000BC1B0000}"/>
    <cellStyle name="40% - Accent4 11 2 2 4" xfId="7102" xr:uid="{00000000-0005-0000-0000-0000BD1B0000}"/>
    <cellStyle name="40% - Accent4 11 2 2 5" xfId="7103" xr:uid="{00000000-0005-0000-0000-0000BE1B0000}"/>
    <cellStyle name="40% - Accent4 11 2 3" xfId="7104" xr:uid="{00000000-0005-0000-0000-0000BF1B0000}"/>
    <cellStyle name="40% - Accent4 11 2 3 2" xfId="7105" xr:uid="{00000000-0005-0000-0000-0000C01B0000}"/>
    <cellStyle name="40% - Accent4 11 2 4" xfId="7106" xr:uid="{00000000-0005-0000-0000-0000C11B0000}"/>
    <cellStyle name="40% - Accent4 11 2 4 2" xfId="7107" xr:uid="{00000000-0005-0000-0000-0000C21B0000}"/>
    <cellStyle name="40% - Accent4 11 2 5" xfId="7108" xr:uid="{00000000-0005-0000-0000-0000C31B0000}"/>
    <cellStyle name="40% - Accent4 11 2 6" xfId="7109" xr:uid="{00000000-0005-0000-0000-0000C41B0000}"/>
    <cellStyle name="40% - Accent4 11 3" xfId="7110" xr:uid="{00000000-0005-0000-0000-0000C51B0000}"/>
    <cellStyle name="40% - Accent4 11 3 2" xfId="7111" xr:uid="{00000000-0005-0000-0000-0000C61B0000}"/>
    <cellStyle name="40% - Accent4 11 3 2 2" xfId="7112" xr:uid="{00000000-0005-0000-0000-0000C71B0000}"/>
    <cellStyle name="40% - Accent4 11 3 3" xfId="7113" xr:uid="{00000000-0005-0000-0000-0000C81B0000}"/>
    <cellStyle name="40% - Accent4 11 3 3 2" xfId="7114" xr:uid="{00000000-0005-0000-0000-0000C91B0000}"/>
    <cellStyle name="40% - Accent4 11 3 4" xfId="7115" xr:uid="{00000000-0005-0000-0000-0000CA1B0000}"/>
    <cellStyle name="40% - Accent4 11 3 5" xfId="7116" xr:uid="{00000000-0005-0000-0000-0000CB1B0000}"/>
    <cellStyle name="40% - Accent4 11 4" xfId="7117" xr:uid="{00000000-0005-0000-0000-0000CC1B0000}"/>
    <cellStyle name="40% - Accent4 11 4 2" xfId="7118" xr:uid="{00000000-0005-0000-0000-0000CD1B0000}"/>
    <cellStyle name="40% - Accent4 11 5" xfId="7119" xr:uid="{00000000-0005-0000-0000-0000CE1B0000}"/>
    <cellStyle name="40% - Accent4 11 5 2" xfId="7120" xr:uid="{00000000-0005-0000-0000-0000CF1B0000}"/>
    <cellStyle name="40% - Accent4 11 6" xfId="7121" xr:uid="{00000000-0005-0000-0000-0000D01B0000}"/>
    <cellStyle name="40% - Accent4 11 7" xfId="7122" xr:uid="{00000000-0005-0000-0000-0000D11B0000}"/>
    <cellStyle name="40% - Accent4 12" xfId="7123" xr:uid="{00000000-0005-0000-0000-0000D21B0000}"/>
    <cellStyle name="40% - Accent4 12 2" xfId="7124" xr:uid="{00000000-0005-0000-0000-0000D31B0000}"/>
    <cellStyle name="40% - Accent4 12 2 2" xfId="7125" xr:uid="{00000000-0005-0000-0000-0000D41B0000}"/>
    <cellStyle name="40% - Accent4 12 2 2 2" xfId="7126" xr:uid="{00000000-0005-0000-0000-0000D51B0000}"/>
    <cellStyle name="40% - Accent4 12 2 3" xfId="7127" xr:uid="{00000000-0005-0000-0000-0000D61B0000}"/>
    <cellStyle name="40% - Accent4 12 2 3 2" xfId="7128" xr:uid="{00000000-0005-0000-0000-0000D71B0000}"/>
    <cellStyle name="40% - Accent4 12 2 4" xfId="7129" xr:uid="{00000000-0005-0000-0000-0000D81B0000}"/>
    <cellStyle name="40% - Accent4 12 2 5" xfId="7130" xr:uid="{00000000-0005-0000-0000-0000D91B0000}"/>
    <cellStyle name="40% - Accent4 12 3" xfId="7131" xr:uid="{00000000-0005-0000-0000-0000DA1B0000}"/>
    <cellStyle name="40% - Accent4 12 3 2" xfId="7132" xr:uid="{00000000-0005-0000-0000-0000DB1B0000}"/>
    <cellStyle name="40% - Accent4 12 4" xfId="7133" xr:uid="{00000000-0005-0000-0000-0000DC1B0000}"/>
    <cellStyle name="40% - Accent4 12 4 2" xfId="7134" xr:uid="{00000000-0005-0000-0000-0000DD1B0000}"/>
    <cellStyle name="40% - Accent4 12 5" xfId="7135" xr:uid="{00000000-0005-0000-0000-0000DE1B0000}"/>
    <cellStyle name="40% - Accent4 12 6" xfId="7136" xr:uid="{00000000-0005-0000-0000-0000DF1B0000}"/>
    <cellStyle name="40% - Accent4 13" xfId="7137" xr:uid="{00000000-0005-0000-0000-0000E01B0000}"/>
    <cellStyle name="40% - Accent4 13 2" xfId="7138" xr:uid="{00000000-0005-0000-0000-0000E11B0000}"/>
    <cellStyle name="40% - Accent4 13 2 2" xfId="7139" xr:uid="{00000000-0005-0000-0000-0000E21B0000}"/>
    <cellStyle name="40% - Accent4 13 2 2 2" xfId="7140" xr:uid="{00000000-0005-0000-0000-0000E31B0000}"/>
    <cellStyle name="40% - Accent4 13 2 3" xfId="7141" xr:uid="{00000000-0005-0000-0000-0000E41B0000}"/>
    <cellStyle name="40% - Accent4 13 2 3 2" xfId="7142" xr:uid="{00000000-0005-0000-0000-0000E51B0000}"/>
    <cellStyle name="40% - Accent4 13 2 4" xfId="7143" xr:uid="{00000000-0005-0000-0000-0000E61B0000}"/>
    <cellStyle name="40% - Accent4 13 2 5" xfId="7144" xr:uid="{00000000-0005-0000-0000-0000E71B0000}"/>
    <cellStyle name="40% - Accent4 13 3" xfId="7145" xr:uid="{00000000-0005-0000-0000-0000E81B0000}"/>
    <cellStyle name="40% - Accent4 13 3 2" xfId="7146" xr:uid="{00000000-0005-0000-0000-0000E91B0000}"/>
    <cellStyle name="40% - Accent4 13 4" xfId="7147" xr:uid="{00000000-0005-0000-0000-0000EA1B0000}"/>
    <cellStyle name="40% - Accent4 13 4 2" xfId="7148" xr:uid="{00000000-0005-0000-0000-0000EB1B0000}"/>
    <cellStyle name="40% - Accent4 13 5" xfId="7149" xr:uid="{00000000-0005-0000-0000-0000EC1B0000}"/>
    <cellStyle name="40% - Accent4 13 6" xfId="7150" xr:uid="{00000000-0005-0000-0000-0000ED1B0000}"/>
    <cellStyle name="40% - Accent4 14" xfId="7151" xr:uid="{00000000-0005-0000-0000-0000EE1B0000}"/>
    <cellStyle name="40% - Accent4 14 2" xfId="7152" xr:uid="{00000000-0005-0000-0000-0000EF1B0000}"/>
    <cellStyle name="40% - Accent4 14 2 2" xfId="7153" xr:uid="{00000000-0005-0000-0000-0000F01B0000}"/>
    <cellStyle name="40% - Accent4 14 2 2 2" xfId="7154" xr:uid="{00000000-0005-0000-0000-0000F11B0000}"/>
    <cellStyle name="40% - Accent4 14 2 3" xfId="7155" xr:uid="{00000000-0005-0000-0000-0000F21B0000}"/>
    <cellStyle name="40% - Accent4 14 2 3 2" xfId="7156" xr:uid="{00000000-0005-0000-0000-0000F31B0000}"/>
    <cellStyle name="40% - Accent4 14 2 4" xfId="7157" xr:uid="{00000000-0005-0000-0000-0000F41B0000}"/>
    <cellStyle name="40% - Accent4 14 2 5" xfId="7158" xr:uid="{00000000-0005-0000-0000-0000F51B0000}"/>
    <cellStyle name="40% - Accent4 14 3" xfId="7159" xr:uid="{00000000-0005-0000-0000-0000F61B0000}"/>
    <cellStyle name="40% - Accent4 14 3 2" xfId="7160" xr:uid="{00000000-0005-0000-0000-0000F71B0000}"/>
    <cellStyle name="40% - Accent4 14 4" xfId="7161" xr:uid="{00000000-0005-0000-0000-0000F81B0000}"/>
    <cellStyle name="40% - Accent4 14 4 2" xfId="7162" xr:uid="{00000000-0005-0000-0000-0000F91B0000}"/>
    <cellStyle name="40% - Accent4 14 5" xfId="7163" xr:uid="{00000000-0005-0000-0000-0000FA1B0000}"/>
    <cellStyle name="40% - Accent4 14 6" xfId="7164" xr:uid="{00000000-0005-0000-0000-0000FB1B0000}"/>
    <cellStyle name="40% - Accent4 15" xfId="7165" xr:uid="{00000000-0005-0000-0000-0000FC1B0000}"/>
    <cellStyle name="40% - Accent4 15 2" xfId="7166" xr:uid="{00000000-0005-0000-0000-0000FD1B0000}"/>
    <cellStyle name="40% - Accent4 15 2 2" xfId="7167" xr:uid="{00000000-0005-0000-0000-0000FE1B0000}"/>
    <cellStyle name="40% - Accent4 15 2 2 2" xfId="7168" xr:uid="{00000000-0005-0000-0000-0000FF1B0000}"/>
    <cellStyle name="40% - Accent4 15 2 3" xfId="7169" xr:uid="{00000000-0005-0000-0000-0000001C0000}"/>
    <cellStyle name="40% - Accent4 15 2 3 2" xfId="7170" xr:uid="{00000000-0005-0000-0000-0000011C0000}"/>
    <cellStyle name="40% - Accent4 15 2 4" xfId="7171" xr:uid="{00000000-0005-0000-0000-0000021C0000}"/>
    <cellStyle name="40% - Accent4 15 2 5" xfId="7172" xr:uid="{00000000-0005-0000-0000-0000031C0000}"/>
    <cellStyle name="40% - Accent4 15 3" xfId="7173" xr:uid="{00000000-0005-0000-0000-0000041C0000}"/>
    <cellStyle name="40% - Accent4 15 3 2" xfId="7174" xr:uid="{00000000-0005-0000-0000-0000051C0000}"/>
    <cellStyle name="40% - Accent4 15 4" xfId="7175" xr:uid="{00000000-0005-0000-0000-0000061C0000}"/>
    <cellStyle name="40% - Accent4 15 4 2" xfId="7176" xr:uid="{00000000-0005-0000-0000-0000071C0000}"/>
    <cellStyle name="40% - Accent4 15 5" xfId="7177" xr:uid="{00000000-0005-0000-0000-0000081C0000}"/>
    <cellStyle name="40% - Accent4 15 6" xfId="7178" xr:uid="{00000000-0005-0000-0000-0000091C0000}"/>
    <cellStyle name="40% - Accent4 16" xfId="7179" xr:uid="{00000000-0005-0000-0000-00000A1C0000}"/>
    <cellStyle name="40% - Accent4 16 2" xfId="7180" xr:uid="{00000000-0005-0000-0000-00000B1C0000}"/>
    <cellStyle name="40% - Accent4 16 2 2" xfId="7181" xr:uid="{00000000-0005-0000-0000-00000C1C0000}"/>
    <cellStyle name="40% - Accent4 16 2 3" xfId="7182" xr:uid="{00000000-0005-0000-0000-00000D1C0000}"/>
    <cellStyle name="40% - Accent4 16 3" xfId="7183" xr:uid="{00000000-0005-0000-0000-00000E1C0000}"/>
    <cellStyle name="40% - Accent4 16 4" xfId="7184" xr:uid="{00000000-0005-0000-0000-00000F1C0000}"/>
    <cellStyle name="40% - Accent4 17" xfId="7185" xr:uid="{00000000-0005-0000-0000-0000101C0000}"/>
    <cellStyle name="40% - Accent4 17 2" xfId="7186" xr:uid="{00000000-0005-0000-0000-0000111C0000}"/>
    <cellStyle name="40% - Accent4 17 2 2" xfId="7187" xr:uid="{00000000-0005-0000-0000-0000121C0000}"/>
    <cellStyle name="40% - Accent4 17 2 3" xfId="7188" xr:uid="{00000000-0005-0000-0000-0000131C0000}"/>
    <cellStyle name="40% - Accent4 17 3" xfId="7189" xr:uid="{00000000-0005-0000-0000-0000141C0000}"/>
    <cellStyle name="40% - Accent4 17 4" xfId="7190" xr:uid="{00000000-0005-0000-0000-0000151C0000}"/>
    <cellStyle name="40% - Accent4 18" xfId="7191" xr:uid="{00000000-0005-0000-0000-0000161C0000}"/>
    <cellStyle name="40% - Accent4 18 2" xfId="7192" xr:uid="{00000000-0005-0000-0000-0000171C0000}"/>
    <cellStyle name="40% - Accent4 18 2 2" xfId="7193" xr:uid="{00000000-0005-0000-0000-0000181C0000}"/>
    <cellStyle name="40% - Accent4 18 2 3" xfId="7194" xr:uid="{00000000-0005-0000-0000-0000191C0000}"/>
    <cellStyle name="40% - Accent4 18 3" xfId="7195" xr:uid="{00000000-0005-0000-0000-00001A1C0000}"/>
    <cellStyle name="40% - Accent4 18 4" xfId="7196" xr:uid="{00000000-0005-0000-0000-00001B1C0000}"/>
    <cellStyle name="40% - Accent4 19" xfId="7197" xr:uid="{00000000-0005-0000-0000-00001C1C0000}"/>
    <cellStyle name="40% - Accent4 19 2" xfId="7198" xr:uid="{00000000-0005-0000-0000-00001D1C0000}"/>
    <cellStyle name="40% - Accent4 19 2 2" xfId="7199" xr:uid="{00000000-0005-0000-0000-00001E1C0000}"/>
    <cellStyle name="40% - Accent4 19 2 3" xfId="7200" xr:uid="{00000000-0005-0000-0000-00001F1C0000}"/>
    <cellStyle name="40% - Accent4 19 3" xfId="7201" xr:uid="{00000000-0005-0000-0000-0000201C0000}"/>
    <cellStyle name="40% - Accent4 19 4" xfId="7202" xr:uid="{00000000-0005-0000-0000-0000211C0000}"/>
    <cellStyle name="40% - Accent4 2" xfId="7203" xr:uid="{00000000-0005-0000-0000-0000221C0000}"/>
    <cellStyle name="40% - Accent4 2 2" xfId="7204" xr:uid="{00000000-0005-0000-0000-0000231C0000}"/>
    <cellStyle name="40% - Accent4 2 2 2" xfId="7205" xr:uid="{00000000-0005-0000-0000-0000241C0000}"/>
    <cellStyle name="40% - Accent4 2 2 3" xfId="7206" xr:uid="{00000000-0005-0000-0000-0000251C0000}"/>
    <cellStyle name="40% - Accent4 2 2 4" xfId="7207" xr:uid="{00000000-0005-0000-0000-0000261C0000}"/>
    <cellStyle name="40% - Accent4 2 2 5" xfId="7208" xr:uid="{00000000-0005-0000-0000-0000271C0000}"/>
    <cellStyle name="40% - Accent4 2 3" xfId="7209" xr:uid="{00000000-0005-0000-0000-0000281C0000}"/>
    <cellStyle name="40% - Accent4 2 3 2" xfId="7210" xr:uid="{00000000-0005-0000-0000-0000291C0000}"/>
    <cellStyle name="40% - Accent4 2 4" xfId="7211" xr:uid="{00000000-0005-0000-0000-00002A1C0000}"/>
    <cellStyle name="40% - Accent4 2 4 2" xfId="7212" xr:uid="{00000000-0005-0000-0000-00002B1C0000}"/>
    <cellStyle name="40% - Accent4 2 4 2 2" xfId="7213" xr:uid="{00000000-0005-0000-0000-00002C1C0000}"/>
    <cellStyle name="40% - Accent4 2 4 3" xfId="7214" xr:uid="{00000000-0005-0000-0000-00002D1C0000}"/>
    <cellStyle name="40% - Accent4 2 4 4" xfId="7215" xr:uid="{00000000-0005-0000-0000-00002E1C0000}"/>
    <cellStyle name="40% - Accent4 2 5" xfId="7216" xr:uid="{00000000-0005-0000-0000-00002F1C0000}"/>
    <cellStyle name="40% - Accent4 2 5 2" xfId="7217" xr:uid="{00000000-0005-0000-0000-0000301C0000}"/>
    <cellStyle name="40% - Accent4 2 5 3" xfId="7218" xr:uid="{00000000-0005-0000-0000-0000311C0000}"/>
    <cellStyle name="40% - Accent4 2 6" xfId="7219" xr:uid="{00000000-0005-0000-0000-0000321C0000}"/>
    <cellStyle name="40% - Accent4 2 7" xfId="7220" xr:uid="{00000000-0005-0000-0000-0000331C0000}"/>
    <cellStyle name="40% - Accent4 20" xfId="7221" xr:uid="{00000000-0005-0000-0000-0000341C0000}"/>
    <cellStyle name="40% - Accent4 20 2" xfId="7222" xr:uid="{00000000-0005-0000-0000-0000351C0000}"/>
    <cellStyle name="40% - Accent4 20 3" xfId="7223" xr:uid="{00000000-0005-0000-0000-0000361C0000}"/>
    <cellStyle name="40% - Accent4 21" xfId="7224" xr:uid="{00000000-0005-0000-0000-0000371C0000}"/>
    <cellStyle name="40% - Accent4 21 2" xfId="7225" xr:uid="{00000000-0005-0000-0000-0000381C0000}"/>
    <cellStyle name="40% - Accent4 22" xfId="7226" xr:uid="{00000000-0005-0000-0000-0000391C0000}"/>
    <cellStyle name="40% - Accent4 23" xfId="7227" xr:uid="{00000000-0005-0000-0000-00003A1C0000}"/>
    <cellStyle name="40% - Accent4 24" xfId="7228" xr:uid="{00000000-0005-0000-0000-00003B1C0000}"/>
    <cellStyle name="40% - Accent4 3" xfId="7229" xr:uid="{00000000-0005-0000-0000-00003C1C0000}"/>
    <cellStyle name="40% - Accent4 3 10" xfId="7230" xr:uid="{00000000-0005-0000-0000-00003D1C0000}"/>
    <cellStyle name="40% - Accent4 3 11" xfId="7231" xr:uid="{00000000-0005-0000-0000-00003E1C0000}"/>
    <cellStyle name="40% - Accent4 3 2" xfId="7232" xr:uid="{00000000-0005-0000-0000-00003F1C0000}"/>
    <cellStyle name="40% - Accent4 3 2 2" xfId="7233" xr:uid="{00000000-0005-0000-0000-0000401C0000}"/>
    <cellStyle name="40% - Accent4 3 2 2 2" xfId="7234" xr:uid="{00000000-0005-0000-0000-0000411C0000}"/>
    <cellStyle name="40% - Accent4 3 2 2 2 2" xfId="7235" xr:uid="{00000000-0005-0000-0000-0000421C0000}"/>
    <cellStyle name="40% - Accent4 3 2 2 2 2 2" xfId="7236" xr:uid="{00000000-0005-0000-0000-0000431C0000}"/>
    <cellStyle name="40% - Accent4 3 2 2 2 2 2 2" xfId="7237" xr:uid="{00000000-0005-0000-0000-0000441C0000}"/>
    <cellStyle name="40% - Accent4 3 2 2 2 2 3" xfId="7238" xr:uid="{00000000-0005-0000-0000-0000451C0000}"/>
    <cellStyle name="40% - Accent4 3 2 2 2 2 3 2" xfId="7239" xr:uid="{00000000-0005-0000-0000-0000461C0000}"/>
    <cellStyle name="40% - Accent4 3 2 2 2 2 4" xfId="7240" xr:uid="{00000000-0005-0000-0000-0000471C0000}"/>
    <cellStyle name="40% - Accent4 3 2 2 2 2 5" xfId="7241" xr:uid="{00000000-0005-0000-0000-0000481C0000}"/>
    <cellStyle name="40% - Accent4 3 2 2 2 3" xfId="7242" xr:uid="{00000000-0005-0000-0000-0000491C0000}"/>
    <cellStyle name="40% - Accent4 3 2 2 2 3 2" xfId="7243" xr:uid="{00000000-0005-0000-0000-00004A1C0000}"/>
    <cellStyle name="40% - Accent4 3 2 2 2 4" xfId="7244" xr:uid="{00000000-0005-0000-0000-00004B1C0000}"/>
    <cellStyle name="40% - Accent4 3 2 2 2 4 2" xfId="7245" xr:uid="{00000000-0005-0000-0000-00004C1C0000}"/>
    <cellStyle name="40% - Accent4 3 2 2 2 5" xfId="7246" xr:uid="{00000000-0005-0000-0000-00004D1C0000}"/>
    <cellStyle name="40% - Accent4 3 2 2 2 6" xfId="7247" xr:uid="{00000000-0005-0000-0000-00004E1C0000}"/>
    <cellStyle name="40% - Accent4 3 2 2 3" xfId="7248" xr:uid="{00000000-0005-0000-0000-00004F1C0000}"/>
    <cellStyle name="40% - Accent4 3 2 2 3 2" xfId="7249" xr:uid="{00000000-0005-0000-0000-0000501C0000}"/>
    <cellStyle name="40% - Accent4 3 2 2 3 2 2" xfId="7250" xr:uid="{00000000-0005-0000-0000-0000511C0000}"/>
    <cellStyle name="40% - Accent4 3 2 2 3 3" xfId="7251" xr:uid="{00000000-0005-0000-0000-0000521C0000}"/>
    <cellStyle name="40% - Accent4 3 2 2 3 3 2" xfId="7252" xr:uid="{00000000-0005-0000-0000-0000531C0000}"/>
    <cellStyle name="40% - Accent4 3 2 2 3 4" xfId="7253" xr:uid="{00000000-0005-0000-0000-0000541C0000}"/>
    <cellStyle name="40% - Accent4 3 2 2 3 5" xfId="7254" xr:uid="{00000000-0005-0000-0000-0000551C0000}"/>
    <cellStyle name="40% - Accent4 3 2 2 4" xfId="7255" xr:uid="{00000000-0005-0000-0000-0000561C0000}"/>
    <cellStyle name="40% - Accent4 3 2 2 4 2" xfId="7256" xr:uid="{00000000-0005-0000-0000-0000571C0000}"/>
    <cellStyle name="40% - Accent4 3 2 2 5" xfId="7257" xr:uid="{00000000-0005-0000-0000-0000581C0000}"/>
    <cellStyle name="40% - Accent4 3 2 2 5 2" xfId="7258" xr:uid="{00000000-0005-0000-0000-0000591C0000}"/>
    <cellStyle name="40% - Accent4 3 2 2 6" xfId="7259" xr:uid="{00000000-0005-0000-0000-00005A1C0000}"/>
    <cellStyle name="40% - Accent4 3 2 2 7" xfId="7260" xr:uid="{00000000-0005-0000-0000-00005B1C0000}"/>
    <cellStyle name="40% - Accent4 3 2 2 8" xfId="7261" xr:uid="{00000000-0005-0000-0000-00005C1C0000}"/>
    <cellStyle name="40% - Accent4 3 2 3" xfId="7262" xr:uid="{00000000-0005-0000-0000-00005D1C0000}"/>
    <cellStyle name="40% - Accent4 3 2 3 2" xfId="7263" xr:uid="{00000000-0005-0000-0000-00005E1C0000}"/>
    <cellStyle name="40% - Accent4 3 2 3 2 2" xfId="7264" xr:uid="{00000000-0005-0000-0000-00005F1C0000}"/>
    <cellStyle name="40% - Accent4 3 2 3 2 2 2" xfId="7265" xr:uid="{00000000-0005-0000-0000-0000601C0000}"/>
    <cellStyle name="40% - Accent4 3 2 3 2 3" xfId="7266" xr:uid="{00000000-0005-0000-0000-0000611C0000}"/>
    <cellStyle name="40% - Accent4 3 2 3 2 3 2" xfId="7267" xr:uid="{00000000-0005-0000-0000-0000621C0000}"/>
    <cellStyle name="40% - Accent4 3 2 3 2 4" xfId="7268" xr:uid="{00000000-0005-0000-0000-0000631C0000}"/>
    <cellStyle name="40% - Accent4 3 2 3 2 5" xfId="7269" xr:uid="{00000000-0005-0000-0000-0000641C0000}"/>
    <cellStyle name="40% - Accent4 3 2 3 3" xfId="7270" xr:uid="{00000000-0005-0000-0000-0000651C0000}"/>
    <cellStyle name="40% - Accent4 3 2 3 3 2" xfId="7271" xr:uid="{00000000-0005-0000-0000-0000661C0000}"/>
    <cellStyle name="40% - Accent4 3 2 3 4" xfId="7272" xr:uid="{00000000-0005-0000-0000-0000671C0000}"/>
    <cellStyle name="40% - Accent4 3 2 3 4 2" xfId="7273" xr:uid="{00000000-0005-0000-0000-0000681C0000}"/>
    <cellStyle name="40% - Accent4 3 2 3 5" xfId="7274" xr:uid="{00000000-0005-0000-0000-0000691C0000}"/>
    <cellStyle name="40% - Accent4 3 2 3 6" xfId="7275" xr:uid="{00000000-0005-0000-0000-00006A1C0000}"/>
    <cellStyle name="40% - Accent4 3 2 3 7" xfId="7276" xr:uid="{00000000-0005-0000-0000-00006B1C0000}"/>
    <cellStyle name="40% - Accent4 3 2 4" xfId="7277" xr:uid="{00000000-0005-0000-0000-00006C1C0000}"/>
    <cellStyle name="40% - Accent4 3 2 4 2" xfId="7278" xr:uid="{00000000-0005-0000-0000-00006D1C0000}"/>
    <cellStyle name="40% - Accent4 3 2 4 2 2" xfId="7279" xr:uid="{00000000-0005-0000-0000-00006E1C0000}"/>
    <cellStyle name="40% - Accent4 3 2 4 3" xfId="7280" xr:uid="{00000000-0005-0000-0000-00006F1C0000}"/>
    <cellStyle name="40% - Accent4 3 2 4 3 2" xfId="7281" xr:uid="{00000000-0005-0000-0000-0000701C0000}"/>
    <cellStyle name="40% - Accent4 3 2 4 4" xfId="7282" xr:uid="{00000000-0005-0000-0000-0000711C0000}"/>
    <cellStyle name="40% - Accent4 3 2 4 5" xfId="7283" xr:uid="{00000000-0005-0000-0000-0000721C0000}"/>
    <cellStyle name="40% - Accent4 3 2 4 6" xfId="7284" xr:uid="{00000000-0005-0000-0000-0000731C0000}"/>
    <cellStyle name="40% - Accent4 3 2 5" xfId="7285" xr:uid="{00000000-0005-0000-0000-0000741C0000}"/>
    <cellStyle name="40% - Accent4 3 2 5 2" xfId="7286" xr:uid="{00000000-0005-0000-0000-0000751C0000}"/>
    <cellStyle name="40% - Accent4 3 2 6" xfId="7287" xr:uid="{00000000-0005-0000-0000-0000761C0000}"/>
    <cellStyle name="40% - Accent4 3 2 6 2" xfId="7288" xr:uid="{00000000-0005-0000-0000-0000771C0000}"/>
    <cellStyle name="40% - Accent4 3 2 7" xfId="7289" xr:uid="{00000000-0005-0000-0000-0000781C0000}"/>
    <cellStyle name="40% - Accent4 3 2 8" xfId="7290" xr:uid="{00000000-0005-0000-0000-0000791C0000}"/>
    <cellStyle name="40% - Accent4 3 2 9" xfId="7291" xr:uid="{00000000-0005-0000-0000-00007A1C0000}"/>
    <cellStyle name="40% - Accent4 3 3" xfId="7292" xr:uid="{00000000-0005-0000-0000-00007B1C0000}"/>
    <cellStyle name="40% - Accent4 3 3 2" xfId="7293" xr:uid="{00000000-0005-0000-0000-00007C1C0000}"/>
    <cellStyle name="40% - Accent4 3 3 2 2" xfId="7294" xr:uid="{00000000-0005-0000-0000-00007D1C0000}"/>
    <cellStyle name="40% - Accent4 3 3 2 2 2" xfId="7295" xr:uid="{00000000-0005-0000-0000-00007E1C0000}"/>
    <cellStyle name="40% - Accent4 3 3 2 2 2 2" xfId="7296" xr:uid="{00000000-0005-0000-0000-00007F1C0000}"/>
    <cellStyle name="40% - Accent4 3 3 2 2 3" xfId="7297" xr:uid="{00000000-0005-0000-0000-0000801C0000}"/>
    <cellStyle name="40% - Accent4 3 3 2 2 3 2" xfId="7298" xr:uid="{00000000-0005-0000-0000-0000811C0000}"/>
    <cellStyle name="40% - Accent4 3 3 2 2 4" xfId="7299" xr:uid="{00000000-0005-0000-0000-0000821C0000}"/>
    <cellStyle name="40% - Accent4 3 3 2 2 5" xfId="7300" xr:uid="{00000000-0005-0000-0000-0000831C0000}"/>
    <cellStyle name="40% - Accent4 3 3 2 3" xfId="7301" xr:uid="{00000000-0005-0000-0000-0000841C0000}"/>
    <cellStyle name="40% - Accent4 3 3 2 3 2" xfId="7302" xr:uid="{00000000-0005-0000-0000-0000851C0000}"/>
    <cellStyle name="40% - Accent4 3 3 2 4" xfId="7303" xr:uid="{00000000-0005-0000-0000-0000861C0000}"/>
    <cellStyle name="40% - Accent4 3 3 2 4 2" xfId="7304" xr:uid="{00000000-0005-0000-0000-0000871C0000}"/>
    <cellStyle name="40% - Accent4 3 3 2 5" xfId="7305" xr:uid="{00000000-0005-0000-0000-0000881C0000}"/>
    <cellStyle name="40% - Accent4 3 3 2 6" xfId="7306" xr:uid="{00000000-0005-0000-0000-0000891C0000}"/>
    <cellStyle name="40% - Accent4 3 3 3" xfId="7307" xr:uid="{00000000-0005-0000-0000-00008A1C0000}"/>
    <cellStyle name="40% - Accent4 3 3 3 2" xfId="7308" xr:uid="{00000000-0005-0000-0000-00008B1C0000}"/>
    <cellStyle name="40% - Accent4 3 3 3 2 2" xfId="7309" xr:uid="{00000000-0005-0000-0000-00008C1C0000}"/>
    <cellStyle name="40% - Accent4 3 3 3 3" xfId="7310" xr:uid="{00000000-0005-0000-0000-00008D1C0000}"/>
    <cellStyle name="40% - Accent4 3 3 3 3 2" xfId="7311" xr:uid="{00000000-0005-0000-0000-00008E1C0000}"/>
    <cellStyle name="40% - Accent4 3 3 3 4" xfId="7312" xr:uid="{00000000-0005-0000-0000-00008F1C0000}"/>
    <cellStyle name="40% - Accent4 3 3 3 5" xfId="7313" xr:uid="{00000000-0005-0000-0000-0000901C0000}"/>
    <cellStyle name="40% - Accent4 3 3 4" xfId="7314" xr:uid="{00000000-0005-0000-0000-0000911C0000}"/>
    <cellStyle name="40% - Accent4 3 3 4 2" xfId="7315" xr:uid="{00000000-0005-0000-0000-0000921C0000}"/>
    <cellStyle name="40% - Accent4 3 3 5" xfId="7316" xr:uid="{00000000-0005-0000-0000-0000931C0000}"/>
    <cellStyle name="40% - Accent4 3 3 5 2" xfId="7317" xr:uid="{00000000-0005-0000-0000-0000941C0000}"/>
    <cellStyle name="40% - Accent4 3 3 6" xfId="7318" xr:uid="{00000000-0005-0000-0000-0000951C0000}"/>
    <cellStyle name="40% - Accent4 3 3 7" xfId="7319" xr:uid="{00000000-0005-0000-0000-0000961C0000}"/>
    <cellStyle name="40% - Accent4 3 3 8" xfId="7320" xr:uid="{00000000-0005-0000-0000-0000971C0000}"/>
    <cellStyle name="40% - Accent4 3 4" xfId="7321" xr:uid="{00000000-0005-0000-0000-0000981C0000}"/>
    <cellStyle name="40% - Accent4 3 4 2" xfId="7322" xr:uid="{00000000-0005-0000-0000-0000991C0000}"/>
    <cellStyle name="40% - Accent4 3 4 2 2" xfId="7323" xr:uid="{00000000-0005-0000-0000-00009A1C0000}"/>
    <cellStyle name="40% - Accent4 3 4 2 2 2" xfId="7324" xr:uid="{00000000-0005-0000-0000-00009B1C0000}"/>
    <cellStyle name="40% - Accent4 3 4 2 3" xfId="7325" xr:uid="{00000000-0005-0000-0000-00009C1C0000}"/>
    <cellStyle name="40% - Accent4 3 4 2 3 2" xfId="7326" xr:uid="{00000000-0005-0000-0000-00009D1C0000}"/>
    <cellStyle name="40% - Accent4 3 4 2 4" xfId="7327" xr:uid="{00000000-0005-0000-0000-00009E1C0000}"/>
    <cellStyle name="40% - Accent4 3 4 2 5" xfId="7328" xr:uid="{00000000-0005-0000-0000-00009F1C0000}"/>
    <cellStyle name="40% - Accent4 3 4 3" xfId="7329" xr:uid="{00000000-0005-0000-0000-0000A01C0000}"/>
    <cellStyle name="40% - Accent4 3 4 3 2" xfId="7330" xr:uid="{00000000-0005-0000-0000-0000A11C0000}"/>
    <cellStyle name="40% - Accent4 3 4 4" xfId="7331" xr:uid="{00000000-0005-0000-0000-0000A21C0000}"/>
    <cellStyle name="40% - Accent4 3 4 4 2" xfId="7332" xr:uid="{00000000-0005-0000-0000-0000A31C0000}"/>
    <cellStyle name="40% - Accent4 3 4 5" xfId="7333" xr:uid="{00000000-0005-0000-0000-0000A41C0000}"/>
    <cellStyle name="40% - Accent4 3 4 6" xfId="7334" xr:uid="{00000000-0005-0000-0000-0000A51C0000}"/>
    <cellStyle name="40% - Accent4 3 4 7" xfId="7335" xr:uid="{00000000-0005-0000-0000-0000A61C0000}"/>
    <cellStyle name="40% - Accent4 3 5" xfId="7336" xr:uid="{00000000-0005-0000-0000-0000A71C0000}"/>
    <cellStyle name="40% - Accent4 3 5 2" xfId="7337" xr:uid="{00000000-0005-0000-0000-0000A81C0000}"/>
    <cellStyle name="40% - Accent4 3 5 2 2" xfId="7338" xr:uid="{00000000-0005-0000-0000-0000A91C0000}"/>
    <cellStyle name="40% - Accent4 3 5 2 2 2" xfId="7339" xr:uid="{00000000-0005-0000-0000-0000AA1C0000}"/>
    <cellStyle name="40% - Accent4 3 5 2 3" xfId="7340" xr:uid="{00000000-0005-0000-0000-0000AB1C0000}"/>
    <cellStyle name="40% - Accent4 3 5 3" xfId="7341" xr:uid="{00000000-0005-0000-0000-0000AC1C0000}"/>
    <cellStyle name="40% - Accent4 3 5 3 2" xfId="7342" xr:uid="{00000000-0005-0000-0000-0000AD1C0000}"/>
    <cellStyle name="40% - Accent4 3 5 4" xfId="7343" xr:uid="{00000000-0005-0000-0000-0000AE1C0000}"/>
    <cellStyle name="40% - Accent4 3 5 4 2" xfId="7344" xr:uid="{00000000-0005-0000-0000-0000AF1C0000}"/>
    <cellStyle name="40% - Accent4 3 5 5" xfId="7345" xr:uid="{00000000-0005-0000-0000-0000B01C0000}"/>
    <cellStyle name="40% - Accent4 3 5 6" xfId="7346" xr:uid="{00000000-0005-0000-0000-0000B11C0000}"/>
    <cellStyle name="40% - Accent4 3 5 7" xfId="7347" xr:uid="{00000000-0005-0000-0000-0000B21C0000}"/>
    <cellStyle name="40% - Accent4 3 6" xfId="7348" xr:uid="{00000000-0005-0000-0000-0000B31C0000}"/>
    <cellStyle name="40% - Accent4 3 6 2" xfId="7349" xr:uid="{00000000-0005-0000-0000-0000B41C0000}"/>
    <cellStyle name="40% - Accent4 3 6 2 2" xfId="7350" xr:uid="{00000000-0005-0000-0000-0000B51C0000}"/>
    <cellStyle name="40% - Accent4 3 6 3" xfId="7351" xr:uid="{00000000-0005-0000-0000-0000B61C0000}"/>
    <cellStyle name="40% - Accent4 3 7" xfId="7352" xr:uid="{00000000-0005-0000-0000-0000B71C0000}"/>
    <cellStyle name="40% - Accent4 3 7 2" xfId="7353" xr:uid="{00000000-0005-0000-0000-0000B81C0000}"/>
    <cellStyle name="40% - Accent4 3 8" xfId="7354" xr:uid="{00000000-0005-0000-0000-0000B91C0000}"/>
    <cellStyle name="40% - Accent4 3 8 2" xfId="7355" xr:uid="{00000000-0005-0000-0000-0000BA1C0000}"/>
    <cellStyle name="40% - Accent4 3 9" xfId="7356" xr:uid="{00000000-0005-0000-0000-0000BB1C0000}"/>
    <cellStyle name="40% - Accent4 4" xfId="7357" xr:uid="{00000000-0005-0000-0000-0000BC1C0000}"/>
    <cellStyle name="40% - Accent4 4 10" xfId="7358" xr:uid="{00000000-0005-0000-0000-0000BD1C0000}"/>
    <cellStyle name="40% - Accent4 4 11" xfId="7359" xr:uid="{00000000-0005-0000-0000-0000BE1C0000}"/>
    <cellStyle name="40% - Accent4 4 2" xfId="7360" xr:uid="{00000000-0005-0000-0000-0000BF1C0000}"/>
    <cellStyle name="40% - Accent4 4 2 2" xfId="7361" xr:uid="{00000000-0005-0000-0000-0000C01C0000}"/>
    <cellStyle name="40% - Accent4 4 2 2 2" xfId="7362" xr:uid="{00000000-0005-0000-0000-0000C11C0000}"/>
    <cellStyle name="40% - Accent4 4 2 2 2 2" xfId="7363" xr:uid="{00000000-0005-0000-0000-0000C21C0000}"/>
    <cellStyle name="40% - Accent4 4 2 2 2 2 2" xfId="7364" xr:uid="{00000000-0005-0000-0000-0000C31C0000}"/>
    <cellStyle name="40% - Accent4 4 2 2 2 2 2 2" xfId="7365" xr:uid="{00000000-0005-0000-0000-0000C41C0000}"/>
    <cellStyle name="40% - Accent4 4 2 2 2 2 3" xfId="7366" xr:uid="{00000000-0005-0000-0000-0000C51C0000}"/>
    <cellStyle name="40% - Accent4 4 2 2 2 2 3 2" xfId="7367" xr:uid="{00000000-0005-0000-0000-0000C61C0000}"/>
    <cellStyle name="40% - Accent4 4 2 2 2 2 4" xfId="7368" xr:uid="{00000000-0005-0000-0000-0000C71C0000}"/>
    <cellStyle name="40% - Accent4 4 2 2 2 2 5" xfId="7369" xr:uid="{00000000-0005-0000-0000-0000C81C0000}"/>
    <cellStyle name="40% - Accent4 4 2 2 2 3" xfId="7370" xr:uid="{00000000-0005-0000-0000-0000C91C0000}"/>
    <cellStyle name="40% - Accent4 4 2 2 2 3 2" xfId="7371" xr:uid="{00000000-0005-0000-0000-0000CA1C0000}"/>
    <cellStyle name="40% - Accent4 4 2 2 2 4" xfId="7372" xr:uid="{00000000-0005-0000-0000-0000CB1C0000}"/>
    <cellStyle name="40% - Accent4 4 2 2 2 4 2" xfId="7373" xr:uid="{00000000-0005-0000-0000-0000CC1C0000}"/>
    <cellStyle name="40% - Accent4 4 2 2 2 5" xfId="7374" xr:uid="{00000000-0005-0000-0000-0000CD1C0000}"/>
    <cellStyle name="40% - Accent4 4 2 2 2 6" xfId="7375" xr:uid="{00000000-0005-0000-0000-0000CE1C0000}"/>
    <cellStyle name="40% - Accent4 4 2 2 3" xfId="7376" xr:uid="{00000000-0005-0000-0000-0000CF1C0000}"/>
    <cellStyle name="40% - Accent4 4 2 2 3 2" xfId="7377" xr:uid="{00000000-0005-0000-0000-0000D01C0000}"/>
    <cellStyle name="40% - Accent4 4 2 2 3 2 2" xfId="7378" xr:uid="{00000000-0005-0000-0000-0000D11C0000}"/>
    <cellStyle name="40% - Accent4 4 2 2 3 3" xfId="7379" xr:uid="{00000000-0005-0000-0000-0000D21C0000}"/>
    <cellStyle name="40% - Accent4 4 2 2 3 3 2" xfId="7380" xr:uid="{00000000-0005-0000-0000-0000D31C0000}"/>
    <cellStyle name="40% - Accent4 4 2 2 3 4" xfId="7381" xr:uid="{00000000-0005-0000-0000-0000D41C0000}"/>
    <cellStyle name="40% - Accent4 4 2 2 3 5" xfId="7382" xr:uid="{00000000-0005-0000-0000-0000D51C0000}"/>
    <cellStyle name="40% - Accent4 4 2 2 4" xfId="7383" xr:uid="{00000000-0005-0000-0000-0000D61C0000}"/>
    <cellStyle name="40% - Accent4 4 2 2 4 2" xfId="7384" xr:uid="{00000000-0005-0000-0000-0000D71C0000}"/>
    <cellStyle name="40% - Accent4 4 2 2 5" xfId="7385" xr:uid="{00000000-0005-0000-0000-0000D81C0000}"/>
    <cellStyle name="40% - Accent4 4 2 2 5 2" xfId="7386" xr:uid="{00000000-0005-0000-0000-0000D91C0000}"/>
    <cellStyle name="40% - Accent4 4 2 2 6" xfId="7387" xr:uid="{00000000-0005-0000-0000-0000DA1C0000}"/>
    <cellStyle name="40% - Accent4 4 2 2 7" xfId="7388" xr:uid="{00000000-0005-0000-0000-0000DB1C0000}"/>
    <cellStyle name="40% - Accent4 4 2 3" xfId="7389" xr:uid="{00000000-0005-0000-0000-0000DC1C0000}"/>
    <cellStyle name="40% - Accent4 4 2 3 2" xfId="7390" xr:uid="{00000000-0005-0000-0000-0000DD1C0000}"/>
    <cellStyle name="40% - Accent4 4 2 3 2 2" xfId="7391" xr:uid="{00000000-0005-0000-0000-0000DE1C0000}"/>
    <cellStyle name="40% - Accent4 4 2 3 2 2 2" xfId="7392" xr:uid="{00000000-0005-0000-0000-0000DF1C0000}"/>
    <cellStyle name="40% - Accent4 4 2 3 2 3" xfId="7393" xr:uid="{00000000-0005-0000-0000-0000E01C0000}"/>
    <cellStyle name="40% - Accent4 4 2 3 2 3 2" xfId="7394" xr:uid="{00000000-0005-0000-0000-0000E11C0000}"/>
    <cellStyle name="40% - Accent4 4 2 3 2 4" xfId="7395" xr:uid="{00000000-0005-0000-0000-0000E21C0000}"/>
    <cellStyle name="40% - Accent4 4 2 3 2 5" xfId="7396" xr:uid="{00000000-0005-0000-0000-0000E31C0000}"/>
    <cellStyle name="40% - Accent4 4 2 3 3" xfId="7397" xr:uid="{00000000-0005-0000-0000-0000E41C0000}"/>
    <cellStyle name="40% - Accent4 4 2 3 3 2" xfId="7398" xr:uid="{00000000-0005-0000-0000-0000E51C0000}"/>
    <cellStyle name="40% - Accent4 4 2 3 4" xfId="7399" xr:uid="{00000000-0005-0000-0000-0000E61C0000}"/>
    <cellStyle name="40% - Accent4 4 2 3 4 2" xfId="7400" xr:uid="{00000000-0005-0000-0000-0000E71C0000}"/>
    <cellStyle name="40% - Accent4 4 2 3 5" xfId="7401" xr:uid="{00000000-0005-0000-0000-0000E81C0000}"/>
    <cellStyle name="40% - Accent4 4 2 3 6" xfId="7402" xr:uid="{00000000-0005-0000-0000-0000E91C0000}"/>
    <cellStyle name="40% - Accent4 4 2 4" xfId="7403" xr:uid="{00000000-0005-0000-0000-0000EA1C0000}"/>
    <cellStyle name="40% - Accent4 4 2 4 2" xfId="7404" xr:uid="{00000000-0005-0000-0000-0000EB1C0000}"/>
    <cellStyle name="40% - Accent4 4 2 4 2 2" xfId="7405" xr:uid="{00000000-0005-0000-0000-0000EC1C0000}"/>
    <cellStyle name="40% - Accent4 4 2 4 3" xfId="7406" xr:uid="{00000000-0005-0000-0000-0000ED1C0000}"/>
    <cellStyle name="40% - Accent4 4 2 4 3 2" xfId="7407" xr:uid="{00000000-0005-0000-0000-0000EE1C0000}"/>
    <cellStyle name="40% - Accent4 4 2 4 4" xfId="7408" xr:uid="{00000000-0005-0000-0000-0000EF1C0000}"/>
    <cellStyle name="40% - Accent4 4 2 4 5" xfId="7409" xr:uid="{00000000-0005-0000-0000-0000F01C0000}"/>
    <cellStyle name="40% - Accent4 4 2 5" xfId="7410" xr:uid="{00000000-0005-0000-0000-0000F11C0000}"/>
    <cellStyle name="40% - Accent4 4 2 5 2" xfId="7411" xr:uid="{00000000-0005-0000-0000-0000F21C0000}"/>
    <cellStyle name="40% - Accent4 4 2 6" xfId="7412" xr:uid="{00000000-0005-0000-0000-0000F31C0000}"/>
    <cellStyle name="40% - Accent4 4 2 6 2" xfId="7413" xr:uid="{00000000-0005-0000-0000-0000F41C0000}"/>
    <cellStyle name="40% - Accent4 4 2 7" xfId="7414" xr:uid="{00000000-0005-0000-0000-0000F51C0000}"/>
    <cellStyle name="40% - Accent4 4 2 8" xfId="7415" xr:uid="{00000000-0005-0000-0000-0000F61C0000}"/>
    <cellStyle name="40% - Accent4 4 2 9" xfId="7416" xr:uid="{00000000-0005-0000-0000-0000F71C0000}"/>
    <cellStyle name="40% - Accent4 4 3" xfId="7417" xr:uid="{00000000-0005-0000-0000-0000F81C0000}"/>
    <cellStyle name="40% - Accent4 4 3 2" xfId="7418" xr:uid="{00000000-0005-0000-0000-0000F91C0000}"/>
    <cellStyle name="40% - Accent4 4 3 2 2" xfId="7419" xr:uid="{00000000-0005-0000-0000-0000FA1C0000}"/>
    <cellStyle name="40% - Accent4 4 3 2 2 2" xfId="7420" xr:uid="{00000000-0005-0000-0000-0000FB1C0000}"/>
    <cellStyle name="40% - Accent4 4 3 2 2 2 2" xfId="7421" xr:uid="{00000000-0005-0000-0000-0000FC1C0000}"/>
    <cellStyle name="40% - Accent4 4 3 2 2 3" xfId="7422" xr:uid="{00000000-0005-0000-0000-0000FD1C0000}"/>
    <cellStyle name="40% - Accent4 4 3 2 2 3 2" xfId="7423" xr:uid="{00000000-0005-0000-0000-0000FE1C0000}"/>
    <cellStyle name="40% - Accent4 4 3 2 2 4" xfId="7424" xr:uid="{00000000-0005-0000-0000-0000FF1C0000}"/>
    <cellStyle name="40% - Accent4 4 3 2 2 5" xfId="7425" xr:uid="{00000000-0005-0000-0000-0000001D0000}"/>
    <cellStyle name="40% - Accent4 4 3 2 3" xfId="7426" xr:uid="{00000000-0005-0000-0000-0000011D0000}"/>
    <cellStyle name="40% - Accent4 4 3 2 3 2" xfId="7427" xr:uid="{00000000-0005-0000-0000-0000021D0000}"/>
    <cellStyle name="40% - Accent4 4 3 2 4" xfId="7428" xr:uid="{00000000-0005-0000-0000-0000031D0000}"/>
    <cellStyle name="40% - Accent4 4 3 2 4 2" xfId="7429" xr:uid="{00000000-0005-0000-0000-0000041D0000}"/>
    <cellStyle name="40% - Accent4 4 3 2 5" xfId="7430" xr:uid="{00000000-0005-0000-0000-0000051D0000}"/>
    <cellStyle name="40% - Accent4 4 3 2 6" xfId="7431" xr:uid="{00000000-0005-0000-0000-0000061D0000}"/>
    <cellStyle name="40% - Accent4 4 3 3" xfId="7432" xr:uid="{00000000-0005-0000-0000-0000071D0000}"/>
    <cellStyle name="40% - Accent4 4 3 3 2" xfId="7433" xr:uid="{00000000-0005-0000-0000-0000081D0000}"/>
    <cellStyle name="40% - Accent4 4 3 3 2 2" xfId="7434" xr:uid="{00000000-0005-0000-0000-0000091D0000}"/>
    <cellStyle name="40% - Accent4 4 3 3 3" xfId="7435" xr:uid="{00000000-0005-0000-0000-00000A1D0000}"/>
    <cellStyle name="40% - Accent4 4 3 3 3 2" xfId="7436" xr:uid="{00000000-0005-0000-0000-00000B1D0000}"/>
    <cellStyle name="40% - Accent4 4 3 3 4" xfId="7437" xr:uid="{00000000-0005-0000-0000-00000C1D0000}"/>
    <cellStyle name="40% - Accent4 4 3 3 5" xfId="7438" xr:uid="{00000000-0005-0000-0000-00000D1D0000}"/>
    <cellStyle name="40% - Accent4 4 3 4" xfId="7439" xr:uid="{00000000-0005-0000-0000-00000E1D0000}"/>
    <cellStyle name="40% - Accent4 4 3 4 2" xfId="7440" xr:uid="{00000000-0005-0000-0000-00000F1D0000}"/>
    <cellStyle name="40% - Accent4 4 3 5" xfId="7441" xr:uid="{00000000-0005-0000-0000-0000101D0000}"/>
    <cellStyle name="40% - Accent4 4 3 5 2" xfId="7442" xr:uid="{00000000-0005-0000-0000-0000111D0000}"/>
    <cellStyle name="40% - Accent4 4 3 6" xfId="7443" xr:uid="{00000000-0005-0000-0000-0000121D0000}"/>
    <cellStyle name="40% - Accent4 4 3 7" xfId="7444" xr:uid="{00000000-0005-0000-0000-0000131D0000}"/>
    <cellStyle name="40% - Accent4 4 3 8" xfId="7445" xr:uid="{00000000-0005-0000-0000-0000141D0000}"/>
    <cellStyle name="40% - Accent4 4 4" xfId="7446" xr:uid="{00000000-0005-0000-0000-0000151D0000}"/>
    <cellStyle name="40% - Accent4 4 4 2" xfId="7447" xr:uid="{00000000-0005-0000-0000-0000161D0000}"/>
    <cellStyle name="40% - Accent4 4 4 2 2" xfId="7448" xr:uid="{00000000-0005-0000-0000-0000171D0000}"/>
    <cellStyle name="40% - Accent4 4 4 2 2 2" xfId="7449" xr:uid="{00000000-0005-0000-0000-0000181D0000}"/>
    <cellStyle name="40% - Accent4 4 4 2 3" xfId="7450" xr:uid="{00000000-0005-0000-0000-0000191D0000}"/>
    <cellStyle name="40% - Accent4 4 4 2 3 2" xfId="7451" xr:uid="{00000000-0005-0000-0000-00001A1D0000}"/>
    <cellStyle name="40% - Accent4 4 4 2 4" xfId="7452" xr:uid="{00000000-0005-0000-0000-00001B1D0000}"/>
    <cellStyle name="40% - Accent4 4 4 2 5" xfId="7453" xr:uid="{00000000-0005-0000-0000-00001C1D0000}"/>
    <cellStyle name="40% - Accent4 4 4 3" xfId="7454" xr:uid="{00000000-0005-0000-0000-00001D1D0000}"/>
    <cellStyle name="40% - Accent4 4 4 3 2" xfId="7455" xr:uid="{00000000-0005-0000-0000-00001E1D0000}"/>
    <cellStyle name="40% - Accent4 4 4 4" xfId="7456" xr:uid="{00000000-0005-0000-0000-00001F1D0000}"/>
    <cellStyle name="40% - Accent4 4 4 4 2" xfId="7457" xr:uid="{00000000-0005-0000-0000-0000201D0000}"/>
    <cellStyle name="40% - Accent4 4 4 5" xfId="7458" xr:uid="{00000000-0005-0000-0000-0000211D0000}"/>
    <cellStyle name="40% - Accent4 4 4 6" xfId="7459" xr:uid="{00000000-0005-0000-0000-0000221D0000}"/>
    <cellStyle name="40% - Accent4 4 4 7" xfId="7460" xr:uid="{00000000-0005-0000-0000-0000231D0000}"/>
    <cellStyle name="40% - Accent4 4 5" xfId="7461" xr:uid="{00000000-0005-0000-0000-0000241D0000}"/>
    <cellStyle name="40% - Accent4 4 5 2" xfId="7462" xr:uid="{00000000-0005-0000-0000-0000251D0000}"/>
    <cellStyle name="40% - Accent4 4 5 2 2" xfId="7463" xr:uid="{00000000-0005-0000-0000-0000261D0000}"/>
    <cellStyle name="40% - Accent4 4 5 2 2 2" xfId="7464" xr:uid="{00000000-0005-0000-0000-0000271D0000}"/>
    <cellStyle name="40% - Accent4 4 5 2 3" xfId="7465" xr:uid="{00000000-0005-0000-0000-0000281D0000}"/>
    <cellStyle name="40% - Accent4 4 5 3" xfId="7466" xr:uid="{00000000-0005-0000-0000-0000291D0000}"/>
    <cellStyle name="40% - Accent4 4 5 3 2" xfId="7467" xr:uid="{00000000-0005-0000-0000-00002A1D0000}"/>
    <cellStyle name="40% - Accent4 4 5 4" xfId="7468" xr:uid="{00000000-0005-0000-0000-00002B1D0000}"/>
    <cellStyle name="40% - Accent4 4 5 4 2" xfId="7469" xr:uid="{00000000-0005-0000-0000-00002C1D0000}"/>
    <cellStyle name="40% - Accent4 4 5 5" xfId="7470" xr:uid="{00000000-0005-0000-0000-00002D1D0000}"/>
    <cellStyle name="40% - Accent4 4 5 6" xfId="7471" xr:uid="{00000000-0005-0000-0000-00002E1D0000}"/>
    <cellStyle name="40% - Accent4 4 6" xfId="7472" xr:uid="{00000000-0005-0000-0000-00002F1D0000}"/>
    <cellStyle name="40% - Accent4 4 6 2" xfId="7473" xr:uid="{00000000-0005-0000-0000-0000301D0000}"/>
    <cellStyle name="40% - Accent4 4 6 2 2" xfId="7474" xr:uid="{00000000-0005-0000-0000-0000311D0000}"/>
    <cellStyle name="40% - Accent4 4 6 3" xfId="7475" xr:uid="{00000000-0005-0000-0000-0000321D0000}"/>
    <cellStyle name="40% - Accent4 4 7" xfId="7476" xr:uid="{00000000-0005-0000-0000-0000331D0000}"/>
    <cellStyle name="40% - Accent4 4 7 2" xfId="7477" xr:uid="{00000000-0005-0000-0000-0000341D0000}"/>
    <cellStyle name="40% - Accent4 4 8" xfId="7478" xr:uid="{00000000-0005-0000-0000-0000351D0000}"/>
    <cellStyle name="40% - Accent4 4 8 2" xfId="7479" xr:uid="{00000000-0005-0000-0000-0000361D0000}"/>
    <cellStyle name="40% - Accent4 4 9" xfId="7480" xr:uid="{00000000-0005-0000-0000-0000371D0000}"/>
    <cellStyle name="40% - Accent4 5" xfId="7481" xr:uid="{00000000-0005-0000-0000-0000381D0000}"/>
    <cellStyle name="40% - Accent4 5 2" xfId="7482" xr:uid="{00000000-0005-0000-0000-0000391D0000}"/>
    <cellStyle name="40% - Accent4 5 2 2" xfId="7483" xr:uid="{00000000-0005-0000-0000-00003A1D0000}"/>
    <cellStyle name="40% - Accent4 5 2 2 2" xfId="7484" xr:uid="{00000000-0005-0000-0000-00003B1D0000}"/>
    <cellStyle name="40% - Accent4 5 2 2 2 2" xfId="7485" xr:uid="{00000000-0005-0000-0000-00003C1D0000}"/>
    <cellStyle name="40% - Accent4 5 2 2 2 2 2" xfId="7486" xr:uid="{00000000-0005-0000-0000-00003D1D0000}"/>
    <cellStyle name="40% - Accent4 5 2 2 2 2 2 2" xfId="7487" xr:uid="{00000000-0005-0000-0000-00003E1D0000}"/>
    <cellStyle name="40% - Accent4 5 2 2 2 2 3" xfId="7488" xr:uid="{00000000-0005-0000-0000-00003F1D0000}"/>
    <cellStyle name="40% - Accent4 5 2 2 2 2 3 2" xfId="7489" xr:uid="{00000000-0005-0000-0000-0000401D0000}"/>
    <cellStyle name="40% - Accent4 5 2 2 2 2 4" xfId="7490" xr:uid="{00000000-0005-0000-0000-0000411D0000}"/>
    <cellStyle name="40% - Accent4 5 2 2 2 2 5" xfId="7491" xr:uid="{00000000-0005-0000-0000-0000421D0000}"/>
    <cellStyle name="40% - Accent4 5 2 2 2 3" xfId="7492" xr:uid="{00000000-0005-0000-0000-0000431D0000}"/>
    <cellStyle name="40% - Accent4 5 2 2 2 3 2" xfId="7493" xr:uid="{00000000-0005-0000-0000-0000441D0000}"/>
    <cellStyle name="40% - Accent4 5 2 2 2 4" xfId="7494" xr:uid="{00000000-0005-0000-0000-0000451D0000}"/>
    <cellStyle name="40% - Accent4 5 2 2 2 4 2" xfId="7495" xr:uid="{00000000-0005-0000-0000-0000461D0000}"/>
    <cellStyle name="40% - Accent4 5 2 2 2 5" xfId="7496" xr:uid="{00000000-0005-0000-0000-0000471D0000}"/>
    <cellStyle name="40% - Accent4 5 2 2 2 6" xfId="7497" xr:uid="{00000000-0005-0000-0000-0000481D0000}"/>
    <cellStyle name="40% - Accent4 5 2 2 3" xfId="7498" xr:uid="{00000000-0005-0000-0000-0000491D0000}"/>
    <cellStyle name="40% - Accent4 5 2 2 3 2" xfId="7499" xr:uid="{00000000-0005-0000-0000-00004A1D0000}"/>
    <cellStyle name="40% - Accent4 5 2 2 3 2 2" xfId="7500" xr:uid="{00000000-0005-0000-0000-00004B1D0000}"/>
    <cellStyle name="40% - Accent4 5 2 2 3 3" xfId="7501" xr:uid="{00000000-0005-0000-0000-00004C1D0000}"/>
    <cellStyle name="40% - Accent4 5 2 2 3 3 2" xfId="7502" xr:uid="{00000000-0005-0000-0000-00004D1D0000}"/>
    <cellStyle name="40% - Accent4 5 2 2 3 4" xfId="7503" xr:uid="{00000000-0005-0000-0000-00004E1D0000}"/>
    <cellStyle name="40% - Accent4 5 2 2 3 5" xfId="7504" xr:uid="{00000000-0005-0000-0000-00004F1D0000}"/>
    <cellStyle name="40% - Accent4 5 2 2 4" xfId="7505" xr:uid="{00000000-0005-0000-0000-0000501D0000}"/>
    <cellStyle name="40% - Accent4 5 2 2 4 2" xfId="7506" xr:uid="{00000000-0005-0000-0000-0000511D0000}"/>
    <cellStyle name="40% - Accent4 5 2 2 5" xfId="7507" xr:uid="{00000000-0005-0000-0000-0000521D0000}"/>
    <cellStyle name="40% - Accent4 5 2 2 5 2" xfId="7508" xr:uid="{00000000-0005-0000-0000-0000531D0000}"/>
    <cellStyle name="40% - Accent4 5 2 2 6" xfId="7509" xr:uid="{00000000-0005-0000-0000-0000541D0000}"/>
    <cellStyle name="40% - Accent4 5 2 2 7" xfId="7510" xr:uid="{00000000-0005-0000-0000-0000551D0000}"/>
    <cellStyle name="40% - Accent4 5 2 3" xfId="7511" xr:uid="{00000000-0005-0000-0000-0000561D0000}"/>
    <cellStyle name="40% - Accent4 5 2 3 2" xfId="7512" xr:uid="{00000000-0005-0000-0000-0000571D0000}"/>
    <cellStyle name="40% - Accent4 5 2 3 2 2" xfId="7513" xr:uid="{00000000-0005-0000-0000-0000581D0000}"/>
    <cellStyle name="40% - Accent4 5 2 3 2 2 2" xfId="7514" xr:uid="{00000000-0005-0000-0000-0000591D0000}"/>
    <cellStyle name="40% - Accent4 5 2 3 2 3" xfId="7515" xr:uid="{00000000-0005-0000-0000-00005A1D0000}"/>
    <cellStyle name="40% - Accent4 5 2 3 2 3 2" xfId="7516" xr:uid="{00000000-0005-0000-0000-00005B1D0000}"/>
    <cellStyle name="40% - Accent4 5 2 3 2 4" xfId="7517" xr:uid="{00000000-0005-0000-0000-00005C1D0000}"/>
    <cellStyle name="40% - Accent4 5 2 3 2 5" xfId="7518" xr:uid="{00000000-0005-0000-0000-00005D1D0000}"/>
    <cellStyle name="40% - Accent4 5 2 3 3" xfId="7519" xr:uid="{00000000-0005-0000-0000-00005E1D0000}"/>
    <cellStyle name="40% - Accent4 5 2 3 3 2" xfId="7520" xr:uid="{00000000-0005-0000-0000-00005F1D0000}"/>
    <cellStyle name="40% - Accent4 5 2 3 4" xfId="7521" xr:uid="{00000000-0005-0000-0000-0000601D0000}"/>
    <cellStyle name="40% - Accent4 5 2 3 4 2" xfId="7522" xr:uid="{00000000-0005-0000-0000-0000611D0000}"/>
    <cellStyle name="40% - Accent4 5 2 3 5" xfId="7523" xr:uid="{00000000-0005-0000-0000-0000621D0000}"/>
    <cellStyle name="40% - Accent4 5 2 3 6" xfId="7524" xr:uid="{00000000-0005-0000-0000-0000631D0000}"/>
    <cellStyle name="40% - Accent4 5 2 4" xfId="7525" xr:uid="{00000000-0005-0000-0000-0000641D0000}"/>
    <cellStyle name="40% - Accent4 5 2 4 2" xfId="7526" xr:uid="{00000000-0005-0000-0000-0000651D0000}"/>
    <cellStyle name="40% - Accent4 5 2 4 2 2" xfId="7527" xr:uid="{00000000-0005-0000-0000-0000661D0000}"/>
    <cellStyle name="40% - Accent4 5 2 4 3" xfId="7528" xr:uid="{00000000-0005-0000-0000-0000671D0000}"/>
    <cellStyle name="40% - Accent4 5 2 4 3 2" xfId="7529" xr:uid="{00000000-0005-0000-0000-0000681D0000}"/>
    <cellStyle name="40% - Accent4 5 2 4 4" xfId="7530" xr:uid="{00000000-0005-0000-0000-0000691D0000}"/>
    <cellStyle name="40% - Accent4 5 2 4 5" xfId="7531" xr:uid="{00000000-0005-0000-0000-00006A1D0000}"/>
    <cellStyle name="40% - Accent4 5 2 5" xfId="7532" xr:uid="{00000000-0005-0000-0000-00006B1D0000}"/>
    <cellStyle name="40% - Accent4 5 2 5 2" xfId="7533" xr:uid="{00000000-0005-0000-0000-00006C1D0000}"/>
    <cellStyle name="40% - Accent4 5 2 6" xfId="7534" xr:uid="{00000000-0005-0000-0000-00006D1D0000}"/>
    <cellStyle name="40% - Accent4 5 2 6 2" xfId="7535" xr:uid="{00000000-0005-0000-0000-00006E1D0000}"/>
    <cellStyle name="40% - Accent4 5 2 7" xfId="7536" xr:uid="{00000000-0005-0000-0000-00006F1D0000}"/>
    <cellStyle name="40% - Accent4 5 2 8" xfId="7537" xr:uid="{00000000-0005-0000-0000-0000701D0000}"/>
    <cellStyle name="40% - Accent4 5 3" xfId="7538" xr:uid="{00000000-0005-0000-0000-0000711D0000}"/>
    <cellStyle name="40% - Accent4 5 3 2" xfId="7539" xr:uid="{00000000-0005-0000-0000-0000721D0000}"/>
    <cellStyle name="40% - Accent4 5 3 2 2" xfId="7540" xr:uid="{00000000-0005-0000-0000-0000731D0000}"/>
    <cellStyle name="40% - Accent4 5 3 2 2 2" xfId="7541" xr:uid="{00000000-0005-0000-0000-0000741D0000}"/>
    <cellStyle name="40% - Accent4 5 3 2 2 2 2" xfId="7542" xr:uid="{00000000-0005-0000-0000-0000751D0000}"/>
    <cellStyle name="40% - Accent4 5 3 2 2 3" xfId="7543" xr:uid="{00000000-0005-0000-0000-0000761D0000}"/>
    <cellStyle name="40% - Accent4 5 3 2 2 3 2" xfId="7544" xr:uid="{00000000-0005-0000-0000-0000771D0000}"/>
    <cellStyle name="40% - Accent4 5 3 2 2 4" xfId="7545" xr:uid="{00000000-0005-0000-0000-0000781D0000}"/>
    <cellStyle name="40% - Accent4 5 3 2 2 5" xfId="7546" xr:uid="{00000000-0005-0000-0000-0000791D0000}"/>
    <cellStyle name="40% - Accent4 5 3 2 3" xfId="7547" xr:uid="{00000000-0005-0000-0000-00007A1D0000}"/>
    <cellStyle name="40% - Accent4 5 3 2 3 2" xfId="7548" xr:uid="{00000000-0005-0000-0000-00007B1D0000}"/>
    <cellStyle name="40% - Accent4 5 3 2 4" xfId="7549" xr:uid="{00000000-0005-0000-0000-00007C1D0000}"/>
    <cellStyle name="40% - Accent4 5 3 2 4 2" xfId="7550" xr:uid="{00000000-0005-0000-0000-00007D1D0000}"/>
    <cellStyle name="40% - Accent4 5 3 2 5" xfId="7551" xr:uid="{00000000-0005-0000-0000-00007E1D0000}"/>
    <cellStyle name="40% - Accent4 5 3 2 6" xfId="7552" xr:uid="{00000000-0005-0000-0000-00007F1D0000}"/>
    <cellStyle name="40% - Accent4 5 3 3" xfId="7553" xr:uid="{00000000-0005-0000-0000-0000801D0000}"/>
    <cellStyle name="40% - Accent4 5 3 3 2" xfId="7554" xr:uid="{00000000-0005-0000-0000-0000811D0000}"/>
    <cellStyle name="40% - Accent4 5 3 3 2 2" xfId="7555" xr:uid="{00000000-0005-0000-0000-0000821D0000}"/>
    <cellStyle name="40% - Accent4 5 3 3 3" xfId="7556" xr:uid="{00000000-0005-0000-0000-0000831D0000}"/>
    <cellStyle name="40% - Accent4 5 3 3 3 2" xfId="7557" xr:uid="{00000000-0005-0000-0000-0000841D0000}"/>
    <cellStyle name="40% - Accent4 5 3 3 4" xfId="7558" xr:uid="{00000000-0005-0000-0000-0000851D0000}"/>
    <cellStyle name="40% - Accent4 5 3 3 5" xfId="7559" xr:uid="{00000000-0005-0000-0000-0000861D0000}"/>
    <cellStyle name="40% - Accent4 5 3 4" xfId="7560" xr:uid="{00000000-0005-0000-0000-0000871D0000}"/>
    <cellStyle name="40% - Accent4 5 3 4 2" xfId="7561" xr:uid="{00000000-0005-0000-0000-0000881D0000}"/>
    <cellStyle name="40% - Accent4 5 3 5" xfId="7562" xr:uid="{00000000-0005-0000-0000-0000891D0000}"/>
    <cellStyle name="40% - Accent4 5 3 5 2" xfId="7563" xr:uid="{00000000-0005-0000-0000-00008A1D0000}"/>
    <cellStyle name="40% - Accent4 5 3 6" xfId="7564" xr:uid="{00000000-0005-0000-0000-00008B1D0000}"/>
    <cellStyle name="40% - Accent4 5 3 7" xfId="7565" xr:uid="{00000000-0005-0000-0000-00008C1D0000}"/>
    <cellStyle name="40% - Accent4 5 4" xfId="7566" xr:uid="{00000000-0005-0000-0000-00008D1D0000}"/>
    <cellStyle name="40% - Accent4 5 4 2" xfId="7567" xr:uid="{00000000-0005-0000-0000-00008E1D0000}"/>
    <cellStyle name="40% - Accent4 5 4 2 2" xfId="7568" xr:uid="{00000000-0005-0000-0000-00008F1D0000}"/>
    <cellStyle name="40% - Accent4 5 4 2 2 2" xfId="7569" xr:uid="{00000000-0005-0000-0000-0000901D0000}"/>
    <cellStyle name="40% - Accent4 5 4 2 3" xfId="7570" xr:uid="{00000000-0005-0000-0000-0000911D0000}"/>
    <cellStyle name="40% - Accent4 5 4 2 3 2" xfId="7571" xr:uid="{00000000-0005-0000-0000-0000921D0000}"/>
    <cellStyle name="40% - Accent4 5 4 2 4" xfId="7572" xr:uid="{00000000-0005-0000-0000-0000931D0000}"/>
    <cellStyle name="40% - Accent4 5 4 2 5" xfId="7573" xr:uid="{00000000-0005-0000-0000-0000941D0000}"/>
    <cellStyle name="40% - Accent4 5 4 3" xfId="7574" xr:uid="{00000000-0005-0000-0000-0000951D0000}"/>
    <cellStyle name="40% - Accent4 5 4 3 2" xfId="7575" xr:uid="{00000000-0005-0000-0000-0000961D0000}"/>
    <cellStyle name="40% - Accent4 5 4 4" xfId="7576" xr:uid="{00000000-0005-0000-0000-0000971D0000}"/>
    <cellStyle name="40% - Accent4 5 4 4 2" xfId="7577" xr:uid="{00000000-0005-0000-0000-0000981D0000}"/>
    <cellStyle name="40% - Accent4 5 4 5" xfId="7578" xr:uid="{00000000-0005-0000-0000-0000991D0000}"/>
    <cellStyle name="40% - Accent4 5 4 6" xfId="7579" xr:uid="{00000000-0005-0000-0000-00009A1D0000}"/>
    <cellStyle name="40% - Accent4 5 5" xfId="7580" xr:uid="{00000000-0005-0000-0000-00009B1D0000}"/>
    <cellStyle name="40% - Accent4 5 5 2" xfId="7581" xr:uid="{00000000-0005-0000-0000-00009C1D0000}"/>
    <cellStyle name="40% - Accent4 5 5 2 2" xfId="7582" xr:uid="{00000000-0005-0000-0000-00009D1D0000}"/>
    <cellStyle name="40% - Accent4 5 5 2 2 2" xfId="7583" xr:uid="{00000000-0005-0000-0000-00009E1D0000}"/>
    <cellStyle name="40% - Accent4 5 5 2 3" xfId="7584" xr:uid="{00000000-0005-0000-0000-00009F1D0000}"/>
    <cellStyle name="40% - Accent4 5 5 3" xfId="7585" xr:uid="{00000000-0005-0000-0000-0000A01D0000}"/>
    <cellStyle name="40% - Accent4 5 5 3 2" xfId="7586" xr:uid="{00000000-0005-0000-0000-0000A11D0000}"/>
    <cellStyle name="40% - Accent4 5 5 4" xfId="7587" xr:uid="{00000000-0005-0000-0000-0000A21D0000}"/>
    <cellStyle name="40% - Accent4 5 5 4 2" xfId="7588" xr:uid="{00000000-0005-0000-0000-0000A31D0000}"/>
    <cellStyle name="40% - Accent4 5 5 5" xfId="7589" xr:uid="{00000000-0005-0000-0000-0000A41D0000}"/>
    <cellStyle name="40% - Accent4 5 5 6" xfId="7590" xr:uid="{00000000-0005-0000-0000-0000A51D0000}"/>
    <cellStyle name="40% - Accent4 5 6" xfId="7591" xr:uid="{00000000-0005-0000-0000-0000A61D0000}"/>
    <cellStyle name="40% - Accent4 5 6 2" xfId="7592" xr:uid="{00000000-0005-0000-0000-0000A71D0000}"/>
    <cellStyle name="40% - Accent4 5 7" xfId="7593" xr:uid="{00000000-0005-0000-0000-0000A81D0000}"/>
    <cellStyle name="40% - Accent4 5 8" xfId="7594" xr:uid="{00000000-0005-0000-0000-0000A91D0000}"/>
    <cellStyle name="40% - Accent4 6" xfId="7595" xr:uid="{00000000-0005-0000-0000-0000AA1D0000}"/>
    <cellStyle name="40% - Accent4 6 2" xfId="7596" xr:uid="{00000000-0005-0000-0000-0000AB1D0000}"/>
    <cellStyle name="40% - Accent4 6 2 2" xfId="7597" xr:uid="{00000000-0005-0000-0000-0000AC1D0000}"/>
    <cellStyle name="40% - Accent4 6 2 2 2" xfId="7598" xr:uid="{00000000-0005-0000-0000-0000AD1D0000}"/>
    <cellStyle name="40% - Accent4 6 2 2 2 2" xfId="7599" xr:uid="{00000000-0005-0000-0000-0000AE1D0000}"/>
    <cellStyle name="40% - Accent4 6 2 2 2 2 2" xfId="7600" xr:uid="{00000000-0005-0000-0000-0000AF1D0000}"/>
    <cellStyle name="40% - Accent4 6 2 2 2 3" xfId="7601" xr:uid="{00000000-0005-0000-0000-0000B01D0000}"/>
    <cellStyle name="40% - Accent4 6 2 2 2 3 2" xfId="7602" xr:uid="{00000000-0005-0000-0000-0000B11D0000}"/>
    <cellStyle name="40% - Accent4 6 2 2 2 4" xfId="7603" xr:uid="{00000000-0005-0000-0000-0000B21D0000}"/>
    <cellStyle name="40% - Accent4 6 2 2 2 5" xfId="7604" xr:uid="{00000000-0005-0000-0000-0000B31D0000}"/>
    <cellStyle name="40% - Accent4 6 2 2 3" xfId="7605" xr:uid="{00000000-0005-0000-0000-0000B41D0000}"/>
    <cellStyle name="40% - Accent4 6 2 2 3 2" xfId="7606" xr:uid="{00000000-0005-0000-0000-0000B51D0000}"/>
    <cellStyle name="40% - Accent4 6 2 2 4" xfId="7607" xr:uid="{00000000-0005-0000-0000-0000B61D0000}"/>
    <cellStyle name="40% - Accent4 6 2 2 4 2" xfId="7608" xr:uid="{00000000-0005-0000-0000-0000B71D0000}"/>
    <cellStyle name="40% - Accent4 6 2 2 5" xfId="7609" xr:uid="{00000000-0005-0000-0000-0000B81D0000}"/>
    <cellStyle name="40% - Accent4 6 2 2 6" xfId="7610" xr:uid="{00000000-0005-0000-0000-0000B91D0000}"/>
    <cellStyle name="40% - Accent4 6 2 3" xfId="7611" xr:uid="{00000000-0005-0000-0000-0000BA1D0000}"/>
    <cellStyle name="40% - Accent4 6 2 3 2" xfId="7612" xr:uid="{00000000-0005-0000-0000-0000BB1D0000}"/>
    <cellStyle name="40% - Accent4 6 2 3 2 2" xfId="7613" xr:uid="{00000000-0005-0000-0000-0000BC1D0000}"/>
    <cellStyle name="40% - Accent4 6 2 3 3" xfId="7614" xr:uid="{00000000-0005-0000-0000-0000BD1D0000}"/>
    <cellStyle name="40% - Accent4 6 2 3 3 2" xfId="7615" xr:uid="{00000000-0005-0000-0000-0000BE1D0000}"/>
    <cellStyle name="40% - Accent4 6 2 3 4" xfId="7616" xr:uid="{00000000-0005-0000-0000-0000BF1D0000}"/>
    <cellStyle name="40% - Accent4 6 2 3 5" xfId="7617" xr:uid="{00000000-0005-0000-0000-0000C01D0000}"/>
    <cellStyle name="40% - Accent4 6 2 4" xfId="7618" xr:uid="{00000000-0005-0000-0000-0000C11D0000}"/>
    <cellStyle name="40% - Accent4 6 2 4 2" xfId="7619" xr:uid="{00000000-0005-0000-0000-0000C21D0000}"/>
    <cellStyle name="40% - Accent4 6 2 5" xfId="7620" xr:uid="{00000000-0005-0000-0000-0000C31D0000}"/>
    <cellStyle name="40% - Accent4 6 2 5 2" xfId="7621" xr:uid="{00000000-0005-0000-0000-0000C41D0000}"/>
    <cellStyle name="40% - Accent4 6 2 6" xfId="7622" xr:uid="{00000000-0005-0000-0000-0000C51D0000}"/>
    <cellStyle name="40% - Accent4 6 2 7" xfId="7623" xr:uid="{00000000-0005-0000-0000-0000C61D0000}"/>
    <cellStyle name="40% - Accent4 6 3" xfId="7624" xr:uid="{00000000-0005-0000-0000-0000C71D0000}"/>
    <cellStyle name="40% - Accent4 6 3 2" xfId="7625" xr:uid="{00000000-0005-0000-0000-0000C81D0000}"/>
    <cellStyle name="40% - Accent4 6 3 2 2" xfId="7626" xr:uid="{00000000-0005-0000-0000-0000C91D0000}"/>
    <cellStyle name="40% - Accent4 6 3 2 2 2" xfId="7627" xr:uid="{00000000-0005-0000-0000-0000CA1D0000}"/>
    <cellStyle name="40% - Accent4 6 3 2 3" xfId="7628" xr:uid="{00000000-0005-0000-0000-0000CB1D0000}"/>
    <cellStyle name="40% - Accent4 6 3 2 3 2" xfId="7629" xr:uid="{00000000-0005-0000-0000-0000CC1D0000}"/>
    <cellStyle name="40% - Accent4 6 3 2 4" xfId="7630" xr:uid="{00000000-0005-0000-0000-0000CD1D0000}"/>
    <cellStyle name="40% - Accent4 6 3 2 5" xfId="7631" xr:uid="{00000000-0005-0000-0000-0000CE1D0000}"/>
    <cellStyle name="40% - Accent4 6 3 3" xfId="7632" xr:uid="{00000000-0005-0000-0000-0000CF1D0000}"/>
    <cellStyle name="40% - Accent4 6 3 3 2" xfId="7633" xr:uid="{00000000-0005-0000-0000-0000D01D0000}"/>
    <cellStyle name="40% - Accent4 6 3 4" xfId="7634" xr:uid="{00000000-0005-0000-0000-0000D11D0000}"/>
    <cellStyle name="40% - Accent4 6 3 4 2" xfId="7635" xr:uid="{00000000-0005-0000-0000-0000D21D0000}"/>
    <cellStyle name="40% - Accent4 6 3 5" xfId="7636" xr:uid="{00000000-0005-0000-0000-0000D31D0000}"/>
    <cellStyle name="40% - Accent4 6 3 6" xfId="7637" xr:uid="{00000000-0005-0000-0000-0000D41D0000}"/>
    <cellStyle name="40% - Accent4 6 4" xfId="7638" xr:uid="{00000000-0005-0000-0000-0000D51D0000}"/>
    <cellStyle name="40% - Accent4 6 4 2" xfId="7639" xr:uid="{00000000-0005-0000-0000-0000D61D0000}"/>
    <cellStyle name="40% - Accent4 6 4 2 2" xfId="7640" xr:uid="{00000000-0005-0000-0000-0000D71D0000}"/>
    <cellStyle name="40% - Accent4 6 4 3" xfId="7641" xr:uid="{00000000-0005-0000-0000-0000D81D0000}"/>
    <cellStyle name="40% - Accent4 6 4 3 2" xfId="7642" xr:uid="{00000000-0005-0000-0000-0000D91D0000}"/>
    <cellStyle name="40% - Accent4 6 4 4" xfId="7643" xr:uid="{00000000-0005-0000-0000-0000DA1D0000}"/>
    <cellStyle name="40% - Accent4 6 4 5" xfId="7644" xr:uid="{00000000-0005-0000-0000-0000DB1D0000}"/>
    <cellStyle name="40% - Accent4 6 5" xfId="7645" xr:uid="{00000000-0005-0000-0000-0000DC1D0000}"/>
    <cellStyle name="40% - Accent4 6 5 2" xfId="7646" xr:uid="{00000000-0005-0000-0000-0000DD1D0000}"/>
    <cellStyle name="40% - Accent4 6 6" xfId="7647" xr:uid="{00000000-0005-0000-0000-0000DE1D0000}"/>
    <cellStyle name="40% - Accent4 6 6 2" xfId="7648" xr:uid="{00000000-0005-0000-0000-0000DF1D0000}"/>
    <cellStyle name="40% - Accent4 6 7" xfId="7649" xr:uid="{00000000-0005-0000-0000-0000E01D0000}"/>
    <cellStyle name="40% - Accent4 6 8" xfId="7650" xr:uid="{00000000-0005-0000-0000-0000E11D0000}"/>
    <cellStyle name="40% - Accent4 6 9" xfId="7651" xr:uid="{00000000-0005-0000-0000-0000E21D0000}"/>
    <cellStyle name="40% - Accent4 7" xfId="7652" xr:uid="{00000000-0005-0000-0000-0000E31D0000}"/>
    <cellStyle name="40% - Accent4 7 2" xfId="7653" xr:uid="{00000000-0005-0000-0000-0000E41D0000}"/>
    <cellStyle name="40% - Accent4 7 2 2" xfId="7654" xr:uid="{00000000-0005-0000-0000-0000E51D0000}"/>
    <cellStyle name="40% - Accent4 7 2 2 2" xfId="7655" xr:uid="{00000000-0005-0000-0000-0000E61D0000}"/>
    <cellStyle name="40% - Accent4 7 2 2 2 2" xfId="7656" xr:uid="{00000000-0005-0000-0000-0000E71D0000}"/>
    <cellStyle name="40% - Accent4 7 2 2 2 2 2" xfId="7657" xr:uid="{00000000-0005-0000-0000-0000E81D0000}"/>
    <cellStyle name="40% - Accent4 7 2 2 2 3" xfId="7658" xr:uid="{00000000-0005-0000-0000-0000E91D0000}"/>
    <cellStyle name="40% - Accent4 7 2 2 2 3 2" xfId="7659" xr:uid="{00000000-0005-0000-0000-0000EA1D0000}"/>
    <cellStyle name="40% - Accent4 7 2 2 2 4" xfId="7660" xr:uid="{00000000-0005-0000-0000-0000EB1D0000}"/>
    <cellStyle name="40% - Accent4 7 2 2 2 5" xfId="7661" xr:uid="{00000000-0005-0000-0000-0000EC1D0000}"/>
    <cellStyle name="40% - Accent4 7 2 2 3" xfId="7662" xr:uid="{00000000-0005-0000-0000-0000ED1D0000}"/>
    <cellStyle name="40% - Accent4 7 2 2 3 2" xfId="7663" xr:uid="{00000000-0005-0000-0000-0000EE1D0000}"/>
    <cellStyle name="40% - Accent4 7 2 2 4" xfId="7664" xr:uid="{00000000-0005-0000-0000-0000EF1D0000}"/>
    <cellStyle name="40% - Accent4 7 2 2 4 2" xfId="7665" xr:uid="{00000000-0005-0000-0000-0000F01D0000}"/>
    <cellStyle name="40% - Accent4 7 2 2 5" xfId="7666" xr:uid="{00000000-0005-0000-0000-0000F11D0000}"/>
    <cellStyle name="40% - Accent4 7 2 2 6" xfId="7667" xr:uid="{00000000-0005-0000-0000-0000F21D0000}"/>
    <cellStyle name="40% - Accent4 7 2 3" xfId="7668" xr:uid="{00000000-0005-0000-0000-0000F31D0000}"/>
    <cellStyle name="40% - Accent4 7 2 3 2" xfId="7669" xr:uid="{00000000-0005-0000-0000-0000F41D0000}"/>
    <cellStyle name="40% - Accent4 7 2 3 2 2" xfId="7670" xr:uid="{00000000-0005-0000-0000-0000F51D0000}"/>
    <cellStyle name="40% - Accent4 7 2 3 3" xfId="7671" xr:uid="{00000000-0005-0000-0000-0000F61D0000}"/>
    <cellStyle name="40% - Accent4 7 2 3 3 2" xfId="7672" xr:uid="{00000000-0005-0000-0000-0000F71D0000}"/>
    <cellStyle name="40% - Accent4 7 2 3 4" xfId="7673" xr:uid="{00000000-0005-0000-0000-0000F81D0000}"/>
    <cellStyle name="40% - Accent4 7 2 3 5" xfId="7674" xr:uid="{00000000-0005-0000-0000-0000F91D0000}"/>
    <cellStyle name="40% - Accent4 7 2 4" xfId="7675" xr:uid="{00000000-0005-0000-0000-0000FA1D0000}"/>
    <cellStyle name="40% - Accent4 7 2 4 2" xfId="7676" xr:uid="{00000000-0005-0000-0000-0000FB1D0000}"/>
    <cellStyle name="40% - Accent4 7 2 5" xfId="7677" xr:uid="{00000000-0005-0000-0000-0000FC1D0000}"/>
    <cellStyle name="40% - Accent4 7 2 5 2" xfId="7678" xr:uid="{00000000-0005-0000-0000-0000FD1D0000}"/>
    <cellStyle name="40% - Accent4 7 2 6" xfId="7679" xr:uid="{00000000-0005-0000-0000-0000FE1D0000}"/>
    <cellStyle name="40% - Accent4 7 2 7" xfId="7680" xr:uid="{00000000-0005-0000-0000-0000FF1D0000}"/>
    <cellStyle name="40% - Accent4 7 3" xfId="7681" xr:uid="{00000000-0005-0000-0000-0000001E0000}"/>
    <cellStyle name="40% - Accent4 7 3 2" xfId="7682" xr:uid="{00000000-0005-0000-0000-0000011E0000}"/>
    <cellStyle name="40% - Accent4 7 3 2 2" xfId="7683" xr:uid="{00000000-0005-0000-0000-0000021E0000}"/>
    <cellStyle name="40% - Accent4 7 3 2 2 2" xfId="7684" xr:uid="{00000000-0005-0000-0000-0000031E0000}"/>
    <cellStyle name="40% - Accent4 7 3 2 3" xfId="7685" xr:uid="{00000000-0005-0000-0000-0000041E0000}"/>
    <cellStyle name="40% - Accent4 7 3 2 3 2" xfId="7686" xr:uid="{00000000-0005-0000-0000-0000051E0000}"/>
    <cellStyle name="40% - Accent4 7 3 2 4" xfId="7687" xr:uid="{00000000-0005-0000-0000-0000061E0000}"/>
    <cellStyle name="40% - Accent4 7 3 2 5" xfId="7688" xr:uid="{00000000-0005-0000-0000-0000071E0000}"/>
    <cellStyle name="40% - Accent4 7 3 3" xfId="7689" xr:uid="{00000000-0005-0000-0000-0000081E0000}"/>
    <cellStyle name="40% - Accent4 7 3 3 2" xfId="7690" xr:uid="{00000000-0005-0000-0000-0000091E0000}"/>
    <cellStyle name="40% - Accent4 7 3 4" xfId="7691" xr:uid="{00000000-0005-0000-0000-00000A1E0000}"/>
    <cellStyle name="40% - Accent4 7 3 4 2" xfId="7692" xr:uid="{00000000-0005-0000-0000-00000B1E0000}"/>
    <cellStyle name="40% - Accent4 7 3 5" xfId="7693" xr:uid="{00000000-0005-0000-0000-00000C1E0000}"/>
    <cellStyle name="40% - Accent4 7 3 6" xfId="7694" xr:uid="{00000000-0005-0000-0000-00000D1E0000}"/>
    <cellStyle name="40% - Accent4 7 4" xfId="7695" xr:uid="{00000000-0005-0000-0000-00000E1E0000}"/>
    <cellStyle name="40% - Accent4 7 4 2" xfId="7696" xr:uid="{00000000-0005-0000-0000-00000F1E0000}"/>
    <cellStyle name="40% - Accent4 7 4 2 2" xfId="7697" xr:uid="{00000000-0005-0000-0000-0000101E0000}"/>
    <cellStyle name="40% - Accent4 7 4 3" xfId="7698" xr:uid="{00000000-0005-0000-0000-0000111E0000}"/>
    <cellStyle name="40% - Accent4 7 4 3 2" xfId="7699" xr:uid="{00000000-0005-0000-0000-0000121E0000}"/>
    <cellStyle name="40% - Accent4 7 4 4" xfId="7700" xr:uid="{00000000-0005-0000-0000-0000131E0000}"/>
    <cellStyle name="40% - Accent4 7 4 5" xfId="7701" xr:uid="{00000000-0005-0000-0000-0000141E0000}"/>
    <cellStyle name="40% - Accent4 7 5" xfId="7702" xr:uid="{00000000-0005-0000-0000-0000151E0000}"/>
    <cellStyle name="40% - Accent4 7 5 2" xfId="7703" xr:uid="{00000000-0005-0000-0000-0000161E0000}"/>
    <cellStyle name="40% - Accent4 7 6" xfId="7704" xr:uid="{00000000-0005-0000-0000-0000171E0000}"/>
    <cellStyle name="40% - Accent4 7 6 2" xfId="7705" xr:uid="{00000000-0005-0000-0000-0000181E0000}"/>
    <cellStyle name="40% - Accent4 7 7" xfId="7706" xr:uid="{00000000-0005-0000-0000-0000191E0000}"/>
    <cellStyle name="40% - Accent4 7 8" xfId="7707" xr:uid="{00000000-0005-0000-0000-00001A1E0000}"/>
    <cellStyle name="40% - Accent4 7 9" xfId="7708" xr:uid="{00000000-0005-0000-0000-00001B1E0000}"/>
    <cellStyle name="40% - Accent4 8" xfId="7709" xr:uid="{00000000-0005-0000-0000-00001C1E0000}"/>
    <cellStyle name="40% - Accent4 8 2" xfId="7710" xr:uid="{00000000-0005-0000-0000-00001D1E0000}"/>
    <cellStyle name="40% - Accent4 8 2 2" xfId="7711" xr:uid="{00000000-0005-0000-0000-00001E1E0000}"/>
    <cellStyle name="40% - Accent4 8 2 2 2" xfId="7712" xr:uid="{00000000-0005-0000-0000-00001F1E0000}"/>
    <cellStyle name="40% - Accent4 8 2 2 2 2" xfId="7713" xr:uid="{00000000-0005-0000-0000-0000201E0000}"/>
    <cellStyle name="40% - Accent4 8 2 2 2 2 2" xfId="7714" xr:uid="{00000000-0005-0000-0000-0000211E0000}"/>
    <cellStyle name="40% - Accent4 8 2 2 2 3" xfId="7715" xr:uid="{00000000-0005-0000-0000-0000221E0000}"/>
    <cellStyle name="40% - Accent4 8 2 2 2 3 2" xfId="7716" xr:uid="{00000000-0005-0000-0000-0000231E0000}"/>
    <cellStyle name="40% - Accent4 8 2 2 2 4" xfId="7717" xr:uid="{00000000-0005-0000-0000-0000241E0000}"/>
    <cellStyle name="40% - Accent4 8 2 2 2 5" xfId="7718" xr:uid="{00000000-0005-0000-0000-0000251E0000}"/>
    <cellStyle name="40% - Accent4 8 2 2 3" xfId="7719" xr:uid="{00000000-0005-0000-0000-0000261E0000}"/>
    <cellStyle name="40% - Accent4 8 2 2 3 2" xfId="7720" xr:uid="{00000000-0005-0000-0000-0000271E0000}"/>
    <cellStyle name="40% - Accent4 8 2 2 4" xfId="7721" xr:uid="{00000000-0005-0000-0000-0000281E0000}"/>
    <cellStyle name="40% - Accent4 8 2 2 4 2" xfId="7722" xr:uid="{00000000-0005-0000-0000-0000291E0000}"/>
    <cellStyle name="40% - Accent4 8 2 2 5" xfId="7723" xr:uid="{00000000-0005-0000-0000-00002A1E0000}"/>
    <cellStyle name="40% - Accent4 8 2 2 6" xfId="7724" xr:uid="{00000000-0005-0000-0000-00002B1E0000}"/>
    <cellStyle name="40% - Accent4 8 2 3" xfId="7725" xr:uid="{00000000-0005-0000-0000-00002C1E0000}"/>
    <cellStyle name="40% - Accent4 8 2 3 2" xfId="7726" xr:uid="{00000000-0005-0000-0000-00002D1E0000}"/>
    <cellStyle name="40% - Accent4 8 2 3 2 2" xfId="7727" xr:uid="{00000000-0005-0000-0000-00002E1E0000}"/>
    <cellStyle name="40% - Accent4 8 2 3 3" xfId="7728" xr:uid="{00000000-0005-0000-0000-00002F1E0000}"/>
    <cellStyle name="40% - Accent4 8 2 3 3 2" xfId="7729" xr:uid="{00000000-0005-0000-0000-0000301E0000}"/>
    <cellStyle name="40% - Accent4 8 2 3 4" xfId="7730" xr:uid="{00000000-0005-0000-0000-0000311E0000}"/>
    <cellStyle name="40% - Accent4 8 2 3 5" xfId="7731" xr:uid="{00000000-0005-0000-0000-0000321E0000}"/>
    <cellStyle name="40% - Accent4 8 2 4" xfId="7732" xr:uid="{00000000-0005-0000-0000-0000331E0000}"/>
    <cellStyle name="40% - Accent4 8 2 4 2" xfId="7733" xr:uid="{00000000-0005-0000-0000-0000341E0000}"/>
    <cellStyle name="40% - Accent4 8 2 5" xfId="7734" xr:uid="{00000000-0005-0000-0000-0000351E0000}"/>
    <cellStyle name="40% - Accent4 8 2 5 2" xfId="7735" xr:uid="{00000000-0005-0000-0000-0000361E0000}"/>
    <cellStyle name="40% - Accent4 8 2 6" xfId="7736" xr:uid="{00000000-0005-0000-0000-0000371E0000}"/>
    <cellStyle name="40% - Accent4 8 2 7" xfId="7737" xr:uid="{00000000-0005-0000-0000-0000381E0000}"/>
    <cellStyle name="40% - Accent4 8 3" xfId="7738" xr:uid="{00000000-0005-0000-0000-0000391E0000}"/>
    <cellStyle name="40% - Accent4 8 3 2" xfId="7739" xr:uid="{00000000-0005-0000-0000-00003A1E0000}"/>
    <cellStyle name="40% - Accent4 8 3 2 2" xfId="7740" xr:uid="{00000000-0005-0000-0000-00003B1E0000}"/>
    <cellStyle name="40% - Accent4 8 3 2 2 2" xfId="7741" xr:uid="{00000000-0005-0000-0000-00003C1E0000}"/>
    <cellStyle name="40% - Accent4 8 3 2 3" xfId="7742" xr:uid="{00000000-0005-0000-0000-00003D1E0000}"/>
    <cellStyle name="40% - Accent4 8 3 2 3 2" xfId="7743" xr:uid="{00000000-0005-0000-0000-00003E1E0000}"/>
    <cellStyle name="40% - Accent4 8 3 2 4" xfId="7744" xr:uid="{00000000-0005-0000-0000-00003F1E0000}"/>
    <cellStyle name="40% - Accent4 8 3 2 5" xfId="7745" xr:uid="{00000000-0005-0000-0000-0000401E0000}"/>
    <cellStyle name="40% - Accent4 8 3 3" xfId="7746" xr:uid="{00000000-0005-0000-0000-0000411E0000}"/>
    <cellStyle name="40% - Accent4 8 3 3 2" xfId="7747" xr:uid="{00000000-0005-0000-0000-0000421E0000}"/>
    <cellStyle name="40% - Accent4 8 3 4" xfId="7748" xr:uid="{00000000-0005-0000-0000-0000431E0000}"/>
    <cellStyle name="40% - Accent4 8 3 4 2" xfId="7749" xr:uid="{00000000-0005-0000-0000-0000441E0000}"/>
    <cellStyle name="40% - Accent4 8 3 5" xfId="7750" xr:uid="{00000000-0005-0000-0000-0000451E0000}"/>
    <cellStyle name="40% - Accent4 8 3 6" xfId="7751" xr:uid="{00000000-0005-0000-0000-0000461E0000}"/>
    <cellStyle name="40% - Accent4 8 4" xfId="7752" xr:uid="{00000000-0005-0000-0000-0000471E0000}"/>
    <cellStyle name="40% - Accent4 8 4 2" xfId="7753" xr:uid="{00000000-0005-0000-0000-0000481E0000}"/>
    <cellStyle name="40% - Accent4 8 4 2 2" xfId="7754" xr:uid="{00000000-0005-0000-0000-0000491E0000}"/>
    <cellStyle name="40% - Accent4 8 4 3" xfId="7755" xr:uid="{00000000-0005-0000-0000-00004A1E0000}"/>
    <cellStyle name="40% - Accent4 8 4 3 2" xfId="7756" xr:uid="{00000000-0005-0000-0000-00004B1E0000}"/>
    <cellStyle name="40% - Accent4 8 4 4" xfId="7757" xr:uid="{00000000-0005-0000-0000-00004C1E0000}"/>
    <cellStyle name="40% - Accent4 8 4 5" xfId="7758" xr:uid="{00000000-0005-0000-0000-00004D1E0000}"/>
    <cellStyle name="40% - Accent4 8 5" xfId="7759" xr:uid="{00000000-0005-0000-0000-00004E1E0000}"/>
    <cellStyle name="40% - Accent4 8 5 2" xfId="7760" xr:uid="{00000000-0005-0000-0000-00004F1E0000}"/>
    <cellStyle name="40% - Accent4 8 6" xfId="7761" xr:uid="{00000000-0005-0000-0000-0000501E0000}"/>
    <cellStyle name="40% - Accent4 8 6 2" xfId="7762" xr:uid="{00000000-0005-0000-0000-0000511E0000}"/>
    <cellStyle name="40% - Accent4 8 7" xfId="7763" xr:uid="{00000000-0005-0000-0000-0000521E0000}"/>
    <cellStyle name="40% - Accent4 8 8" xfId="7764" xr:uid="{00000000-0005-0000-0000-0000531E0000}"/>
    <cellStyle name="40% - Accent4 9" xfId="7765" xr:uid="{00000000-0005-0000-0000-0000541E0000}"/>
    <cellStyle name="40% - Accent4 9 2" xfId="7766" xr:uid="{00000000-0005-0000-0000-0000551E0000}"/>
    <cellStyle name="40% - Accent4 9 2 2" xfId="7767" xr:uid="{00000000-0005-0000-0000-0000561E0000}"/>
    <cellStyle name="40% - Accent4 9 2 2 2" xfId="7768" xr:uid="{00000000-0005-0000-0000-0000571E0000}"/>
    <cellStyle name="40% - Accent4 9 2 2 2 2" xfId="7769" xr:uid="{00000000-0005-0000-0000-0000581E0000}"/>
    <cellStyle name="40% - Accent4 9 2 2 2 2 2" xfId="7770" xr:uid="{00000000-0005-0000-0000-0000591E0000}"/>
    <cellStyle name="40% - Accent4 9 2 2 2 3" xfId="7771" xr:uid="{00000000-0005-0000-0000-00005A1E0000}"/>
    <cellStyle name="40% - Accent4 9 2 2 2 3 2" xfId="7772" xr:uid="{00000000-0005-0000-0000-00005B1E0000}"/>
    <cellStyle name="40% - Accent4 9 2 2 2 4" xfId="7773" xr:uid="{00000000-0005-0000-0000-00005C1E0000}"/>
    <cellStyle name="40% - Accent4 9 2 2 2 5" xfId="7774" xr:uid="{00000000-0005-0000-0000-00005D1E0000}"/>
    <cellStyle name="40% - Accent4 9 2 2 3" xfId="7775" xr:uid="{00000000-0005-0000-0000-00005E1E0000}"/>
    <cellStyle name="40% - Accent4 9 2 2 3 2" xfId="7776" xr:uid="{00000000-0005-0000-0000-00005F1E0000}"/>
    <cellStyle name="40% - Accent4 9 2 2 4" xfId="7777" xr:uid="{00000000-0005-0000-0000-0000601E0000}"/>
    <cellStyle name="40% - Accent4 9 2 2 4 2" xfId="7778" xr:uid="{00000000-0005-0000-0000-0000611E0000}"/>
    <cellStyle name="40% - Accent4 9 2 2 5" xfId="7779" xr:uid="{00000000-0005-0000-0000-0000621E0000}"/>
    <cellStyle name="40% - Accent4 9 2 2 6" xfId="7780" xr:uid="{00000000-0005-0000-0000-0000631E0000}"/>
    <cellStyle name="40% - Accent4 9 2 3" xfId="7781" xr:uid="{00000000-0005-0000-0000-0000641E0000}"/>
    <cellStyle name="40% - Accent4 9 2 3 2" xfId="7782" xr:uid="{00000000-0005-0000-0000-0000651E0000}"/>
    <cellStyle name="40% - Accent4 9 2 3 2 2" xfId="7783" xr:uid="{00000000-0005-0000-0000-0000661E0000}"/>
    <cellStyle name="40% - Accent4 9 2 3 3" xfId="7784" xr:uid="{00000000-0005-0000-0000-0000671E0000}"/>
    <cellStyle name="40% - Accent4 9 2 3 3 2" xfId="7785" xr:uid="{00000000-0005-0000-0000-0000681E0000}"/>
    <cellStyle name="40% - Accent4 9 2 3 4" xfId="7786" xr:uid="{00000000-0005-0000-0000-0000691E0000}"/>
    <cellStyle name="40% - Accent4 9 2 3 5" xfId="7787" xr:uid="{00000000-0005-0000-0000-00006A1E0000}"/>
    <cellStyle name="40% - Accent4 9 2 4" xfId="7788" xr:uid="{00000000-0005-0000-0000-00006B1E0000}"/>
    <cellStyle name="40% - Accent4 9 2 4 2" xfId="7789" xr:uid="{00000000-0005-0000-0000-00006C1E0000}"/>
    <cellStyle name="40% - Accent4 9 2 5" xfId="7790" xr:uid="{00000000-0005-0000-0000-00006D1E0000}"/>
    <cellStyle name="40% - Accent4 9 2 5 2" xfId="7791" xr:uid="{00000000-0005-0000-0000-00006E1E0000}"/>
    <cellStyle name="40% - Accent4 9 2 6" xfId="7792" xr:uid="{00000000-0005-0000-0000-00006F1E0000}"/>
    <cellStyle name="40% - Accent4 9 2 7" xfId="7793" xr:uid="{00000000-0005-0000-0000-0000701E0000}"/>
    <cellStyle name="40% - Accent4 9 3" xfId="7794" xr:uid="{00000000-0005-0000-0000-0000711E0000}"/>
    <cellStyle name="40% - Accent4 9 3 2" xfId="7795" xr:uid="{00000000-0005-0000-0000-0000721E0000}"/>
    <cellStyle name="40% - Accent4 9 3 2 2" xfId="7796" xr:uid="{00000000-0005-0000-0000-0000731E0000}"/>
    <cellStyle name="40% - Accent4 9 3 2 2 2" xfId="7797" xr:uid="{00000000-0005-0000-0000-0000741E0000}"/>
    <cellStyle name="40% - Accent4 9 3 2 3" xfId="7798" xr:uid="{00000000-0005-0000-0000-0000751E0000}"/>
    <cellStyle name="40% - Accent4 9 3 2 3 2" xfId="7799" xr:uid="{00000000-0005-0000-0000-0000761E0000}"/>
    <cellStyle name="40% - Accent4 9 3 2 4" xfId="7800" xr:uid="{00000000-0005-0000-0000-0000771E0000}"/>
    <cellStyle name="40% - Accent4 9 3 2 5" xfId="7801" xr:uid="{00000000-0005-0000-0000-0000781E0000}"/>
    <cellStyle name="40% - Accent4 9 3 3" xfId="7802" xr:uid="{00000000-0005-0000-0000-0000791E0000}"/>
    <cellStyle name="40% - Accent4 9 3 3 2" xfId="7803" xr:uid="{00000000-0005-0000-0000-00007A1E0000}"/>
    <cellStyle name="40% - Accent4 9 3 4" xfId="7804" xr:uid="{00000000-0005-0000-0000-00007B1E0000}"/>
    <cellStyle name="40% - Accent4 9 3 4 2" xfId="7805" xr:uid="{00000000-0005-0000-0000-00007C1E0000}"/>
    <cellStyle name="40% - Accent4 9 3 5" xfId="7806" xr:uid="{00000000-0005-0000-0000-00007D1E0000}"/>
    <cellStyle name="40% - Accent4 9 3 6" xfId="7807" xr:uid="{00000000-0005-0000-0000-00007E1E0000}"/>
    <cellStyle name="40% - Accent4 9 4" xfId="7808" xr:uid="{00000000-0005-0000-0000-00007F1E0000}"/>
    <cellStyle name="40% - Accent4 9 4 2" xfId="7809" xr:uid="{00000000-0005-0000-0000-0000801E0000}"/>
    <cellStyle name="40% - Accent4 9 4 2 2" xfId="7810" xr:uid="{00000000-0005-0000-0000-0000811E0000}"/>
    <cellStyle name="40% - Accent4 9 4 3" xfId="7811" xr:uid="{00000000-0005-0000-0000-0000821E0000}"/>
    <cellStyle name="40% - Accent4 9 4 3 2" xfId="7812" xr:uid="{00000000-0005-0000-0000-0000831E0000}"/>
    <cellStyle name="40% - Accent4 9 4 4" xfId="7813" xr:uid="{00000000-0005-0000-0000-0000841E0000}"/>
    <cellStyle name="40% - Accent4 9 4 5" xfId="7814" xr:uid="{00000000-0005-0000-0000-0000851E0000}"/>
    <cellStyle name="40% - Accent4 9 5" xfId="7815" xr:uid="{00000000-0005-0000-0000-0000861E0000}"/>
    <cellStyle name="40% - Accent4 9 5 2" xfId="7816" xr:uid="{00000000-0005-0000-0000-0000871E0000}"/>
    <cellStyle name="40% - Accent4 9 6" xfId="7817" xr:uid="{00000000-0005-0000-0000-0000881E0000}"/>
    <cellStyle name="40% - Accent4 9 6 2" xfId="7818" xr:uid="{00000000-0005-0000-0000-0000891E0000}"/>
    <cellStyle name="40% - Accent4 9 7" xfId="7819" xr:uid="{00000000-0005-0000-0000-00008A1E0000}"/>
    <cellStyle name="40% - Accent4 9 8" xfId="7820" xr:uid="{00000000-0005-0000-0000-00008B1E0000}"/>
    <cellStyle name="40% - Accent5 10" xfId="7821" xr:uid="{00000000-0005-0000-0000-00008C1E0000}"/>
    <cellStyle name="40% - Accent5 10 2" xfId="7822" xr:uid="{00000000-0005-0000-0000-00008D1E0000}"/>
    <cellStyle name="40% - Accent5 10 2 2" xfId="7823" xr:uid="{00000000-0005-0000-0000-00008E1E0000}"/>
    <cellStyle name="40% - Accent5 10 2 2 2" xfId="7824" xr:uid="{00000000-0005-0000-0000-00008F1E0000}"/>
    <cellStyle name="40% - Accent5 10 2 2 2 2" xfId="7825" xr:uid="{00000000-0005-0000-0000-0000901E0000}"/>
    <cellStyle name="40% - Accent5 10 2 2 2 2 2" xfId="7826" xr:uid="{00000000-0005-0000-0000-0000911E0000}"/>
    <cellStyle name="40% - Accent5 10 2 2 2 3" xfId="7827" xr:uid="{00000000-0005-0000-0000-0000921E0000}"/>
    <cellStyle name="40% - Accent5 10 2 2 2 3 2" xfId="7828" xr:uid="{00000000-0005-0000-0000-0000931E0000}"/>
    <cellStyle name="40% - Accent5 10 2 2 2 4" xfId="7829" xr:uid="{00000000-0005-0000-0000-0000941E0000}"/>
    <cellStyle name="40% - Accent5 10 2 2 2 5" xfId="7830" xr:uid="{00000000-0005-0000-0000-0000951E0000}"/>
    <cellStyle name="40% - Accent5 10 2 2 3" xfId="7831" xr:uid="{00000000-0005-0000-0000-0000961E0000}"/>
    <cellStyle name="40% - Accent5 10 2 2 3 2" xfId="7832" xr:uid="{00000000-0005-0000-0000-0000971E0000}"/>
    <cellStyle name="40% - Accent5 10 2 2 4" xfId="7833" xr:uid="{00000000-0005-0000-0000-0000981E0000}"/>
    <cellStyle name="40% - Accent5 10 2 2 4 2" xfId="7834" xr:uid="{00000000-0005-0000-0000-0000991E0000}"/>
    <cellStyle name="40% - Accent5 10 2 2 5" xfId="7835" xr:uid="{00000000-0005-0000-0000-00009A1E0000}"/>
    <cellStyle name="40% - Accent5 10 2 2 6" xfId="7836" xr:uid="{00000000-0005-0000-0000-00009B1E0000}"/>
    <cellStyle name="40% - Accent5 10 2 3" xfId="7837" xr:uid="{00000000-0005-0000-0000-00009C1E0000}"/>
    <cellStyle name="40% - Accent5 10 2 3 2" xfId="7838" xr:uid="{00000000-0005-0000-0000-00009D1E0000}"/>
    <cellStyle name="40% - Accent5 10 2 3 2 2" xfId="7839" xr:uid="{00000000-0005-0000-0000-00009E1E0000}"/>
    <cellStyle name="40% - Accent5 10 2 3 3" xfId="7840" xr:uid="{00000000-0005-0000-0000-00009F1E0000}"/>
    <cellStyle name="40% - Accent5 10 2 3 3 2" xfId="7841" xr:uid="{00000000-0005-0000-0000-0000A01E0000}"/>
    <cellStyle name="40% - Accent5 10 2 3 4" xfId="7842" xr:uid="{00000000-0005-0000-0000-0000A11E0000}"/>
    <cellStyle name="40% - Accent5 10 2 3 5" xfId="7843" xr:uid="{00000000-0005-0000-0000-0000A21E0000}"/>
    <cellStyle name="40% - Accent5 10 2 4" xfId="7844" xr:uid="{00000000-0005-0000-0000-0000A31E0000}"/>
    <cellStyle name="40% - Accent5 10 2 4 2" xfId="7845" xr:uid="{00000000-0005-0000-0000-0000A41E0000}"/>
    <cellStyle name="40% - Accent5 10 2 5" xfId="7846" xr:uid="{00000000-0005-0000-0000-0000A51E0000}"/>
    <cellStyle name="40% - Accent5 10 2 5 2" xfId="7847" xr:uid="{00000000-0005-0000-0000-0000A61E0000}"/>
    <cellStyle name="40% - Accent5 10 2 6" xfId="7848" xr:uid="{00000000-0005-0000-0000-0000A71E0000}"/>
    <cellStyle name="40% - Accent5 10 2 7" xfId="7849" xr:uid="{00000000-0005-0000-0000-0000A81E0000}"/>
    <cellStyle name="40% - Accent5 10 3" xfId="7850" xr:uid="{00000000-0005-0000-0000-0000A91E0000}"/>
    <cellStyle name="40% - Accent5 10 3 2" xfId="7851" xr:uid="{00000000-0005-0000-0000-0000AA1E0000}"/>
    <cellStyle name="40% - Accent5 10 3 2 2" xfId="7852" xr:uid="{00000000-0005-0000-0000-0000AB1E0000}"/>
    <cellStyle name="40% - Accent5 10 3 2 2 2" xfId="7853" xr:uid="{00000000-0005-0000-0000-0000AC1E0000}"/>
    <cellStyle name="40% - Accent5 10 3 2 3" xfId="7854" xr:uid="{00000000-0005-0000-0000-0000AD1E0000}"/>
    <cellStyle name="40% - Accent5 10 3 2 3 2" xfId="7855" xr:uid="{00000000-0005-0000-0000-0000AE1E0000}"/>
    <cellStyle name="40% - Accent5 10 3 2 4" xfId="7856" xr:uid="{00000000-0005-0000-0000-0000AF1E0000}"/>
    <cellStyle name="40% - Accent5 10 3 2 5" xfId="7857" xr:uid="{00000000-0005-0000-0000-0000B01E0000}"/>
    <cellStyle name="40% - Accent5 10 3 3" xfId="7858" xr:uid="{00000000-0005-0000-0000-0000B11E0000}"/>
    <cellStyle name="40% - Accent5 10 3 3 2" xfId="7859" xr:uid="{00000000-0005-0000-0000-0000B21E0000}"/>
    <cellStyle name="40% - Accent5 10 3 4" xfId="7860" xr:uid="{00000000-0005-0000-0000-0000B31E0000}"/>
    <cellStyle name="40% - Accent5 10 3 4 2" xfId="7861" xr:uid="{00000000-0005-0000-0000-0000B41E0000}"/>
    <cellStyle name="40% - Accent5 10 3 5" xfId="7862" xr:uid="{00000000-0005-0000-0000-0000B51E0000}"/>
    <cellStyle name="40% - Accent5 10 3 6" xfId="7863" xr:uid="{00000000-0005-0000-0000-0000B61E0000}"/>
    <cellStyle name="40% - Accent5 10 4" xfId="7864" xr:uid="{00000000-0005-0000-0000-0000B71E0000}"/>
    <cellStyle name="40% - Accent5 10 4 2" xfId="7865" xr:uid="{00000000-0005-0000-0000-0000B81E0000}"/>
    <cellStyle name="40% - Accent5 10 4 2 2" xfId="7866" xr:uid="{00000000-0005-0000-0000-0000B91E0000}"/>
    <cellStyle name="40% - Accent5 10 4 3" xfId="7867" xr:uid="{00000000-0005-0000-0000-0000BA1E0000}"/>
    <cellStyle name="40% - Accent5 10 4 3 2" xfId="7868" xr:uid="{00000000-0005-0000-0000-0000BB1E0000}"/>
    <cellStyle name="40% - Accent5 10 4 4" xfId="7869" xr:uid="{00000000-0005-0000-0000-0000BC1E0000}"/>
    <cellStyle name="40% - Accent5 10 4 5" xfId="7870" xr:uid="{00000000-0005-0000-0000-0000BD1E0000}"/>
    <cellStyle name="40% - Accent5 10 5" xfId="7871" xr:uid="{00000000-0005-0000-0000-0000BE1E0000}"/>
    <cellStyle name="40% - Accent5 10 5 2" xfId="7872" xr:uid="{00000000-0005-0000-0000-0000BF1E0000}"/>
    <cellStyle name="40% - Accent5 10 6" xfId="7873" xr:uid="{00000000-0005-0000-0000-0000C01E0000}"/>
    <cellStyle name="40% - Accent5 10 6 2" xfId="7874" xr:uid="{00000000-0005-0000-0000-0000C11E0000}"/>
    <cellStyle name="40% - Accent5 10 7" xfId="7875" xr:uid="{00000000-0005-0000-0000-0000C21E0000}"/>
    <cellStyle name="40% - Accent5 10 8" xfId="7876" xr:uid="{00000000-0005-0000-0000-0000C31E0000}"/>
    <cellStyle name="40% - Accent5 11" xfId="7877" xr:uid="{00000000-0005-0000-0000-0000C41E0000}"/>
    <cellStyle name="40% - Accent5 11 2" xfId="7878" xr:uid="{00000000-0005-0000-0000-0000C51E0000}"/>
    <cellStyle name="40% - Accent5 11 2 2" xfId="7879" xr:uid="{00000000-0005-0000-0000-0000C61E0000}"/>
    <cellStyle name="40% - Accent5 11 2 2 2" xfId="7880" xr:uid="{00000000-0005-0000-0000-0000C71E0000}"/>
    <cellStyle name="40% - Accent5 11 2 2 2 2" xfId="7881" xr:uid="{00000000-0005-0000-0000-0000C81E0000}"/>
    <cellStyle name="40% - Accent5 11 2 2 3" xfId="7882" xr:uid="{00000000-0005-0000-0000-0000C91E0000}"/>
    <cellStyle name="40% - Accent5 11 2 2 3 2" xfId="7883" xr:uid="{00000000-0005-0000-0000-0000CA1E0000}"/>
    <cellStyle name="40% - Accent5 11 2 2 4" xfId="7884" xr:uid="{00000000-0005-0000-0000-0000CB1E0000}"/>
    <cellStyle name="40% - Accent5 11 2 2 5" xfId="7885" xr:uid="{00000000-0005-0000-0000-0000CC1E0000}"/>
    <cellStyle name="40% - Accent5 11 2 3" xfId="7886" xr:uid="{00000000-0005-0000-0000-0000CD1E0000}"/>
    <cellStyle name="40% - Accent5 11 2 3 2" xfId="7887" xr:uid="{00000000-0005-0000-0000-0000CE1E0000}"/>
    <cellStyle name="40% - Accent5 11 2 4" xfId="7888" xr:uid="{00000000-0005-0000-0000-0000CF1E0000}"/>
    <cellStyle name="40% - Accent5 11 2 4 2" xfId="7889" xr:uid="{00000000-0005-0000-0000-0000D01E0000}"/>
    <cellStyle name="40% - Accent5 11 2 5" xfId="7890" xr:uid="{00000000-0005-0000-0000-0000D11E0000}"/>
    <cellStyle name="40% - Accent5 11 2 6" xfId="7891" xr:uid="{00000000-0005-0000-0000-0000D21E0000}"/>
    <cellStyle name="40% - Accent5 11 3" xfId="7892" xr:uid="{00000000-0005-0000-0000-0000D31E0000}"/>
    <cellStyle name="40% - Accent5 11 3 2" xfId="7893" xr:uid="{00000000-0005-0000-0000-0000D41E0000}"/>
    <cellStyle name="40% - Accent5 11 3 2 2" xfId="7894" xr:uid="{00000000-0005-0000-0000-0000D51E0000}"/>
    <cellStyle name="40% - Accent5 11 3 3" xfId="7895" xr:uid="{00000000-0005-0000-0000-0000D61E0000}"/>
    <cellStyle name="40% - Accent5 11 3 3 2" xfId="7896" xr:uid="{00000000-0005-0000-0000-0000D71E0000}"/>
    <cellStyle name="40% - Accent5 11 3 4" xfId="7897" xr:uid="{00000000-0005-0000-0000-0000D81E0000}"/>
    <cellStyle name="40% - Accent5 11 3 5" xfId="7898" xr:uid="{00000000-0005-0000-0000-0000D91E0000}"/>
    <cellStyle name="40% - Accent5 11 4" xfId="7899" xr:uid="{00000000-0005-0000-0000-0000DA1E0000}"/>
    <cellStyle name="40% - Accent5 11 4 2" xfId="7900" xr:uid="{00000000-0005-0000-0000-0000DB1E0000}"/>
    <cellStyle name="40% - Accent5 11 5" xfId="7901" xr:uid="{00000000-0005-0000-0000-0000DC1E0000}"/>
    <cellStyle name="40% - Accent5 11 5 2" xfId="7902" xr:uid="{00000000-0005-0000-0000-0000DD1E0000}"/>
    <cellStyle name="40% - Accent5 11 6" xfId="7903" xr:uid="{00000000-0005-0000-0000-0000DE1E0000}"/>
    <cellStyle name="40% - Accent5 11 7" xfId="7904" xr:uid="{00000000-0005-0000-0000-0000DF1E0000}"/>
    <cellStyle name="40% - Accent5 12" xfId="7905" xr:uid="{00000000-0005-0000-0000-0000E01E0000}"/>
    <cellStyle name="40% - Accent5 12 2" xfId="7906" xr:uid="{00000000-0005-0000-0000-0000E11E0000}"/>
    <cellStyle name="40% - Accent5 12 2 2" xfId="7907" xr:uid="{00000000-0005-0000-0000-0000E21E0000}"/>
    <cellStyle name="40% - Accent5 12 2 2 2" xfId="7908" xr:uid="{00000000-0005-0000-0000-0000E31E0000}"/>
    <cellStyle name="40% - Accent5 12 2 3" xfId="7909" xr:uid="{00000000-0005-0000-0000-0000E41E0000}"/>
    <cellStyle name="40% - Accent5 12 2 3 2" xfId="7910" xr:uid="{00000000-0005-0000-0000-0000E51E0000}"/>
    <cellStyle name="40% - Accent5 12 2 4" xfId="7911" xr:uid="{00000000-0005-0000-0000-0000E61E0000}"/>
    <cellStyle name="40% - Accent5 12 2 5" xfId="7912" xr:uid="{00000000-0005-0000-0000-0000E71E0000}"/>
    <cellStyle name="40% - Accent5 12 3" xfId="7913" xr:uid="{00000000-0005-0000-0000-0000E81E0000}"/>
    <cellStyle name="40% - Accent5 12 3 2" xfId="7914" xr:uid="{00000000-0005-0000-0000-0000E91E0000}"/>
    <cellStyle name="40% - Accent5 12 4" xfId="7915" xr:uid="{00000000-0005-0000-0000-0000EA1E0000}"/>
    <cellStyle name="40% - Accent5 12 4 2" xfId="7916" xr:uid="{00000000-0005-0000-0000-0000EB1E0000}"/>
    <cellStyle name="40% - Accent5 12 5" xfId="7917" xr:uid="{00000000-0005-0000-0000-0000EC1E0000}"/>
    <cellStyle name="40% - Accent5 12 6" xfId="7918" xr:uid="{00000000-0005-0000-0000-0000ED1E0000}"/>
    <cellStyle name="40% - Accent5 13" xfId="7919" xr:uid="{00000000-0005-0000-0000-0000EE1E0000}"/>
    <cellStyle name="40% - Accent5 13 2" xfId="7920" xr:uid="{00000000-0005-0000-0000-0000EF1E0000}"/>
    <cellStyle name="40% - Accent5 13 2 2" xfId="7921" xr:uid="{00000000-0005-0000-0000-0000F01E0000}"/>
    <cellStyle name="40% - Accent5 13 2 2 2" xfId="7922" xr:uid="{00000000-0005-0000-0000-0000F11E0000}"/>
    <cellStyle name="40% - Accent5 13 2 3" xfId="7923" xr:uid="{00000000-0005-0000-0000-0000F21E0000}"/>
    <cellStyle name="40% - Accent5 13 2 3 2" xfId="7924" xr:uid="{00000000-0005-0000-0000-0000F31E0000}"/>
    <cellStyle name="40% - Accent5 13 2 4" xfId="7925" xr:uid="{00000000-0005-0000-0000-0000F41E0000}"/>
    <cellStyle name="40% - Accent5 13 2 5" xfId="7926" xr:uid="{00000000-0005-0000-0000-0000F51E0000}"/>
    <cellStyle name="40% - Accent5 13 3" xfId="7927" xr:uid="{00000000-0005-0000-0000-0000F61E0000}"/>
    <cellStyle name="40% - Accent5 13 3 2" xfId="7928" xr:uid="{00000000-0005-0000-0000-0000F71E0000}"/>
    <cellStyle name="40% - Accent5 13 4" xfId="7929" xr:uid="{00000000-0005-0000-0000-0000F81E0000}"/>
    <cellStyle name="40% - Accent5 13 4 2" xfId="7930" xr:uid="{00000000-0005-0000-0000-0000F91E0000}"/>
    <cellStyle name="40% - Accent5 13 5" xfId="7931" xr:uid="{00000000-0005-0000-0000-0000FA1E0000}"/>
    <cellStyle name="40% - Accent5 13 6" xfId="7932" xr:uid="{00000000-0005-0000-0000-0000FB1E0000}"/>
    <cellStyle name="40% - Accent5 14" xfId="7933" xr:uid="{00000000-0005-0000-0000-0000FC1E0000}"/>
    <cellStyle name="40% - Accent5 14 2" xfId="7934" xr:uid="{00000000-0005-0000-0000-0000FD1E0000}"/>
    <cellStyle name="40% - Accent5 14 2 2" xfId="7935" xr:uid="{00000000-0005-0000-0000-0000FE1E0000}"/>
    <cellStyle name="40% - Accent5 14 2 2 2" xfId="7936" xr:uid="{00000000-0005-0000-0000-0000FF1E0000}"/>
    <cellStyle name="40% - Accent5 14 2 3" xfId="7937" xr:uid="{00000000-0005-0000-0000-0000001F0000}"/>
    <cellStyle name="40% - Accent5 14 2 3 2" xfId="7938" xr:uid="{00000000-0005-0000-0000-0000011F0000}"/>
    <cellStyle name="40% - Accent5 14 2 4" xfId="7939" xr:uid="{00000000-0005-0000-0000-0000021F0000}"/>
    <cellStyle name="40% - Accent5 14 2 5" xfId="7940" xr:uid="{00000000-0005-0000-0000-0000031F0000}"/>
    <cellStyle name="40% - Accent5 14 3" xfId="7941" xr:uid="{00000000-0005-0000-0000-0000041F0000}"/>
    <cellStyle name="40% - Accent5 14 3 2" xfId="7942" xr:uid="{00000000-0005-0000-0000-0000051F0000}"/>
    <cellStyle name="40% - Accent5 14 4" xfId="7943" xr:uid="{00000000-0005-0000-0000-0000061F0000}"/>
    <cellStyle name="40% - Accent5 14 4 2" xfId="7944" xr:uid="{00000000-0005-0000-0000-0000071F0000}"/>
    <cellStyle name="40% - Accent5 14 5" xfId="7945" xr:uid="{00000000-0005-0000-0000-0000081F0000}"/>
    <cellStyle name="40% - Accent5 14 6" xfId="7946" xr:uid="{00000000-0005-0000-0000-0000091F0000}"/>
    <cellStyle name="40% - Accent5 15" xfId="7947" xr:uid="{00000000-0005-0000-0000-00000A1F0000}"/>
    <cellStyle name="40% - Accent5 15 2" xfId="7948" xr:uid="{00000000-0005-0000-0000-00000B1F0000}"/>
    <cellStyle name="40% - Accent5 15 2 2" xfId="7949" xr:uid="{00000000-0005-0000-0000-00000C1F0000}"/>
    <cellStyle name="40% - Accent5 15 2 2 2" xfId="7950" xr:uid="{00000000-0005-0000-0000-00000D1F0000}"/>
    <cellStyle name="40% - Accent5 15 2 3" xfId="7951" xr:uid="{00000000-0005-0000-0000-00000E1F0000}"/>
    <cellStyle name="40% - Accent5 15 2 3 2" xfId="7952" xr:uid="{00000000-0005-0000-0000-00000F1F0000}"/>
    <cellStyle name="40% - Accent5 15 2 4" xfId="7953" xr:uid="{00000000-0005-0000-0000-0000101F0000}"/>
    <cellStyle name="40% - Accent5 15 2 5" xfId="7954" xr:uid="{00000000-0005-0000-0000-0000111F0000}"/>
    <cellStyle name="40% - Accent5 15 3" xfId="7955" xr:uid="{00000000-0005-0000-0000-0000121F0000}"/>
    <cellStyle name="40% - Accent5 15 3 2" xfId="7956" xr:uid="{00000000-0005-0000-0000-0000131F0000}"/>
    <cellStyle name="40% - Accent5 15 4" xfId="7957" xr:uid="{00000000-0005-0000-0000-0000141F0000}"/>
    <cellStyle name="40% - Accent5 15 4 2" xfId="7958" xr:uid="{00000000-0005-0000-0000-0000151F0000}"/>
    <cellStyle name="40% - Accent5 15 5" xfId="7959" xr:uid="{00000000-0005-0000-0000-0000161F0000}"/>
    <cellStyle name="40% - Accent5 15 6" xfId="7960" xr:uid="{00000000-0005-0000-0000-0000171F0000}"/>
    <cellStyle name="40% - Accent5 16" xfId="7961" xr:uid="{00000000-0005-0000-0000-0000181F0000}"/>
    <cellStyle name="40% - Accent5 16 2" xfId="7962" xr:uid="{00000000-0005-0000-0000-0000191F0000}"/>
    <cellStyle name="40% - Accent5 16 2 2" xfId="7963" xr:uid="{00000000-0005-0000-0000-00001A1F0000}"/>
    <cellStyle name="40% - Accent5 16 2 3" xfId="7964" xr:uid="{00000000-0005-0000-0000-00001B1F0000}"/>
    <cellStyle name="40% - Accent5 16 3" xfId="7965" xr:uid="{00000000-0005-0000-0000-00001C1F0000}"/>
    <cellStyle name="40% - Accent5 16 4" xfId="7966" xr:uid="{00000000-0005-0000-0000-00001D1F0000}"/>
    <cellStyle name="40% - Accent5 17" xfId="7967" xr:uid="{00000000-0005-0000-0000-00001E1F0000}"/>
    <cellStyle name="40% - Accent5 17 2" xfId="7968" xr:uid="{00000000-0005-0000-0000-00001F1F0000}"/>
    <cellStyle name="40% - Accent5 17 2 2" xfId="7969" xr:uid="{00000000-0005-0000-0000-0000201F0000}"/>
    <cellStyle name="40% - Accent5 17 2 3" xfId="7970" xr:uid="{00000000-0005-0000-0000-0000211F0000}"/>
    <cellStyle name="40% - Accent5 17 3" xfId="7971" xr:uid="{00000000-0005-0000-0000-0000221F0000}"/>
    <cellStyle name="40% - Accent5 17 4" xfId="7972" xr:uid="{00000000-0005-0000-0000-0000231F0000}"/>
    <cellStyle name="40% - Accent5 18" xfId="7973" xr:uid="{00000000-0005-0000-0000-0000241F0000}"/>
    <cellStyle name="40% - Accent5 18 2" xfId="7974" xr:uid="{00000000-0005-0000-0000-0000251F0000}"/>
    <cellStyle name="40% - Accent5 18 2 2" xfId="7975" xr:uid="{00000000-0005-0000-0000-0000261F0000}"/>
    <cellStyle name="40% - Accent5 18 2 3" xfId="7976" xr:uid="{00000000-0005-0000-0000-0000271F0000}"/>
    <cellStyle name="40% - Accent5 18 3" xfId="7977" xr:uid="{00000000-0005-0000-0000-0000281F0000}"/>
    <cellStyle name="40% - Accent5 18 4" xfId="7978" xr:uid="{00000000-0005-0000-0000-0000291F0000}"/>
    <cellStyle name="40% - Accent5 19" xfId="7979" xr:uid="{00000000-0005-0000-0000-00002A1F0000}"/>
    <cellStyle name="40% - Accent5 19 2" xfId="7980" xr:uid="{00000000-0005-0000-0000-00002B1F0000}"/>
    <cellStyle name="40% - Accent5 19 2 2" xfId="7981" xr:uid="{00000000-0005-0000-0000-00002C1F0000}"/>
    <cellStyle name="40% - Accent5 19 2 3" xfId="7982" xr:uid="{00000000-0005-0000-0000-00002D1F0000}"/>
    <cellStyle name="40% - Accent5 19 3" xfId="7983" xr:uid="{00000000-0005-0000-0000-00002E1F0000}"/>
    <cellStyle name="40% - Accent5 19 4" xfId="7984" xr:uid="{00000000-0005-0000-0000-00002F1F0000}"/>
    <cellStyle name="40% - Accent5 2" xfId="7985" xr:uid="{00000000-0005-0000-0000-0000301F0000}"/>
    <cellStyle name="40% - Accent5 2 2" xfId="7986" xr:uid="{00000000-0005-0000-0000-0000311F0000}"/>
    <cellStyle name="40% - Accent5 2 2 2" xfId="7987" xr:uid="{00000000-0005-0000-0000-0000321F0000}"/>
    <cellStyle name="40% - Accent5 2 2 3" xfId="7988" xr:uid="{00000000-0005-0000-0000-0000331F0000}"/>
    <cellStyle name="40% - Accent5 2 2 4" xfId="7989" xr:uid="{00000000-0005-0000-0000-0000341F0000}"/>
    <cellStyle name="40% - Accent5 2 2 5" xfId="7990" xr:uid="{00000000-0005-0000-0000-0000351F0000}"/>
    <cellStyle name="40% - Accent5 2 3" xfId="7991" xr:uid="{00000000-0005-0000-0000-0000361F0000}"/>
    <cellStyle name="40% - Accent5 2 3 2" xfId="7992" xr:uid="{00000000-0005-0000-0000-0000371F0000}"/>
    <cellStyle name="40% - Accent5 2 4" xfId="7993" xr:uid="{00000000-0005-0000-0000-0000381F0000}"/>
    <cellStyle name="40% - Accent5 2 4 2" xfId="7994" xr:uid="{00000000-0005-0000-0000-0000391F0000}"/>
    <cellStyle name="40% - Accent5 2 4 2 2" xfId="7995" xr:uid="{00000000-0005-0000-0000-00003A1F0000}"/>
    <cellStyle name="40% - Accent5 2 4 3" xfId="7996" xr:uid="{00000000-0005-0000-0000-00003B1F0000}"/>
    <cellStyle name="40% - Accent5 2 4 4" xfId="7997" xr:uid="{00000000-0005-0000-0000-00003C1F0000}"/>
    <cellStyle name="40% - Accent5 2 5" xfId="7998" xr:uid="{00000000-0005-0000-0000-00003D1F0000}"/>
    <cellStyle name="40% - Accent5 2 5 2" xfId="7999" xr:uid="{00000000-0005-0000-0000-00003E1F0000}"/>
    <cellStyle name="40% - Accent5 2 5 3" xfId="8000" xr:uid="{00000000-0005-0000-0000-00003F1F0000}"/>
    <cellStyle name="40% - Accent5 2 6" xfId="8001" xr:uid="{00000000-0005-0000-0000-0000401F0000}"/>
    <cellStyle name="40% - Accent5 2 7" xfId="8002" xr:uid="{00000000-0005-0000-0000-0000411F0000}"/>
    <cellStyle name="40% - Accent5 20" xfId="8003" xr:uid="{00000000-0005-0000-0000-0000421F0000}"/>
    <cellStyle name="40% - Accent5 20 2" xfId="8004" xr:uid="{00000000-0005-0000-0000-0000431F0000}"/>
    <cellStyle name="40% - Accent5 20 3" xfId="8005" xr:uid="{00000000-0005-0000-0000-0000441F0000}"/>
    <cellStyle name="40% - Accent5 21" xfId="8006" xr:uid="{00000000-0005-0000-0000-0000451F0000}"/>
    <cellStyle name="40% - Accent5 21 2" xfId="8007" xr:uid="{00000000-0005-0000-0000-0000461F0000}"/>
    <cellStyle name="40% - Accent5 22" xfId="8008" xr:uid="{00000000-0005-0000-0000-0000471F0000}"/>
    <cellStyle name="40% - Accent5 23" xfId="8009" xr:uid="{00000000-0005-0000-0000-0000481F0000}"/>
    <cellStyle name="40% - Accent5 24" xfId="8010" xr:uid="{00000000-0005-0000-0000-0000491F0000}"/>
    <cellStyle name="40% - Accent5 3" xfId="8011" xr:uid="{00000000-0005-0000-0000-00004A1F0000}"/>
    <cellStyle name="40% - Accent5 3 10" xfId="8012" xr:uid="{00000000-0005-0000-0000-00004B1F0000}"/>
    <cellStyle name="40% - Accent5 3 11" xfId="8013" xr:uid="{00000000-0005-0000-0000-00004C1F0000}"/>
    <cellStyle name="40% - Accent5 3 2" xfId="8014" xr:uid="{00000000-0005-0000-0000-00004D1F0000}"/>
    <cellStyle name="40% - Accent5 3 2 2" xfId="8015" xr:uid="{00000000-0005-0000-0000-00004E1F0000}"/>
    <cellStyle name="40% - Accent5 3 2 2 2" xfId="8016" xr:uid="{00000000-0005-0000-0000-00004F1F0000}"/>
    <cellStyle name="40% - Accent5 3 2 2 2 2" xfId="8017" xr:uid="{00000000-0005-0000-0000-0000501F0000}"/>
    <cellStyle name="40% - Accent5 3 2 2 2 2 2" xfId="8018" xr:uid="{00000000-0005-0000-0000-0000511F0000}"/>
    <cellStyle name="40% - Accent5 3 2 2 2 2 2 2" xfId="8019" xr:uid="{00000000-0005-0000-0000-0000521F0000}"/>
    <cellStyle name="40% - Accent5 3 2 2 2 2 3" xfId="8020" xr:uid="{00000000-0005-0000-0000-0000531F0000}"/>
    <cellStyle name="40% - Accent5 3 2 2 2 2 3 2" xfId="8021" xr:uid="{00000000-0005-0000-0000-0000541F0000}"/>
    <cellStyle name="40% - Accent5 3 2 2 2 2 4" xfId="8022" xr:uid="{00000000-0005-0000-0000-0000551F0000}"/>
    <cellStyle name="40% - Accent5 3 2 2 2 2 5" xfId="8023" xr:uid="{00000000-0005-0000-0000-0000561F0000}"/>
    <cellStyle name="40% - Accent5 3 2 2 2 3" xfId="8024" xr:uid="{00000000-0005-0000-0000-0000571F0000}"/>
    <cellStyle name="40% - Accent5 3 2 2 2 3 2" xfId="8025" xr:uid="{00000000-0005-0000-0000-0000581F0000}"/>
    <cellStyle name="40% - Accent5 3 2 2 2 4" xfId="8026" xr:uid="{00000000-0005-0000-0000-0000591F0000}"/>
    <cellStyle name="40% - Accent5 3 2 2 2 4 2" xfId="8027" xr:uid="{00000000-0005-0000-0000-00005A1F0000}"/>
    <cellStyle name="40% - Accent5 3 2 2 2 5" xfId="8028" xr:uid="{00000000-0005-0000-0000-00005B1F0000}"/>
    <cellStyle name="40% - Accent5 3 2 2 2 6" xfId="8029" xr:uid="{00000000-0005-0000-0000-00005C1F0000}"/>
    <cellStyle name="40% - Accent5 3 2 2 3" xfId="8030" xr:uid="{00000000-0005-0000-0000-00005D1F0000}"/>
    <cellStyle name="40% - Accent5 3 2 2 3 2" xfId="8031" xr:uid="{00000000-0005-0000-0000-00005E1F0000}"/>
    <cellStyle name="40% - Accent5 3 2 2 3 2 2" xfId="8032" xr:uid="{00000000-0005-0000-0000-00005F1F0000}"/>
    <cellStyle name="40% - Accent5 3 2 2 3 3" xfId="8033" xr:uid="{00000000-0005-0000-0000-0000601F0000}"/>
    <cellStyle name="40% - Accent5 3 2 2 3 3 2" xfId="8034" xr:uid="{00000000-0005-0000-0000-0000611F0000}"/>
    <cellStyle name="40% - Accent5 3 2 2 3 4" xfId="8035" xr:uid="{00000000-0005-0000-0000-0000621F0000}"/>
    <cellStyle name="40% - Accent5 3 2 2 3 5" xfId="8036" xr:uid="{00000000-0005-0000-0000-0000631F0000}"/>
    <cellStyle name="40% - Accent5 3 2 2 4" xfId="8037" xr:uid="{00000000-0005-0000-0000-0000641F0000}"/>
    <cellStyle name="40% - Accent5 3 2 2 4 2" xfId="8038" xr:uid="{00000000-0005-0000-0000-0000651F0000}"/>
    <cellStyle name="40% - Accent5 3 2 2 5" xfId="8039" xr:uid="{00000000-0005-0000-0000-0000661F0000}"/>
    <cellStyle name="40% - Accent5 3 2 2 5 2" xfId="8040" xr:uid="{00000000-0005-0000-0000-0000671F0000}"/>
    <cellStyle name="40% - Accent5 3 2 2 6" xfId="8041" xr:uid="{00000000-0005-0000-0000-0000681F0000}"/>
    <cellStyle name="40% - Accent5 3 2 2 7" xfId="8042" xr:uid="{00000000-0005-0000-0000-0000691F0000}"/>
    <cellStyle name="40% - Accent5 3 2 2 8" xfId="8043" xr:uid="{00000000-0005-0000-0000-00006A1F0000}"/>
    <cellStyle name="40% - Accent5 3 2 3" xfId="8044" xr:uid="{00000000-0005-0000-0000-00006B1F0000}"/>
    <cellStyle name="40% - Accent5 3 2 3 2" xfId="8045" xr:uid="{00000000-0005-0000-0000-00006C1F0000}"/>
    <cellStyle name="40% - Accent5 3 2 3 2 2" xfId="8046" xr:uid="{00000000-0005-0000-0000-00006D1F0000}"/>
    <cellStyle name="40% - Accent5 3 2 3 2 2 2" xfId="8047" xr:uid="{00000000-0005-0000-0000-00006E1F0000}"/>
    <cellStyle name="40% - Accent5 3 2 3 2 3" xfId="8048" xr:uid="{00000000-0005-0000-0000-00006F1F0000}"/>
    <cellStyle name="40% - Accent5 3 2 3 2 3 2" xfId="8049" xr:uid="{00000000-0005-0000-0000-0000701F0000}"/>
    <cellStyle name="40% - Accent5 3 2 3 2 4" xfId="8050" xr:uid="{00000000-0005-0000-0000-0000711F0000}"/>
    <cellStyle name="40% - Accent5 3 2 3 2 5" xfId="8051" xr:uid="{00000000-0005-0000-0000-0000721F0000}"/>
    <cellStyle name="40% - Accent5 3 2 3 3" xfId="8052" xr:uid="{00000000-0005-0000-0000-0000731F0000}"/>
    <cellStyle name="40% - Accent5 3 2 3 3 2" xfId="8053" xr:uid="{00000000-0005-0000-0000-0000741F0000}"/>
    <cellStyle name="40% - Accent5 3 2 3 4" xfId="8054" xr:uid="{00000000-0005-0000-0000-0000751F0000}"/>
    <cellStyle name="40% - Accent5 3 2 3 4 2" xfId="8055" xr:uid="{00000000-0005-0000-0000-0000761F0000}"/>
    <cellStyle name="40% - Accent5 3 2 3 5" xfId="8056" xr:uid="{00000000-0005-0000-0000-0000771F0000}"/>
    <cellStyle name="40% - Accent5 3 2 3 6" xfId="8057" xr:uid="{00000000-0005-0000-0000-0000781F0000}"/>
    <cellStyle name="40% - Accent5 3 2 3 7" xfId="8058" xr:uid="{00000000-0005-0000-0000-0000791F0000}"/>
    <cellStyle name="40% - Accent5 3 2 4" xfId="8059" xr:uid="{00000000-0005-0000-0000-00007A1F0000}"/>
    <cellStyle name="40% - Accent5 3 2 4 2" xfId="8060" xr:uid="{00000000-0005-0000-0000-00007B1F0000}"/>
    <cellStyle name="40% - Accent5 3 2 4 2 2" xfId="8061" xr:uid="{00000000-0005-0000-0000-00007C1F0000}"/>
    <cellStyle name="40% - Accent5 3 2 4 3" xfId="8062" xr:uid="{00000000-0005-0000-0000-00007D1F0000}"/>
    <cellStyle name="40% - Accent5 3 2 4 3 2" xfId="8063" xr:uid="{00000000-0005-0000-0000-00007E1F0000}"/>
    <cellStyle name="40% - Accent5 3 2 4 4" xfId="8064" xr:uid="{00000000-0005-0000-0000-00007F1F0000}"/>
    <cellStyle name="40% - Accent5 3 2 4 5" xfId="8065" xr:uid="{00000000-0005-0000-0000-0000801F0000}"/>
    <cellStyle name="40% - Accent5 3 2 4 6" xfId="8066" xr:uid="{00000000-0005-0000-0000-0000811F0000}"/>
    <cellStyle name="40% - Accent5 3 2 5" xfId="8067" xr:uid="{00000000-0005-0000-0000-0000821F0000}"/>
    <cellStyle name="40% - Accent5 3 2 5 2" xfId="8068" xr:uid="{00000000-0005-0000-0000-0000831F0000}"/>
    <cellStyle name="40% - Accent5 3 2 6" xfId="8069" xr:uid="{00000000-0005-0000-0000-0000841F0000}"/>
    <cellStyle name="40% - Accent5 3 2 6 2" xfId="8070" xr:uid="{00000000-0005-0000-0000-0000851F0000}"/>
    <cellStyle name="40% - Accent5 3 2 7" xfId="8071" xr:uid="{00000000-0005-0000-0000-0000861F0000}"/>
    <cellStyle name="40% - Accent5 3 2 8" xfId="8072" xr:uid="{00000000-0005-0000-0000-0000871F0000}"/>
    <cellStyle name="40% - Accent5 3 2 9" xfId="8073" xr:uid="{00000000-0005-0000-0000-0000881F0000}"/>
    <cellStyle name="40% - Accent5 3 3" xfId="8074" xr:uid="{00000000-0005-0000-0000-0000891F0000}"/>
    <cellStyle name="40% - Accent5 3 3 2" xfId="8075" xr:uid="{00000000-0005-0000-0000-00008A1F0000}"/>
    <cellStyle name="40% - Accent5 3 3 2 2" xfId="8076" xr:uid="{00000000-0005-0000-0000-00008B1F0000}"/>
    <cellStyle name="40% - Accent5 3 3 2 2 2" xfId="8077" xr:uid="{00000000-0005-0000-0000-00008C1F0000}"/>
    <cellStyle name="40% - Accent5 3 3 2 2 2 2" xfId="8078" xr:uid="{00000000-0005-0000-0000-00008D1F0000}"/>
    <cellStyle name="40% - Accent5 3 3 2 2 3" xfId="8079" xr:uid="{00000000-0005-0000-0000-00008E1F0000}"/>
    <cellStyle name="40% - Accent5 3 3 2 2 3 2" xfId="8080" xr:uid="{00000000-0005-0000-0000-00008F1F0000}"/>
    <cellStyle name="40% - Accent5 3 3 2 2 4" xfId="8081" xr:uid="{00000000-0005-0000-0000-0000901F0000}"/>
    <cellStyle name="40% - Accent5 3 3 2 2 5" xfId="8082" xr:uid="{00000000-0005-0000-0000-0000911F0000}"/>
    <cellStyle name="40% - Accent5 3 3 2 3" xfId="8083" xr:uid="{00000000-0005-0000-0000-0000921F0000}"/>
    <cellStyle name="40% - Accent5 3 3 2 3 2" xfId="8084" xr:uid="{00000000-0005-0000-0000-0000931F0000}"/>
    <cellStyle name="40% - Accent5 3 3 2 4" xfId="8085" xr:uid="{00000000-0005-0000-0000-0000941F0000}"/>
    <cellStyle name="40% - Accent5 3 3 2 4 2" xfId="8086" xr:uid="{00000000-0005-0000-0000-0000951F0000}"/>
    <cellStyle name="40% - Accent5 3 3 2 5" xfId="8087" xr:uid="{00000000-0005-0000-0000-0000961F0000}"/>
    <cellStyle name="40% - Accent5 3 3 2 6" xfId="8088" xr:uid="{00000000-0005-0000-0000-0000971F0000}"/>
    <cellStyle name="40% - Accent5 3 3 3" xfId="8089" xr:uid="{00000000-0005-0000-0000-0000981F0000}"/>
    <cellStyle name="40% - Accent5 3 3 3 2" xfId="8090" xr:uid="{00000000-0005-0000-0000-0000991F0000}"/>
    <cellStyle name="40% - Accent5 3 3 3 2 2" xfId="8091" xr:uid="{00000000-0005-0000-0000-00009A1F0000}"/>
    <cellStyle name="40% - Accent5 3 3 3 3" xfId="8092" xr:uid="{00000000-0005-0000-0000-00009B1F0000}"/>
    <cellStyle name="40% - Accent5 3 3 3 3 2" xfId="8093" xr:uid="{00000000-0005-0000-0000-00009C1F0000}"/>
    <cellStyle name="40% - Accent5 3 3 3 4" xfId="8094" xr:uid="{00000000-0005-0000-0000-00009D1F0000}"/>
    <cellStyle name="40% - Accent5 3 3 3 5" xfId="8095" xr:uid="{00000000-0005-0000-0000-00009E1F0000}"/>
    <cellStyle name="40% - Accent5 3 3 4" xfId="8096" xr:uid="{00000000-0005-0000-0000-00009F1F0000}"/>
    <cellStyle name="40% - Accent5 3 3 4 2" xfId="8097" xr:uid="{00000000-0005-0000-0000-0000A01F0000}"/>
    <cellStyle name="40% - Accent5 3 3 5" xfId="8098" xr:uid="{00000000-0005-0000-0000-0000A11F0000}"/>
    <cellStyle name="40% - Accent5 3 3 5 2" xfId="8099" xr:uid="{00000000-0005-0000-0000-0000A21F0000}"/>
    <cellStyle name="40% - Accent5 3 3 6" xfId="8100" xr:uid="{00000000-0005-0000-0000-0000A31F0000}"/>
    <cellStyle name="40% - Accent5 3 3 7" xfId="8101" xr:uid="{00000000-0005-0000-0000-0000A41F0000}"/>
    <cellStyle name="40% - Accent5 3 3 8" xfId="8102" xr:uid="{00000000-0005-0000-0000-0000A51F0000}"/>
    <cellStyle name="40% - Accent5 3 4" xfId="8103" xr:uid="{00000000-0005-0000-0000-0000A61F0000}"/>
    <cellStyle name="40% - Accent5 3 4 2" xfId="8104" xr:uid="{00000000-0005-0000-0000-0000A71F0000}"/>
    <cellStyle name="40% - Accent5 3 4 2 2" xfId="8105" xr:uid="{00000000-0005-0000-0000-0000A81F0000}"/>
    <cellStyle name="40% - Accent5 3 4 2 2 2" xfId="8106" xr:uid="{00000000-0005-0000-0000-0000A91F0000}"/>
    <cellStyle name="40% - Accent5 3 4 2 3" xfId="8107" xr:uid="{00000000-0005-0000-0000-0000AA1F0000}"/>
    <cellStyle name="40% - Accent5 3 4 2 3 2" xfId="8108" xr:uid="{00000000-0005-0000-0000-0000AB1F0000}"/>
    <cellStyle name="40% - Accent5 3 4 2 4" xfId="8109" xr:uid="{00000000-0005-0000-0000-0000AC1F0000}"/>
    <cellStyle name="40% - Accent5 3 4 2 5" xfId="8110" xr:uid="{00000000-0005-0000-0000-0000AD1F0000}"/>
    <cellStyle name="40% - Accent5 3 4 3" xfId="8111" xr:uid="{00000000-0005-0000-0000-0000AE1F0000}"/>
    <cellStyle name="40% - Accent5 3 4 3 2" xfId="8112" xr:uid="{00000000-0005-0000-0000-0000AF1F0000}"/>
    <cellStyle name="40% - Accent5 3 4 4" xfId="8113" xr:uid="{00000000-0005-0000-0000-0000B01F0000}"/>
    <cellStyle name="40% - Accent5 3 4 4 2" xfId="8114" xr:uid="{00000000-0005-0000-0000-0000B11F0000}"/>
    <cellStyle name="40% - Accent5 3 4 5" xfId="8115" xr:uid="{00000000-0005-0000-0000-0000B21F0000}"/>
    <cellStyle name="40% - Accent5 3 4 6" xfId="8116" xr:uid="{00000000-0005-0000-0000-0000B31F0000}"/>
    <cellStyle name="40% - Accent5 3 4 7" xfId="8117" xr:uid="{00000000-0005-0000-0000-0000B41F0000}"/>
    <cellStyle name="40% - Accent5 3 5" xfId="8118" xr:uid="{00000000-0005-0000-0000-0000B51F0000}"/>
    <cellStyle name="40% - Accent5 3 5 2" xfId="8119" xr:uid="{00000000-0005-0000-0000-0000B61F0000}"/>
    <cellStyle name="40% - Accent5 3 5 2 2" xfId="8120" xr:uid="{00000000-0005-0000-0000-0000B71F0000}"/>
    <cellStyle name="40% - Accent5 3 5 2 2 2" xfId="8121" xr:uid="{00000000-0005-0000-0000-0000B81F0000}"/>
    <cellStyle name="40% - Accent5 3 5 2 3" xfId="8122" xr:uid="{00000000-0005-0000-0000-0000B91F0000}"/>
    <cellStyle name="40% - Accent5 3 5 3" xfId="8123" xr:uid="{00000000-0005-0000-0000-0000BA1F0000}"/>
    <cellStyle name="40% - Accent5 3 5 3 2" xfId="8124" xr:uid="{00000000-0005-0000-0000-0000BB1F0000}"/>
    <cellStyle name="40% - Accent5 3 5 4" xfId="8125" xr:uid="{00000000-0005-0000-0000-0000BC1F0000}"/>
    <cellStyle name="40% - Accent5 3 5 4 2" xfId="8126" xr:uid="{00000000-0005-0000-0000-0000BD1F0000}"/>
    <cellStyle name="40% - Accent5 3 5 5" xfId="8127" xr:uid="{00000000-0005-0000-0000-0000BE1F0000}"/>
    <cellStyle name="40% - Accent5 3 5 6" xfId="8128" xr:uid="{00000000-0005-0000-0000-0000BF1F0000}"/>
    <cellStyle name="40% - Accent5 3 5 7" xfId="8129" xr:uid="{00000000-0005-0000-0000-0000C01F0000}"/>
    <cellStyle name="40% - Accent5 3 6" xfId="8130" xr:uid="{00000000-0005-0000-0000-0000C11F0000}"/>
    <cellStyle name="40% - Accent5 3 6 2" xfId="8131" xr:uid="{00000000-0005-0000-0000-0000C21F0000}"/>
    <cellStyle name="40% - Accent5 3 6 2 2" xfId="8132" xr:uid="{00000000-0005-0000-0000-0000C31F0000}"/>
    <cellStyle name="40% - Accent5 3 6 3" xfId="8133" xr:uid="{00000000-0005-0000-0000-0000C41F0000}"/>
    <cellStyle name="40% - Accent5 3 7" xfId="8134" xr:uid="{00000000-0005-0000-0000-0000C51F0000}"/>
    <cellStyle name="40% - Accent5 3 7 2" xfId="8135" xr:uid="{00000000-0005-0000-0000-0000C61F0000}"/>
    <cellStyle name="40% - Accent5 3 8" xfId="8136" xr:uid="{00000000-0005-0000-0000-0000C71F0000}"/>
    <cellStyle name="40% - Accent5 3 8 2" xfId="8137" xr:uid="{00000000-0005-0000-0000-0000C81F0000}"/>
    <cellStyle name="40% - Accent5 3 9" xfId="8138" xr:uid="{00000000-0005-0000-0000-0000C91F0000}"/>
    <cellStyle name="40% - Accent5 4" xfId="8139" xr:uid="{00000000-0005-0000-0000-0000CA1F0000}"/>
    <cellStyle name="40% - Accent5 4 10" xfId="8140" xr:uid="{00000000-0005-0000-0000-0000CB1F0000}"/>
    <cellStyle name="40% - Accent5 4 11" xfId="8141" xr:uid="{00000000-0005-0000-0000-0000CC1F0000}"/>
    <cellStyle name="40% - Accent5 4 2" xfId="8142" xr:uid="{00000000-0005-0000-0000-0000CD1F0000}"/>
    <cellStyle name="40% - Accent5 4 2 2" xfId="8143" xr:uid="{00000000-0005-0000-0000-0000CE1F0000}"/>
    <cellStyle name="40% - Accent5 4 2 2 2" xfId="8144" xr:uid="{00000000-0005-0000-0000-0000CF1F0000}"/>
    <cellStyle name="40% - Accent5 4 2 2 2 2" xfId="8145" xr:uid="{00000000-0005-0000-0000-0000D01F0000}"/>
    <cellStyle name="40% - Accent5 4 2 2 2 2 2" xfId="8146" xr:uid="{00000000-0005-0000-0000-0000D11F0000}"/>
    <cellStyle name="40% - Accent5 4 2 2 2 2 2 2" xfId="8147" xr:uid="{00000000-0005-0000-0000-0000D21F0000}"/>
    <cellStyle name="40% - Accent5 4 2 2 2 2 3" xfId="8148" xr:uid="{00000000-0005-0000-0000-0000D31F0000}"/>
    <cellStyle name="40% - Accent5 4 2 2 2 2 3 2" xfId="8149" xr:uid="{00000000-0005-0000-0000-0000D41F0000}"/>
    <cellStyle name="40% - Accent5 4 2 2 2 2 4" xfId="8150" xr:uid="{00000000-0005-0000-0000-0000D51F0000}"/>
    <cellStyle name="40% - Accent5 4 2 2 2 2 5" xfId="8151" xr:uid="{00000000-0005-0000-0000-0000D61F0000}"/>
    <cellStyle name="40% - Accent5 4 2 2 2 3" xfId="8152" xr:uid="{00000000-0005-0000-0000-0000D71F0000}"/>
    <cellStyle name="40% - Accent5 4 2 2 2 3 2" xfId="8153" xr:uid="{00000000-0005-0000-0000-0000D81F0000}"/>
    <cellStyle name="40% - Accent5 4 2 2 2 4" xfId="8154" xr:uid="{00000000-0005-0000-0000-0000D91F0000}"/>
    <cellStyle name="40% - Accent5 4 2 2 2 4 2" xfId="8155" xr:uid="{00000000-0005-0000-0000-0000DA1F0000}"/>
    <cellStyle name="40% - Accent5 4 2 2 2 5" xfId="8156" xr:uid="{00000000-0005-0000-0000-0000DB1F0000}"/>
    <cellStyle name="40% - Accent5 4 2 2 2 6" xfId="8157" xr:uid="{00000000-0005-0000-0000-0000DC1F0000}"/>
    <cellStyle name="40% - Accent5 4 2 2 3" xfId="8158" xr:uid="{00000000-0005-0000-0000-0000DD1F0000}"/>
    <cellStyle name="40% - Accent5 4 2 2 3 2" xfId="8159" xr:uid="{00000000-0005-0000-0000-0000DE1F0000}"/>
    <cellStyle name="40% - Accent5 4 2 2 3 2 2" xfId="8160" xr:uid="{00000000-0005-0000-0000-0000DF1F0000}"/>
    <cellStyle name="40% - Accent5 4 2 2 3 3" xfId="8161" xr:uid="{00000000-0005-0000-0000-0000E01F0000}"/>
    <cellStyle name="40% - Accent5 4 2 2 3 3 2" xfId="8162" xr:uid="{00000000-0005-0000-0000-0000E11F0000}"/>
    <cellStyle name="40% - Accent5 4 2 2 3 4" xfId="8163" xr:uid="{00000000-0005-0000-0000-0000E21F0000}"/>
    <cellStyle name="40% - Accent5 4 2 2 3 5" xfId="8164" xr:uid="{00000000-0005-0000-0000-0000E31F0000}"/>
    <cellStyle name="40% - Accent5 4 2 2 4" xfId="8165" xr:uid="{00000000-0005-0000-0000-0000E41F0000}"/>
    <cellStyle name="40% - Accent5 4 2 2 4 2" xfId="8166" xr:uid="{00000000-0005-0000-0000-0000E51F0000}"/>
    <cellStyle name="40% - Accent5 4 2 2 5" xfId="8167" xr:uid="{00000000-0005-0000-0000-0000E61F0000}"/>
    <cellStyle name="40% - Accent5 4 2 2 5 2" xfId="8168" xr:uid="{00000000-0005-0000-0000-0000E71F0000}"/>
    <cellStyle name="40% - Accent5 4 2 2 6" xfId="8169" xr:uid="{00000000-0005-0000-0000-0000E81F0000}"/>
    <cellStyle name="40% - Accent5 4 2 2 7" xfId="8170" xr:uid="{00000000-0005-0000-0000-0000E91F0000}"/>
    <cellStyle name="40% - Accent5 4 2 3" xfId="8171" xr:uid="{00000000-0005-0000-0000-0000EA1F0000}"/>
    <cellStyle name="40% - Accent5 4 2 3 2" xfId="8172" xr:uid="{00000000-0005-0000-0000-0000EB1F0000}"/>
    <cellStyle name="40% - Accent5 4 2 3 2 2" xfId="8173" xr:uid="{00000000-0005-0000-0000-0000EC1F0000}"/>
    <cellStyle name="40% - Accent5 4 2 3 2 2 2" xfId="8174" xr:uid="{00000000-0005-0000-0000-0000ED1F0000}"/>
    <cellStyle name="40% - Accent5 4 2 3 2 3" xfId="8175" xr:uid="{00000000-0005-0000-0000-0000EE1F0000}"/>
    <cellStyle name="40% - Accent5 4 2 3 2 3 2" xfId="8176" xr:uid="{00000000-0005-0000-0000-0000EF1F0000}"/>
    <cellStyle name="40% - Accent5 4 2 3 2 4" xfId="8177" xr:uid="{00000000-0005-0000-0000-0000F01F0000}"/>
    <cellStyle name="40% - Accent5 4 2 3 2 5" xfId="8178" xr:uid="{00000000-0005-0000-0000-0000F11F0000}"/>
    <cellStyle name="40% - Accent5 4 2 3 3" xfId="8179" xr:uid="{00000000-0005-0000-0000-0000F21F0000}"/>
    <cellStyle name="40% - Accent5 4 2 3 3 2" xfId="8180" xr:uid="{00000000-0005-0000-0000-0000F31F0000}"/>
    <cellStyle name="40% - Accent5 4 2 3 4" xfId="8181" xr:uid="{00000000-0005-0000-0000-0000F41F0000}"/>
    <cellStyle name="40% - Accent5 4 2 3 4 2" xfId="8182" xr:uid="{00000000-0005-0000-0000-0000F51F0000}"/>
    <cellStyle name="40% - Accent5 4 2 3 5" xfId="8183" xr:uid="{00000000-0005-0000-0000-0000F61F0000}"/>
    <cellStyle name="40% - Accent5 4 2 3 6" xfId="8184" xr:uid="{00000000-0005-0000-0000-0000F71F0000}"/>
    <cellStyle name="40% - Accent5 4 2 4" xfId="8185" xr:uid="{00000000-0005-0000-0000-0000F81F0000}"/>
    <cellStyle name="40% - Accent5 4 2 4 2" xfId="8186" xr:uid="{00000000-0005-0000-0000-0000F91F0000}"/>
    <cellStyle name="40% - Accent5 4 2 4 2 2" xfId="8187" xr:uid="{00000000-0005-0000-0000-0000FA1F0000}"/>
    <cellStyle name="40% - Accent5 4 2 4 3" xfId="8188" xr:uid="{00000000-0005-0000-0000-0000FB1F0000}"/>
    <cellStyle name="40% - Accent5 4 2 4 3 2" xfId="8189" xr:uid="{00000000-0005-0000-0000-0000FC1F0000}"/>
    <cellStyle name="40% - Accent5 4 2 4 4" xfId="8190" xr:uid="{00000000-0005-0000-0000-0000FD1F0000}"/>
    <cellStyle name="40% - Accent5 4 2 4 5" xfId="8191" xr:uid="{00000000-0005-0000-0000-0000FE1F0000}"/>
    <cellStyle name="40% - Accent5 4 2 5" xfId="8192" xr:uid="{00000000-0005-0000-0000-0000FF1F0000}"/>
    <cellStyle name="40% - Accent5 4 2 5 2" xfId="8193" xr:uid="{00000000-0005-0000-0000-000000200000}"/>
    <cellStyle name="40% - Accent5 4 2 6" xfId="8194" xr:uid="{00000000-0005-0000-0000-000001200000}"/>
    <cellStyle name="40% - Accent5 4 2 6 2" xfId="8195" xr:uid="{00000000-0005-0000-0000-000002200000}"/>
    <cellStyle name="40% - Accent5 4 2 7" xfId="8196" xr:uid="{00000000-0005-0000-0000-000003200000}"/>
    <cellStyle name="40% - Accent5 4 2 8" xfId="8197" xr:uid="{00000000-0005-0000-0000-000004200000}"/>
    <cellStyle name="40% - Accent5 4 2 9" xfId="8198" xr:uid="{00000000-0005-0000-0000-000005200000}"/>
    <cellStyle name="40% - Accent5 4 3" xfId="8199" xr:uid="{00000000-0005-0000-0000-000006200000}"/>
    <cellStyle name="40% - Accent5 4 3 2" xfId="8200" xr:uid="{00000000-0005-0000-0000-000007200000}"/>
    <cellStyle name="40% - Accent5 4 3 2 2" xfId="8201" xr:uid="{00000000-0005-0000-0000-000008200000}"/>
    <cellStyle name="40% - Accent5 4 3 2 2 2" xfId="8202" xr:uid="{00000000-0005-0000-0000-000009200000}"/>
    <cellStyle name="40% - Accent5 4 3 2 2 2 2" xfId="8203" xr:uid="{00000000-0005-0000-0000-00000A200000}"/>
    <cellStyle name="40% - Accent5 4 3 2 2 3" xfId="8204" xr:uid="{00000000-0005-0000-0000-00000B200000}"/>
    <cellStyle name="40% - Accent5 4 3 2 2 3 2" xfId="8205" xr:uid="{00000000-0005-0000-0000-00000C200000}"/>
    <cellStyle name="40% - Accent5 4 3 2 2 4" xfId="8206" xr:uid="{00000000-0005-0000-0000-00000D200000}"/>
    <cellStyle name="40% - Accent5 4 3 2 2 5" xfId="8207" xr:uid="{00000000-0005-0000-0000-00000E200000}"/>
    <cellStyle name="40% - Accent5 4 3 2 3" xfId="8208" xr:uid="{00000000-0005-0000-0000-00000F200000}"/>
    <cellStyle name="40% - Accent5 4 3 2 3 2" xfId="8209" xr:uid="{00000000-0005-0000-0000-000010200000}"/>
    <cellStyle name="40% - Accent5 4 3 2 4" xfId="8210" xr:uid="{00000000-0005-0000-0000-000011200000}"/>
    <cellStyle name="40% - Accent5 4 3 2 4 2" xfId="8211" xr:uid="{00000000-0005-0000-0000-000012200000}"/>
    <cellStyle name="40% - Accent5 4 3 2 5" xfId="8212" xr:uid="{00000000-0005-0000-0000-000013200000}"/>
    <cellStyle name="40% - Accent5 4 3 2 6" xfId="8213" xr:uid="{00000000-0005-0000-0000-000014200000}"/>
    <cellStyle name="40% - Accent5 4 3 3" xfId="8214" xr:uid="{00000000-0005-0000-0000-000015200000}"/>
    <cellStyle name="40% - Accent5 4 3 3 2" xfId="8215" xr:uid="{00000000-0005-0000-0000-000016200000}"/>
    <cellStyle name="40% - Accent5 4 3 3 2 2" xfId="8216" xr:uid="{00000000-0005-0000-0000-000017200000}"/>
    <cellStyle name="40% - Accent5 4 3 3 3" xfId="8217" xr:uid="{00000000-0005-0000-0000-000018200000}"/>
    <cellStyle name="40% - Accent5 4 3 3 3 2" xfId="8218" xr:uid="{00000000-0005-0000-0000-000019200000}"/>
    <cellStyle name="40% - Accent5 4 3 3 4" xfId="8219" xr:uid="{00000000-0005-0000-0000-00001A200000}"/>
    <cellStyle name="40% - Accent5 4 3 3 5" xfId="8220" xr:uid="{00000000-0005-0000-0000-00001B200000}"/>
    <cellStyle name="40% - Accent5 4 3 4" xfId="8221" xr:uid="{00000000-0005-0000-0000-00001C200000}"/>
    <cellStyle name="40% - Accent5 4 3 4 2" xfId="8222" xr:uid="{00000000-0005-0000-0000-00001D200000}"/>
    <cellStyle name="40% - Accent5 4 3 5" xfId="8223" xr:uid="{00000000-0005-0000-0000-00001E200000}"/>
    <cellStyle name="40% - Accent5 4 3 5 2" xfId="8224" xr:uid="{00000000-0005-0000-0000-00001F200000}"/>
    <cellStyle name="40% - Accent5 4 3 6" xfId="8225" xr:uid="{00000000-0005-0000-0000-000020200000}"/>
    <cellStyle name="40% - Accent5 4 3 7" xfId="8226" xr:uid="{00000000-0005-0000-0000-000021200000}"/>
    <cellStyle name="40% - Accent5 4 3 8" xfId="8227" xr:uid="{00000000-0005-0000-0000-000022200000}"/>
    <cellStyle name="40% - Accent5 4 4" xfId="8228" xr:uid="{00000000-0005-0000-0000-000023200000}"/>
    <cellStyle name="40% - Accent5 4 4 2" xfId="8229" xr:uid="{00000000-0005-0000-0000-000024200000}"/>
    <cellStyle name="40% - Accent5 4 4 2 2" xfId="8230" xr:uid="{00000000-0005-0000-0000-000025200000}"/>
    <cellStyle name="40% - Accent5 4 4 2 2 2" xfId="8231" xr:uid="{00000000-0005-0000-0000-000026200000}"/>
    <cellStyle name="40% - Accent5 4 4 2 3" xfId="8232" xr:uid="{00000000-0005-0000-0000-000027200000}"/>
    <cellStyle name="40% - Accent5 4 4 2 3 2" xfId="8233" xr:uid="{00000000-0005-0000-0000-000028200000}"/>
    <cellStyle name="40% - Accent5 4 4 2 4" xfId="8234" xr:uid="{00000000-0005-0000-0000-000029200000}"/>
    <cellStyle name="40% - Accent5 4 4 2 5" xfId="8235" xr:uid="{00000000-0005-0000-0000-00002A200000}"/>
    <cellStyle name="40% - Accent5 4 4 3" xfId="8236" xr:uid="{00000000-0005-0000-0000-00002B200000}"/>
    <cellStyle name="40% - Accent5 4 4 3 2" xfId="8237" xr:uid="{00000000-0005-0000-0000-00002C200000}"/>
    <cellStyle name="40% - Accent5 4 4 4" xfId="8238" xr:uid="{00000000-0005-0000-0000-00002D200000}"/>
    <cellStyle name="40% - Accent5 4 4 4 2" xfId="8239" xr:uid="{00000000-0005-0000-0000-00002E200000}"/>
    <cellStyle name="40% - Accent5 4 4 5" xfId="8240" xr:uid="{00000000-0005-0000-0000-00002F200000}"/>
    <cellStyle name="40% - Accent5 4 4 6" xfId="8241" xr:uid="{00000000-0005-0000-0000-000030200000}"/>
    <cellStyle name="40% - Accent5 4 4 7" xfId="8242" xr:uid="{00000000-0005-0000-0000-000031200000}"/>
    <cellStyle name="40% - Accent5 4 5" xfId="8243" xr:uid="{00000000-0005-0000-0000-000032200000}"/>
    <cellStyle name="40% - Accent5 4 5 2" xfId="8244" xr:uid="{00000000-0005-0000-0000-000033200000}"/>
    <cellStyle name="40% - Accent5 4 5 2 2" xfId="8245" xr:uid="{00000000-0005-0000-0000-000034200000}"/>
    <cellStyle name="40% - Accent5 4 5 2 2 2" xfId="8246" xr:uid="{00000000-0005-0000-0000-000035200000}"/>
    <cellStyle name="40% - Accent5 4 5 2 3" xfId="8247" xr:uid="{00000000-0005-0000-0000-000036200000}"/>
    <cellStyle name="40% - Accent5 4 5 3" xfId="8248" xr:uid="{00000000-0005-0000-0000-000037200000}"/>
    <cellStyle name="40% - Accent5 4 5 3 2" xfId="8249" xr:uid="{00000000-0005-0000-0000-000038200000}"/>
    <cellStyle name="40% - Accent5 4 5 4" xfId="8250" xr:uid="{00000000-0005-0000-0000-000039200000}"/>
    <cellStyle name="40% - Accent5 4 5 4 2" xfId="8251" xr:uid="{00000000-0005-0000-0000-00003A200000}"/>
    <cellStyle name="40% - Accent5 4 5 5" xfId="8252" xr:uid="{00000000-0005-0000-0000-00003B200000}"/>
    <cellStyle name="40% - Accent5 4 5 6" xfId="8253" xr:uid="{00000000-0005-0000-0000-00003C200000}"/>
    <cellStyle name="40% - Accent5 4 6" xfId="8254" xr:uid="{00000000-0005-0000-0000-00003D200000}"/>
    <cellStyle name="40% - Accent5 4 6 2" xfId="8255" xr:uid="{00000000-0005-0000-0000-00003E200000}"/>
    <cellStyle name="40% - Accent5 4 6 2 2" xfId="8256" xr:uid="{00000000-0005-0000-0000-00003F200000}"/>
    <cellStyle name="40% - Accent5 4 6 3" xfId="8257" xr:uid="{00000000-0005-0000-0000-000040200000}"/>
    <cellStyle name="40% - Accent5 4 7" xfId="8258" xr:uid="{00000000-0005-0000-0000-000041200000}"/>
    <cellStyle name="40% - Accent5 4 7 2" xfId="8259" xr:uid="{00000000-0005-0000-0000-000042200000}"/>
    <cellStyle name="40% - Accent5 4 8" xfId="8260" xr:uid="{00000000-0005-0000-0000-000043200000}"/>
    <cellStyle name="40% - Accent5 4 8 2" xfId="8261" xr:uid="{00000000-0005-0000-0000-000044200000}"/>
    <cellStyle name="40% - Accent5 4 9" xfId="8262" xr:uid="{00000000-0005-0000-0000-000045200000}"/>
    <cellStyle name="40% - Accent5 5" xfId="8263" xr:uid="{00000000-0005-0000-0000-000046200000}"/>
    <cellStyle name="40% - Accent5 5 2" xfId="8264" xr:uid="{00000000-0005-0000-0000-000047200000}"/>
    <cellStyle name="40% - Accent5 5 2 2" xfId="8265" xr:uid="{00000000-0005-0000-0000-000048200000}"/>
    <cellStyle name="40% - Accent5 5 2 2 2" xfId="8266" xr:uid="{00000000-0005-0000-0000-000049200000}"/>
    <cellStyle name="40% - Accent5 5 2 2 2 2" xfId="8267" xr:uid="{00000000-0005-0000-0000-00004A200000}"/>
    <cellStyle name="40% - Accent5 5 2 2 2 2 2" xfId="8268" xr:uid="{00000000-0005-0000-0000-00004B200000}"/>
    <cellStyle name="40% - Accent5 5 2 2 2 2 2 2" xfId="8269" xr:uid="{00000000-0005-0000-0000-00004C200000}"/>
    <cellStyle name="40% - Accent5 5 2 2 2 2 3" xfId="8270" xr:uid="{00000000-0005-0000-0000-00004D200000}"/>
    <cellStyle name="40% - Accent5 5 2 2 2 2 3 2" xfId="8271" xr:uid="{00000000-0005-0000-0000-00004E200000}"/>
    <cellStyle name="40% - Accent5 5 2 2 2 2 4" xfId="8272" xr:uid="{00000000-0005-0000-0000-00004F200000}"/>
    <cellStyle name="40% - Accent5 5 2 2 2 2 5" xfId="8273" xr:uid="{00000000-0005-0000-0000-000050200000}"/>
    <cellStyle name="40% - Accent5 5 2 2 2 3" xfId="8274" xr:uid="{00000000-0005-0000-0000-000051200000}"/>
    <cellStyle name="40% - Accent5 5 2 2 2 3 2" xfId="8275" xr:uid="{00000000-0005-0000-0000-000052200000}"/>
    <cellStyle name="40% - Accent5 5 2 2 2 4" xfId="8276" xr:uid="{00000000-0005-0000-0000-000053200000}"/>
    <cellStyle name="40% - Accent5 5 2 2 2 4 2" xfId="8277" xr:uid="{00000000-0005-0000-0000-000054200000}"/>
    <cellStyle name="40% - Accent5 5 2 2 2 5" xfId="8278" xr:uid="{00000000-0005-0000-0000-000055200000}"/>
    <cellStyle name="40% - Accent5 5 2 2 2 6" xfId="8279" xr:uid="{00000000-0005-0000-0000-000056200000}"/>
    <cellStyle name="40% - Accent5 5 2 2 3" xfId="8280" xr:uid="{00000000-0005-0000-0000-000057200000}"/>
    <cellStyle name="40% - Accent5 5 2 2 3 2" xfId="8281" xr:uid="{00000000-0005-0000-0000-000058200000}"/>
    <cellStyle name="40% - Accent5 5 2 2 3 2 2" xfId="8282" xr:uid="{00000000-0005-0000-0000-000059200000}"/>
    <cellStyle name="40% - Accent5 5 2 2 3 3" xfId="8283" xr:uid="{00000000-0005-0000-0000-00005A200000}"/>
    <cellStyle name="40% - Accent5 5 2 2 3 3 2" xfId="8284" xr:uid="{00000000-0005-0000-0000-00005B200000}"/>
    <cellStyle name="40% - Accent5 5 2 2 3 4" xfId="8285" xr:uid="{00000000-0005-0000-0000-00005C200000}"/>
    <cellStyle name="40% - Accent5 5 2 2 3 5" xfId="8286" xr:uid="{00000000-0005-0000-0000-00005D200000}"/>
    <cellStyle name="40% - Accent5 5 2 2 4" xfId="8287" xr:uid="{00000000-0005-0000-0000-00005E200000}"/>
    <cellStyle name="40% - Accent5 5 2 2 4 2" xfId="8288" xr:uid="{00000000-0005-0000-0000-00005F200000}"/>
    <cellStyle name="40% - Accent5 5 2 2 5" xfId="8289" xr:uid="{00000000-0005-0000-0000-000060200000}"/>
    <cellStyle name="40% - Accent5 5 2 2 5 2" xfId="8290" xr:uid="{00000000-0005-0000-0000-000061200000}"/>
    <cellStyle name="40% - Accent5 5 2 2 6" xfId="8291" xr:uid="{00000000-0005-0000-0000-000062200000}"/>
    <cellStyle name="40% - Accent5 5 2 2 7" xfId="8292" xr:uid="{00000000-0005-0000-0000-000063200000}"/>
    <cellStyle name="40% - Accent5 5 2 3" xfId="8293" xr:uid="{00000000-0005-0000-0000-000064200000}"/>
    <cellStyle name="40% - Accent5 5 2 3 2" xfId="8294" xr:uid="{00000000-0005-0000-0000-000065200000}"/>
    <cellStyle name="40% - Accent5 5 2 3 2 2" xfId="8295" xr:uid="{00000000-0005-0000-0000-000066200000}"/>
    <cellStyle name="40% - Accent5 5 2 3 2 2 2" xfId="8296" xr:uid="{00000000-0005-0000-0000-000067200000}"/>
    <cellStyle name="40% - Accent5 5 2 3 2 3" xfId="8297" xr:uid="{00000000-0005-0000-0000-000068200000}"/>
    <cellStyle name="40% - Accent5 5 2 3 2 3 2" xfId="8298" xr:uid="{00000000-0005-0000-0000-000069200000}"/>
    <cellStyle name="40% - Accent5 5 2 3 2 4" xfId="8299" xr:uid="{00000000-0005-0000-0000-00006A200000}"/>
    <cellStyle name="40% - Accent5 5 2 3 2 5" xfId="8300" xr:uid="{00000000-0005-0000-0000-00006B200000}"/>
    <cellStyle name="40% - Accent5 5 2 3 3" xfId="8301" xr:uid="{00000000-0005-0000-0000-00006C200000}"/>
    <cellStyle name="40% - Accent5 5 2 3 3 2" xfId="8302" xr:uid="{00000000-0005-0000-0000-00006D200000}"/>
    <cellStyle name="40% - Accent5 5 2 3 4" xfId="8303" xr:uid="{00000000-0005-0000-0000-00006E200000}"/>
    <cellStyle name="40% - Accent5 5 2 3 4 2" xfId="8304" xr:uid="{00000000-0005-0000-0000-00006F200000}"/>
    <cellStyle name="40% - Accent5 5 2 3 5" xfId="8305" xr:uid="{00000000-0005-0000-0000-000070200000}"/>
    <cellStyle name="40% - Accent5 5 2 3 6" xfId="8306" xr:uid="{00000000-0005-0000-0000-000071200000}"/>
    <cellStyle name="40% - Accent5 5 2 4" xfId="8307" xr:uid="{00000000-0005-0000-0000-000072200000}"/>
    <cellStyle name="40% - Accent5 5 2 4 2" xfId="8308" xr:uid="{00000000-0005-0000-0000-000073200000}"/>
    <cellStyle name="40% - Accent5 5 2 4 2 2" xfId="8309" xr:uid="{00000000-0005-0000-0000-000074200000}"/>
    <cellStyle name="40% - Accent5 5 2 4 3" xfId="8310" xr:uid="{00000000-0005-0000-0000-000075200000}"/>
    <cellStyle name="40% - Accent5 5 2 4 3 2" xfId="8311" xr:uid="{00000000-0005-0000-0000-000076200000}"/>
    <cellStyle name="40% - Accent5 5 2 4 4" xfId="8312" xr:uid="{00000000-0005-0000-0000-000077200000}"/>
    <cellStyle name="40% - Accent5 5 2 4 5" xfId="8313" xr:uid="{00000000-0005-0000-0000-000078200000}"/>
    <cellStyle name="40% - Accent5 5 2 5" xfId="8314" xr:uid="{00000000-0005-0000-0000-000079200000}"/>
    <cellStyle name="40% - Accent5 5 2 5 2" xfId="8315" xr:uid="{00000000-0005-0000-0000-00007A200000}"/>
    <cellStyle name="40% - Accent5 5 2 6" xfId="8316" xr:uid="{00000000-0005-0000-0000-00007B200000}"/>
    <cellStyle name="40% - Accent5 5 2 6 2" xfId="8317" xr:uid="{00000000-0005-0000-0000-00007C200000}"/>
    <cellStyle name="40% - Accent5 5 2 7" xfId="8318" xr:uid="{00000000-0005-0000-0000-00007D200000}"/>
    <cellStyle name="40% - Accent5 5 2 8" xfId="8319" xr:uid="{00000000-0005-0000-0000-00007E200000}"/>
    <cellStyle name="40% - Accent5 5 3" xfId="8320" xr:uid="{00000000-0005-0000-0000-00007F200000}"/>
    <cellStyle name="40% - Accent5 5 3 2" xfId="8321" xr:uid="{00000000-0005-0000-0000-000080200000}"/>
    <cellStyle name="40% - Accent5 5 3 2 2" xfId="8322" xr:uid="{00000000-0005-0000-0000-000081200000}"/>
    <cellStyle name="40% - Accent5 5 3 2 2 2" xfId="8323" xr:uid="{00000000-0005-0000-0000-000082200000}"/>
    <cellStyle name="40% - Accent5 5 3 2 2 2 2" xfId="8324" xr:uid="{00000000-0005-0000-0000-000083200000}"/>
    <cellStyle name="40% - Accent5 5 3 2 2 3" xfId="8325" xr:uid="{00000000-0005-0000-0000-000084200000}"/>
    <cellStyle name="40% - Accent5 5 3 2 2 3 2" xfId="8326" xr:uid="{00000000-0005-0000-0000-000085200000}"/>
    <cellStyle name="40% - Accent5 5 3 2 2 4" xfId="8327" xr:uid="{00000000-0005-0000-0000-000086200000}"/>
    <cellStyle name="40% - Accent5 5 3 2 2 5" xfId="8328" xr:uid="{00000000-0005-0000-0000-000087200000}"/>
    <cellStyle name="40% - Accent5 5 3 2 3" xfId="8329" xr:uid="{00000000-0005-0000-0000-000088200000}"/>
    <cellStyle name="40% - Accent5 5 3 2 3 2" xfId="8330" xr:uid="{00000000-0005-0000-0000-000089200000}"/>
    <cellStyle name="40% - Accent5 5 3 2 4" xfId="8331" xr:uid="{00000000-0005-0000-0000-00008A200000}"/>
    <cellStyle name="40% - Accent5 5 3 2 4 2" xfId="8332" xr:uid="{00000000-0005-0000-0000-00008B200000}"/>
    <cellStyle name="40% - Accent5 5 3 2 5" xfId="8333" xr:uid="{00000000-0005-0000-0000-00008C200000}"/>
    <cellStyle name="40% - Accent5 5 3 2 6" xfId="8334" xr:uid="{00000000-0005-0000-0000-00008D200000}"/>
    <cellStyle name="40% - Accent5 5 3 3" xfId="8335" xr:uid="{00000000-0005-0000-0000-00008E200000}"/>
    <cellStyle name="40% - Accent5 5 3 3 2" xfId="8336" xr:uid="{00000000-0005-0000-0000-00008F200000}"/>
    <cellStyle name="40% - Accent5 5 3 3 2 2" xfId="8337" xr:uid="{00000000-0005-0000-0000-000090200000}"/>
    <cellStyle name="40% - Accent5 5 3 3 3" xfId="8338" xr:uid="{00000000-0005-0000-0000-000091200000}"/>
    <cellStyle name="40% - Accent5 5 3 3 3 2" xfId="8339" xr:uid="{00000000-0005-0000-0000-000092200000}"/>
    <cellStyle name="40% - Accent5 5 3 3 4" xfId="8340" xr:uid="{00000000-0005-0000-0000-000093200000}"/>
    <cellStyle name="40% - Accent5 5 3 3 5" xfId="8341" xr:uid="{00000000-0005-0000-0000-000094200000}"/>
    <cellStyle name="40% - Accent5 5 3 4" xfId="8342" xr:uid="{00000000-0005-0000-0000-000095200000}"/>
    <cellStyle name="40% - Accent5 5 3 4 2" xfId="8343" xr:uid="{00000000-0005-0000-0000-000096200000}"/>
    <cellStyle name="40% - Accent5 5 3 5" xfId="8344" xr:uid="{00000000-0005-0000-0000-000097200000}"/>
    <cellStyle name="40% - Accent5 5 3 5 2" xfId="8345" xr:uid="{00000000-0005-0000-0000-000098200000}"/>
    <cellStyle name="40% - Accent5 5 3 6" xfId="8346" xr:uid="{00000000-0005-0000-0000-000099200000}"/>
    <cellStyle name="40% - Accent5 5 3 7" xfId="8347" xr:uid="{00000000-0005-0000-0000-00009A200000}"/>
    <cellStyle name="40% - Accent5 5 4" xfId="8348" xr:uid="{00000000-0005-0000-0000-00009B200000}"/>
    <cellStyle name="40% - Accent5 5 4 2" xfId="8349" xr:uid="{00000000-0005-0000-0000-00009C200000}"/>
    <cellStyle name="40% - Accent5 5 4 2 2" xfId="8350" xr:uid="{00000000-0005-0000-0000-00009D200000}"/>
    <cellStyle name="40% - Accent5 5 4 2 2 2" xfId="8351" xr:uid="{00000000-0005-0000-0000-00009E200000}"/>
    <cellStyle name="40% - Accent5 5 4 2 3" xfId="8352" xr:uid="{00000000-0005-0000-0000-00009F200000}"/>
    <cellStyle name="40% - Accent5 5 4 2 3 2" xfId="8353" xr:uid="{00000000-0005-0000-0000-0000A0200000}"/>
    <cellStyle name="40% - Accent5 5 4 2 4" xfId="8354" xr:uid="{00000000-0005-0000-0000-0000A1200000}"/>
    <cellStyle name="40% - Accent5 5 4 2 5" xfId="8355" xr:uid="{00000000-0005-0000-0000-0000A2200000}"/>
    <cellStyle name="40% - Accent5 5 4 3" xfId="8356" xr:uid="{00000000-0005-0000-0000-0000A3200000}"/>
    <cellStyle name="40% - Accent5 5 4 3 2" xfId="8357" xr:uid="{00000000-0005-0000-0000-0000A4200000}"/>
    <cellStyle name="40% - Accent5 5 4 4" xfId="8358" xr:uid="{00000000-0005-0000-0000-0000A5200000}"/>
    <cellStyle name="40% - Accent5 5 4 4 2" xfId="8359" xr:uid="{00000000-0005-0000-0000-0000A6200000}"/>
    <cellStyle name="40% - Accent5 5 4 5" xfId="8360" xr:uid="{00000000-0005-0000-0000-0000A7200000}"/>
    <cellStyle name="40% - Accent5 5 4 6" xfId="8361" xr:uid="{00000000-0005-0000-0000-0000A8200000}"/>
    <cellStyle name="40% - Accent5 5 5" xfId="8362" xr:uid="{00000000-0005-0000-0000-0000A9200000}"/>
    <cellStyle name="40% - Accent5 5 5 2" xfId="8363" xr:uid="{00000000-0005-0000-0000-0000AA200000}"/>
    <cellStyle name="40% - Accent5 5 5 2 2" xfId="8364" xr:uid="{00000000-0005-0000-0000-0000AB200000}"/>
    <cellStyle name="40% - Accent5 5 5 2 2 2" xfId="8365" xr:uid="{00000000-0005-0000-0000-0000AC200000}"/>
    <cellStyle name="40% - Accent5 5 5 2 3" xfId="8366" xr:uid="{00000000-0005-0000-0000-0000AD200000}"/>
    <cellStyle name="40% - Accent5 5 5 3" xfId="8367" xr:uid="{00000000-0005-0000-0000-0000AE200000}"/>
    <cellStyle name="40% - Accent5 5 5 3 2" xfId="8368" xr:uid="{00000000-0005-0000-0000-0000AF200000}"/>
    <cellStyle name="40% - Accent5 5 5 4" xfId="8369" xr:uid="{00000000-0005-0000-0000-0000B0200000}"/>
    <cellStyle name="40% - Accent5 5 5 4 2" xfId="8370" xr:uid="{00000000-0005-0000-0000-0000B1200000}"/>
    <cellStyle name="40% - Accent5 5 5 5" xfId="8371" xr:uid="{00000000-0005-0000-0000-0000B2200000}"/>
    <cellStyle name="40% - Accent5 5 5 6" xfId="8372" xr:uid="{00000000-0005-0000-0000-0000B3200000}"/>
    <cellStyle name="40% - Accent5 5 6" xfId="8373" xr:uid="{00000000-0005-0000-0000-0000B4200000}"/>
    <cellStyle name="40% - Accent5 5 6 2" xfId="8374" xr:uid="{00000000-0005-0000-0000-0000B5200000}"/>
    <cellStyle name="40% - Accent5 5 7" xfId="8375" xr:uid="{00000000-0005-0000-0000-0000B6200000}"/>
    <cellStyle name="40% - Accent5 5 8" xfId="8376" xr:uid="{00000000-0005-0000-0000-0000B7200000}"/>
    <cellStyle name="40% - Accent5 6" xfId="8377" xr:uid="{00000000-0005-0000-0000-0000B8200000}"/>
    <cellStyle name="40% - Accent5 6 2" xfId="8378" xr:uid="{00000000-0005-0000-0000-0000B9200000}"/>
    <cellStyle name="40% - Accent5 6 2 2" xfId="8379" xr:uid="{00000000-0005-0000-0000-0000BA200000}"/>
    <cellStyle name="40% - Accent5 6 2 2 2" xfId="8380" xr:uid="{00000000-0005-0000-0000-0000BB200000}"/>
    <cellStyle name="40% - Accent5 6 2 2 2 2" xfId="8381" xr:uid="{00000000-0005-0000-0000-0000BC200000}"/>
    <cellStyle name="40% - Accent5 6 2 2 2 2 2" xfId="8382" xr:uid="{00000000-0005-0000-0000-0000BD200000}"/>
    <cellStyle name="40% - Accent5 6 2 2 2 3" xfId="8383" xr:uid="{00000000-0005-0000-0000-0000BE200000}"/>
    <cellStyle name="40% - Accent5 6 2 2 2 3 2" xfId="8384" xr:uid="{00000000-0005-0000-0000-0000BF200000}"/>
    <cellStyle name="40% - Accent5 6 2 2 2 4" xfId="8385" xr:uid="{00000000-0005-0000-0000-0000C0200000}"/>
    <cellStyle name="40% - Accent5 6 2 2 2 5" xfId="8386" xr:uid="{00000000-0005-0000-0000-0000C1200000}"/>
    <cellStyle name="40% - Accent5 6 2 2 3" xfId="8387" xr:uid="{00000000-0005-0000-0000-0000C2200000}"/>
    <cellStyle name="40% - Accent5 6 2 2 3 2" xfId="8388" xr:uid="{00000000-0005-0000-0000-0000C3200000}"/>
    <cellStyle name="40% - Accent5 6 2 2 4" xfId="8389" xr:uid="{00000000-0005-0000-0000-0000C4200000}"/>
    <cellStyle name="40% - Accent5 6 2 2 4 2" xfId="8390" xr:uid="{00000000-0005-0000-0000-0000C5200000}"/>
    <cellStyle name="40% - Accent5 6 2 2 5" xfId="8391" xr:uid="{00000000-0005-0000-0000-0000C6200000}"/>
    <cellStyle name="40% - Accent5 6 2 2 6" xfId="8392" xr:uid="{00000000-0005-0000-0000-0000C7200000}"/>
    <cellStyle name="40% - Accent5 6 2 3" xfId="8393" xr:uid="{00000000-0005-0000-0000-0000C8200000}"/>
    <cellStyle name="40% - Accent5 6 2 3 2" xfId="8394" xr:uid="{00000000-0005-0000-0000-0000C9200000}"/>
    <cellStyle name="40% - Accent5 6 2 3 2 2" xfId="8395" xr:uid="{00000000-0005-0000-0000-0000CA200000}"/>
    <cellStyle name="40% - Accent5 6 2 3 3" xfId="8396" xr:uid="{00000000-0005-0000-0000-0000CB200000}"/>
    <cellStyle name="40% - Accent5 6 2 3 3 2" xfId="8397" xr:uid="{00000000-0005-0000-0000-0000CC200000}"/>
    <cellStyle name="40% - Accent5 6 2 3 4" xfId="8398" xr:uid="{00000000-0005-0000-0000-0000CD200000}"/>
    <cellStyle name="40% - Accent5 6 2 3 5" xfId="8399" xr:uid="{00000000-0005-0000-0000-0000CE200000}"/>
    <cellStyle name="40% - Accent5 6 2 4" xfId="8400" xr:uid="{00000000-0005-0000-0000-0000CF200000}"/>
    <cellStyle name="40% - Accent5 6 2 4 2" xfId="8401" xr:uid="{00000000-0005-0000-0000-0000D0200000}"/>
    <cellStyle name="40% - Accent5 6 2 5" xfId="8402" xr:uid="{00000000-0005-0000-0000-0000D1200000}"/>
    <cellStyle name="40% - Accent5 6 2 5 2" xfId="8403" xr:uid="{00000000-0005-0000-0000-0000D2200000}"/>
    <cellStyle name="40% - Accent5 6 2 6" xfId="8404" xr:uid="{00000000-0005-0000-0000-0000D3200000}"/>
    <cellStyle name="40% - Accent5 6 2 7" xfId="8405" xr:uid="{00000000-0005-0000-0000-0000D4200000}"/>
    <cellStyle name="40% - Accent5 6 3" xfId="8406" xr:uid="{00000000-0005-0000-0000-0000D5200000}"/>
    <cellStyle name="40% - Accent5 6 3 2" xfId="8407" xr:uid="{00000000-0005-0000-0000-0000D6200000}"/>
    <cellStyle name="40% - Accent5 6 3 2 2" xfId="8408" xr:uid="{00000000-0005-0000-0000-0000D7200000}"/>
    <cellStyle name="40% - Accent5 6 3 2 2 2" xfId="8409" xr:uid="{00000000-0005-0000-0000-0000D8200000}"/>
    <cellStyle name="40% - Accent5 6 3 2 3" xfId="8410" xr:uid="{00000000-0005-0000-0000-0000D9200000}"/>
    <cellStyle name="40% - Accent5 6 3 2 3 2" xfId="8411" xr:uid="{00000000-0005-0000-0000-0000DA200000}"/>
    <cellStyle name="40% - Accent5 6 3 2 4" xfId="8412" xr:uid="{00000000-0005-0000-0000-0000DB200000}"/>
    <cellStyle name="40% - Accent5 6 3 2 5" xfId="8413" xr:uid="{00000000-0005-0000-0000-0000DC200000}"/>
    <cellStyle name="40% - Accent5 6 3 3" xfId="8414" xr:uid="{00000000-0005-0000-0000-0000DD200000}"/>
    <cellStyle name="40% - Accent5 6 3 3 2" xfId="8415" xr:uid="{00000000-0005-0000-0000-0000DE200000}"/>
    <cellStyle name="40% - Accent5 6 3 4" xfId="8416" xr:uid="{00000000-0005-0000-0000-0000DF200000}"/>
    <cellStyle name="40% - Accent5 6 3 4 2" xfId="8417" xr:uid="{00000000-0005-0000-0000-0000E0200000}"/>
    <cellStyle name="40% - Accent5 6 3 5" xfId="8418" xr:uid="{00000000-0005-0000-0000-0000E1200000}"/>
    <cellStyle name="40% - Accent5 6 3 6" xfId="8419" xr:uid="{00000000-0005-0000-0000-0000E2200000}"/>
    <cellStyle name="40% - Accent5 6 4" xfId="8420" xr:uid="{00000000-0005-0000-0000-0000E3200000}"/>
    <cellStyle name="40% - Accent5 6 4 2" xfId="8421" xr:uid="{00000000-0005-0000-0000-0000E4200000}"/>
    <cellStyle name="40% - Accent5 6 4 2 2" xfId="8422" xr:uid="{00000000-0005-0000-0000-0000E5200000}"/>
    <cellStyle name="40% - Accent5 6 4 3" xfId="8423" xr:uid="{00000000-0005-0000-0000-0000E6200000}"/>
    <cellStyle name="40% - Accent5 6 4 3 2" xfId="8424" xr:uid="{00000000-0005-0000-0000-0000E7200000}"/>
    <cellStyle name="40% - Accent5 6 4 4" xfId="8425" xr:uid="{00000000-0005-0000-0000-0000E8200000}"/>
    <cellStyle name="40% - Accent5 6 4 5" xfId="8426" xr:uid="{00000000-0005-0000-0000-0000E9200000}"/>
    <cellStyle name="40% - Accent5 6 5" xfId="8427" xr:uid="{00000000-0005-0000-0000-0000EA200000}"/>
    <cellStyle name="40% - Accent5 6 5 2" xfId="8428" xr:uid="{00000000-0005-0000-0000-0000EB200000}"/>
    <cellStyle name="40% - Accent5 6 6" xfId="8429" xr:uid="{00000000-0005-0000-0000-0000EC200000}"/>
    <cellStyle name="40% - Accent5 6 6 2" xfId="8430" xr:uid="{00000000-0005-0000-0000-0000ED200000}"/>
    <cellStyle name="40% - Accent5 6 7" xfId="8431" xr:uid="{00000000-0005-0000-0000-0000EE200000}"/>
    <cellStyle name="40% - Accent5 6 8" xfId="8432" xr:uid="{00000000-0005-0000-0000-0000EF200000}"/>
    <cellStyle name="40% - Accent5 6 9" xfId="8433" xr:uid="{00000000-0005-0000-0000-0000F0200000}"/>
    <cellStyle name="40% - Accent5 7" xfId="8434" xr:uid="{00000000-0005-0000-0000-0000F1200000}"/>
    <cellStyle name="40% - Accent5 7 2" xfId="8435" xr:uid="{00000000-0005-0000-0000-0000F2200000}"/>
    <cellStyle name="40% - Accent5 7 2 2" xfId="8436" xr:uid="{00000000-0005-0000-0000-0000F3200000}"/>
    <cellStyle name="40% - Accent5 7 2 2 2" xfId="8437" xr:uid="{00000000-0005-0000-0000-0000F4200000}"/>
    <cellStyle name="40% - Accent5 7 2 2 2 2" xfId="8438" xr:uid="{00000000-0005-0000-0000-0000F5200000}"/>
    <cellStyle name="40% - Accent5 7 2 2 2 2 2" xfId="8439" xr:uid="{00000000-0005-0000-0000-0000F6200000}"/>
    <cellStyle name="40% - Accent5 7 2 2 2 3" xfId="8440" xr:uid="{00000000-0005-0000-0000-0000F7200000}"/>
    <cellStyle name="40% - Accent5 7 2 2 2 3 2" xfId="8441" xr:uid="{00000000-0005-0000-0000-0000F8200000}"/>
    <cellStyle name="40% - Accent5 7 2 2 2 4" xfId="8442" xr:uid="{00000000-0005-0000-0000-0000F9200000}"/>
    <cellStyle name="40% - Accent5 7 2 2 2 5" xfId="8443" xr:uid="{00000000-0005-0000-0000-0000FA200000}"/>
    <cellStyle name="40% - Accent5 7 2 2 3" xfId="8444" xr:uid="{00000000-0005-0000-0000-0000FB200000}"/>
    <cellStyle name="40% - Accent5 7 2 2 3 2" xfId="8445" xr:uid="{00000000-0005-0000-0000-0000FC200000}"/>
    <cellStyle name="40% - Accent5 7 2 2 4" xfId="8446" xr:uid="{00000000-0005-0000-0000-0000FD200000}"/>
    <cellStyle name="40% - Accent5 7 2 2 4 2" xfId="8447" xr:uid="{00000000-0005-0000-0000-0000FE200000}"/>
    <cellStyle name="40% - Accent5 7 2 2 5" xfId="8448" xr:uid="{00000000-0005-0000-0000-0000FF200000}"/>
    <cellStyle name="40% - Accent5 7 2 2 6" xfId="8449" xr:uid="{00000000-0005-0000-0000-000000210000}"/>
    <cellStyle name="40% - Accent5 7 2 3" xfId="8450" xr:uid="{00000000-0005-0000-0000-000001210000}"/>
    <cellStyle name="40% - Accent5 7 2 3 2" xfId="8451" xr:uid="{00000000-0005-0000-0000-000002210000}"/>
    <cellStyle name="40% - Accent5 7 2 3 2 2" xfId="8452" xr:uid="{00000000-0005-0000-0000-000003210000}"/>
    <cellStyle name="40% - Accent5 7 2 3 3" xfId="8453" xr:uid="{00000000-0005-0000-0000-000004210000}"/>
    <cellStyle name="40% - Accent5 7 2 3 3 2" xfId="8454" xr:uid="{00000000-0005-0000-0000-000005210000}"/>
    <cellStyle name="40% - Accent5 7 2 3 4" xfId="8455" xr:uid="{00000000-0005-0000-0000-000006210000}"/>
    <cellStyle name="40% - Accent5 7 2 3 5" xfId="8456" xr:uid="{00000000-0005-0000-0000-000007210000}"/>
    <cellStyle name="40% - Accent5 7 2 4" xfId="8457" xr:uid="{00000000-0005-0000-0000-000008210000}"/>
    <cellStyle name="40% - Accent5 7 2 4 2" xfId="8458" xr:uid="{00000000-0005-0000-0000-000009210000}"/>
    <cellStyle name="40% - Accent5 7 2 5" xfId="8459" xr:uid="{00000000-0005-0000-0000-00000A210000}"/>
    <cellStyle name="40% - Accent5 7 2 5 2" xfId="8460" xr:uid="{00000000-0005-0000-0000-00000B210000}"/>
    <cellStyle name="40% - Accent5 7 2 6" xfId="8461" xr:uid="{00000000-0005-0000-0000-00000C210000}"/>
    <cellStyle name="40% - Accent5 7 2 7" xfId="8462" xr:uid="{00000000-0005-0000-0000-00000D210000}"/>
    <cellStyle name="40% - Accent5 7 3" xfId="8463" xr:uid="{00000000-0005-0000-0000-00000E210000}"/>
    <cellStyle name="40% - Accent5 7 3 2" xfId="8464" xr:uid="{00000000-0005-0000-0000-00000F210000}"/>
    <cellStyle name="40% - Accent5 7 3 2 2" xfId="8465" xr:uid="{00000000-0005-0000-0000-000010210000}"/>
    <cellStyle name="40% - Accent5 7 3 2 2 2" xfId="8466" xr:uid="{00000000-0005-0000-0000-000011210000}"/>
    <cellStyle name="40% - Accent5 7 3 2 3" xfId="8467" xr:uid="{00000000-0005-0000-0000-000012210000}"/>
    <cellStyle name="40% - Accent5 7 3 2 3 2" xfId="8468" xr:uid="{00000000-0005-0000-0000-000013210000}"/>
    <cellStyle name="40% - Accent5 7 3 2 4" xfId="8469" xr:uid="{00000000-0005-0000-0000-000014210000}"/>
    <cellStyle name="40% - Accent5 7 3 2 5" xfId="8470" xr:uid="{00000000-0005-0000-0000-000015210000}"/>
    <cellStyle name="40% - Accent5 7 3 3" xfId="8471" xr:uid="{00000000-0005-0000-0000-000016210000}"/>
    <cellStyle name="40% - Accent5 7 3 3 2" xfId="8472" xr:uid="{00000000-0005-0000-0000-000017210000}"/>
    <cellStyle name="40% - Accent5 7 3 4" xfId="8473" xr:uid="{00000000-0005-0000-0000-000018210000}"/>
    <cellStyle name="40% - Accent5 7 3 4 2" xfId="8474" xr:uid="{00000000-0005-0000-0000-000019210000}"/>
    <cellStyle name="40% - Accent5 7 3 5" xfId="8475" xr:uid="{00000000-0005-0000-0000-00001A210000}"/>
    <cellStyle name="40% - Accent5 7 3 6" xfId="8476" xr:uid="{00000000-0005-0000-0000-00001B210000}"/>
    <cellStyle name="40% - Accent5 7 4" xfId="8477" xr:uid="{00000000-0005-0000-0000-00001C210000}"/>
    <cellStyle name="40% - Accent5 7 4 2" xfId="8478" xr:uid="{00000000-0005-0000-0000-00001D210000}"/>
    <cellStyle name="40% - Accent5 7 4 2 2" xfId="8479" xr:uid="{00000000-0005-0000-0000-00001E210000}"/>
    <cellStyle name="40% - Accent5 7 4 3" xfId="8480" xr:uid="{00000000-0005-0000-0000-00001F210000}"/>
    <cellStyle name="40% - Accent5 7 4 3 2" xfId="8481" xr:uid="{00000000-0005-0000-0000-000020210000}"/>
    <cellStyle name="40% - Accent5 7 4 4" xfId="8482" xr:uid="{00000000-0005-0000-0000-000021210000}"/>
    <cellStyle name="40% - Accent5 7 4 5" xfId="8483" xr:uid="{00000000-0005-0000-0000-000022210000}"/>
    <cellStyle name="40% - Accent5 7 5" xfId="8484" xr:uid="{00000000-0005-0000-0000-000023210000}"/>
    <cellStyle name="40% - Accent5 7 5 2" xfId="8485" xr:uid="{00000000-0005-0000-0000-000024210000}"/>
    <cellStyle name="40% - Accent5 7 6" xfId="8486" xr:uid="{00000000-0005-0000-0000-000025210000}"/>
    <cellStyle name="40% - Accent5 7 6 2" xfId="8487" xr:uid="{00000000-0005-0000-0000-000026210000}"/>
    <cellStyle name="40% - Accent5 7 7" xfId="8488" xr:uid="{00000000-0005-0000-0000-000027210000}"/>
    <cellStyle name="40% - Accent5 7 8" xfId="8489" xr:uid="{00000000-0005-0000-0000-000028210000}"/>
    <cellStyle name="40% - Accent5 7 9" xfId="8490" xr:uid="{00000000-0005-0000-0000-000029210000}"/>
    <cellStyle name="40% - Accent5 8" xfId="8491" xr:uid="{00000000-0005-0000-0000-00002A210000}"/>
    <cellStyle name="40% - Accent5 8 2" xfId="8492" xr:uid="{00000000-0005-0000-0000-00002B210000}"/>
    <cellStyle name="40% - Accent5 8 2 2" xfId="8493" xr:uid="{00000000-0005-0000-0000-00002C210000}"/>
    <cellStyle name="40% - Accent5 8 2 2 2" xfId="8494" xr:uid="{00000000-0005-0000-0000-00002D210000}"/>
    <cellStyle name="40% - Accent5 8 2 2 2 2" xfId="8495" xr:uid="{00000000-0005-0000-0000-00002E210000}"/>
    <cellStyle name="40% - Accent5 8 2 2 2 2 2" xfId="8496" xr:uid="{00000000-0005-0000-0000-00002F210000}"/>
    <cellStyle name="40% - Accent5 8 2 2 2 3" xfId="8497" xr:uid="{00000000-0005-0000-0000-000030210000}"/>
    <cellStyle name="40% - Accent5 8 2 2 2 3 2" xfId="8498" xr:uid="{00000000-0005-0000-0000-000031210000}"/>
    <cellStyle name="40% - Accent5 8 2 2 2 4" xfId="8499" xr:uid="{00000000-0005-0000-0000-000032210000}"/>
    <cellStyle name="40% - Accent5 8 2 2 2 5" xfId="8500" xr:uid="{00000000-0005-0000-0000-000033210000}"/>
    <cellStyle name="40% - Accent5 8 2 2 3" xfId="8501" xr:uid="{00000000-0005-0000-0000-000034210000}"/>
    <cellStyle name="40% - Accent5 8 2 2 3 2" xfId="8502" xr:uid="{00000000-0005-0000-0000-000035210000}"/>
    <cellStyle name="40% - Accent5 8 2 2 4" xfId="8503" xr:uid="{00000000-0005-0000-0000-000036210000}"/>
    <cellStyle name="40% - Accent5 8 2 2 4 2" xfId="8504" xr:uid="{00000000-0005-0000-0000-000037210000}"/>
    <cellStyle name="40% - Accent5 8 2 2 5" xfId="8505" xr:uid="{00000000-0005-0000-0000-000038210000}"/>
    <cellStyle name="40% - Accent5 8 2 2 6" xfId="8506" xr:uid="{00000000-0005-0000-0000-000039210000}"/>
    <cellStyle name="40% - Accent5 8 2 3" xfId="8507" xr:uid="{00000000-0005-0000-0000-00003A210000}"/>
    <cellStyle name="40% - Accent5 8 2 3 2" xfId="8508" xr:uid="{00000000-0005-0000-0000-00003B210000}"/>
    <cellStyle name="40% - Accent5 8 2 3 2 2" xfId="8509" xr:uid="{00000000-0005-0000-0000-00003C210000}"/>
    <cellStyle name="40% - Accent5 8 2 3 3" xfId="8510" xr:uid="{00000000-0005-0000-0000-00003D210000}"/>
    <cellStyle name="40% - Accent5 8 2 3 3 2" xfId="8511" xr:uid="{00000000-0005-0000-0000-00003E210000}"/>
    <cellStyle name="40% - Accent5 8 2 3 4" xfId="8512" xr:uid="{00000000-0005-0000-0000-00003F210000}"/>
    <cellStyle name="40% - Accent5 8 2 3 5" xfId="8513" xr:uid="{00000000-0005-0000-0000-000040210000}"/>
    <cellStyle name="40% - Accent5 8 2 4" xfId="8514" xr:uid="{00000000-0005-0000-0000-000041210000}"/>
    <cellStyle name="40% - Accent5 8 2 4 2" xfId="8515" xr:uid="{00000000-0005-0000-0000-000042210000}"/>
    <cellStyle name="40% - Accent5 8 2 5" xfId="8516" xr:uid="{00000000-0005-0000-0000-000043210000}"/>
    <cellStyle name="40% - Accent5 8 2 5 2" xfId="8517" xr:uid="{00000000-0005-0000-0000-000044210000}"/>
    <cellStyle name="40% - Accent5 8 2 6" xfId="8518" xr:uid="{00000000-0005-0000-0000-000045210000}"/>
    <cellStyle name="40% - Accent5 8 2 7" xfId="8519" xr:uid="{00000000-0005-0000-0000-000046210000}"/>
    <cellStyle name="40% - Accent5 8 3" xfId="8520" xr:uid="{00000000-0005-0000-0000-000047210000}"/>
    <cellStyle name="40% - Accent5 8 3 2" xfId="8521" xr:uid="{00000000-0005-0000-0000-000048210000}"/>
    <cellStyle name="40% - Accent5 8 3 2 2" xfId="8522" xr:uid="{00000000-0005-0000-0000-000049210000}"/>
    <cellStyle name="40% - Accent5 8 3 2 2 2" xfId="8523" xr:uid="{00000000-0005-0000-0000-00004A210000}"/>
    <cellStyle name="40% - Accent5 8 3 2 3" xfId="8524" xr:uid="{00000000-0005-0000-0000-00004B210000}"/>
    <cellStyle name="40% - Accent5 8 3 2 3 2" xfId="8525" xr:uid="{00000000-0005-0000-0000-00004C210000}"/>
    <cellStyle name="40% - Accent5 8 3 2 4" xfId="8526" xr:uid="{00000000-0005-0000-0000-00004D210000}"/>
    <cellStyle name="40% - Accent5 8 3 2 5" xfId="8527" xr:uid="{00000000-0005-0000-0000-00004E210000}"/>
    <cellStyle name="40% - Accent5 8 3 3" xfId="8528" xr:uid="{00000000-0005-0000-0000-00004F210000}"/>
    <cellStyle name="40% - Accent5 8 3 3 2" xfId="8529" xr:uid="{00000000-0005-0000-0000-000050210000}"/>
    <cellStyle name="40% - Accent5 8 3 4" xfId="8530" xr:uid="{00000000-0005-0000-0000-000051210000}"/>
    <cellStyle name="40% - Accent5 8 3 4 2" xfId="8531" xr:uid="{00000000-0005-0000-0000-000052210000}"/>
    <cellStyle name="40% - Accent5 8 3 5" xfId="8532" xr:uid="{00000000-0005-0000-0000-000053210000}"/>
    <cellStyle name="40% - Accent5 8 3 6" xfId="8533" xr:uid="{00000000-0005-0000-0000-000054210000}"/>
    <cellStyle name="40% - Accent5 8 4" xfId="8534" xr:uid="{00000000-0005-0000-0000-000055210000}"/>
    <cellStyle name="40% - Accent5 8 4 2" xfId="8535" xr:uid="{00000000-0005-0000-0000-000056210000}"/>
    <cellStyle name="40% - Accent5 8 4 2 2" xfId="8536" xr:uid="{00000000-0005-0000-0000-000057210000}"/>
    <cellStyle name="40% - Accent5 8 4 3" xfId="8537" xr:uid="{00000000-0005-0000-0000-000058210000}"/>
    <cellStyle name="40% - Accent5 8 4 3 2" xfId="8538" xr:uid="{00000000-0005-0000-0000-000059210000}"/>
    <cellStyle name="40% - Accent5 8 4 4" xfId="8539" xr:uid="{00000000-0005-0000-0000-00005A210000}"/>
    <cellStyle name="40% - Accent5 8 4 5" xfId="8540" xr:uid="{00000000-0005-0000-0000-00005B210000}"/>
    <cellStyle name="40% - Accent5 8 5" xfId="8541" xr:uid="{00000000-0005-0000-0000-00005C210000}"/>
    <cellStyle name="40% - Accent5 8 5 2" xfId="8542" xr:uid="{00000000-0005-0000-0000-00005D210000}"/>
    <cellStyle name="40% - Accent5 8 6" xfId="8543" xr:uid="{00000000-0005-0000-0000-00005E210000}"/>
    <cellStyle name="40% - Accent5 8 6 2" xfId="8544" xr:uid="{00000000-0005-0000-0000-00005F210000}"/>
    <cellStyle name="40% - Accent5 8 7" xfId="8545" xr:uid="{00000000-0005-0000-0000-000060210000}"/>
    <cellStyle name="40% - Accent5 8 8" xfId="8546" xr:uid="{00000000-0005-0000-0000-000061210000}"/>
    <cellStyle name="40% - Accent5 9" xfId="8547" xr:uid="{00000000-0005-0000-0000-000062210000}"/>
    <cellStyle name="40% - Accent5 9 2" xfId="8548" xr:uid="{00000000-0005-0000-0000-000063210000}"/>
    <cellStyle name="40% - Accent5 9 2 2" xfId="8549" xr:uid="{00000000-0005-0000-0000-000064210000}"/>
    <cellStyle name="40% - Accent5 9 2 2 2" xfId="8550" xr:uid="{00000000-0005-0000-0000-000065210000}"/>
    <cellStyle name="40% - Accent5 9 2 2 2 2" xfId="8551" xr:uid="{00000000-0005-0000-0000-000066210000}"/>
    <cellStyle name="40% - Accent5 9 2 2 2 2 2" xfId="8552" xr:uid="{00000000-0005-0000-0000-000067210000}"/>
    <cellStyle name="40% - Accent5 9 2 2 2 3" xfId="8553" xr:uid="{00000000-0005-0000-0000-000068210000}"/>
    <cellStyle name="40% - Accent5 9 2 2 2 3 2" xfId="8554" xr:uid="{00000000-0005-0000-0000-000069210000}"/>
    <cellStyle name="40% - Accent5 9 2 2 2 4" xfId="8555" xr:uid="{00000000-0005-0000-0000-00006A210000}"/>
    <cellStyle name="40% - Accent5 9 2 2 2 5" xfId="8556" xr:uid="{00000000-0005-0000-0000-00006B210000}"/>
    <cellStyle name="40% - Accent5 9 2 2 3" xfId="8557" xr:uid="{00000000-0005-0000-0000-00006C210000}"/>
    <cellStyle name="40% - Accent5 9 2 2 3 2" xfId="8558" xr:uid="{00000000-0005-0000-0000-00006D210000}"/>
    <cellStyle name="40% - Accent5 9 2 2 4" xfId="8559" xr:uid="{00000000-0005-0000-0000-00006E210000}"/>
    <cellStyle name="40% - Accent5 9 2 2 4 2" xfId="8560" xr:uid="{00000000-0005-0000-0000-00006F210000}"/>
    <cellStyle name="40% - Accent5 9 2 2 5" xfId="8561" xr:uid="{00000000-0005-0000-0000-000070210000}"/>
    <cellStyle name="40% - Accent5 9 2 2 6" xfId="8562" xr:uid="{00000000-0005-0000-0000-000071210000}"/>
    <cellStyle name="40% - Accent5 9 2 3" xfId="8563" xr:uid="{00000000-0005-0000-0000-000072210000}"/>
    <cellStyle name="40% - Accent5 9 2 3 2" xfId="8564" xr:uid="{00000000-0005-0000-0000-000073210000}"/>
    <cellStyle name="40% - Accent5 9 2 3 2 2" xfId="8565" xr:uid="{00000000-0005-0000-0000-000074210000}"/>
    <cellStyle name="40% - Accent5 9 2 3 3" xfId="8566" xr:uid="{00000000-0005-0000-0000-000075210000}"/>
    <cellStyle name="40% - Accent5 9 2 3 3 2" xfId="8567" xr:uid="{00000000-0005-0000-0000-000076210000}"/>
    <cellStyle name="40% - Accent5 9 2 3 4" xfId="8568" xr:uid="{00000000-0005-0000-0000-000077210000}"/>
    <cellStyle name="40% - Accent5 9 2 3 5" xfId="8569" xr:uid="{00000000-0005-0000-0000-000078210000}"/>
    <cellStyle name="40% - Accent5 9 2 4" xfId="8570" xr:uid="{00000000-0005-0000-0000-000079210000}"/>
    <cellStyle name="40% - Accent5 9 2 4 2" xfId="8571" xr:uid="{00000000-0005-0000-0000-00007A210000}"/>
    <cellStyle name="40% - Accent5 9 2 5" xfId="8572" xr:uid="{00000000-0005-0000-0000-00007B210000}"/>
    <cellStyle name="40% - Accent5 9 2 5 2" xfId="8573" xr:uid="{00000000-0005-0000-0000-00007C210000}"/>
    <cellStyle name="40% - Accent5 9 2 6" xfId="8574" xr:uid="{00000000-0005-0000-0000-00007D210000}"/>
    <cellStyle name="40% - Accent5 9 2 7" xfId="8575" xr:uid="{00000000-0005-0000-0000-00007E210000}"/>
    <cellStyle name="40% - Accent5 9 3" xfId="8576" xr:uid="{00000000-0005-0000-0000-00007F210000}"/>
    <cellStyle name="40% - Accent5 9 3 2" xfId="8577" xr:uid="{00000000-0005-0000-0000-000080210000}"/>
    <cellStyle name="40% - Accent5 9 3 2 2" xfId="8578" xr:uid="{00000000-0005-0000-0000-000081210000}"/>
    <cellStyle name="40% - Accent5 9 3 2 2 2" xfId="8579" xr:uid="{00000000-0005-0000-0000-000082210000}"/>
    <cellStyle name="40% - Accent5 9 3 2 3" xfId="8580" xr:uid="{00000000-0005-0000-0000-000083210000}"/>
    <cellStyle name="40% - Accent5 9 3 2 3 2" xfId="8581" xr:uid="{00000000-0005-0000-0000-000084210000}"/>
    <cellStyle name="40% - Accent5 9 3 2 4" xfId="8582" xr:uid="{00000000-0005-0000-0000-000085210000}"/>
    <cellStyle name="40% - Accent5 9 3 2 5" xfId="8583" xr:uid="{00000000-0005-0000-0000-000086210000}"/>
    <cellStyle name="40% - Accent5 9 3 3" xfId="8584" xr:uid="{00000000-0005-0000-0000-000087210000}"/>
    <cellStyle name="40% - Accent5 9 3 3 2" xfId="8585" xr:uid="{00000000-0005-0000-0000-000088210000}"/>
    <cellStyle name="40% - Accent5 9 3 4" xfId="8586" xr:uid="{00000000-0005-0000-0000-000089210000}"/>
    <cellStyle name="40% - Accent5 9 3 4 2" xfId="8587" xr:uid="{00000000-0005-0000-0000-00008A210000}"/>
    <cellStyle name="40% - Accent5 9 3 5" xfId="8588" xr:uid="{00000000-0005-0000-0000-00008B210000}"/>
    <cellStyle name="40% - Accent5 9 3 6" xfId="8589" xr:uid="{00000000-0005-0000-0000-00008C210000}"/>
    <cellStyle name="40% - Accent5 9 4" xfId="8590" xr:uid="{00000000-0005-0000-0000-00008D210000}"/>
    <cellStyle name="40% - Accent5 9 4 2" xfId="8591" xr:uid="{00000000-0005-0000-0000-00008E210000}"/>
    <cellStyle name="40% - Accent5 9 4 2 2" xfId="8592" xr:uid="{00000000-0005-0000-0000-00008F210000}"/>
    <cellStyle name="40% - Accent5 9 4 3" xfId="8593" xr:uid="{00000000-0005-0000-0000-000090210000}"/>
    <cellStyle name="40% - Accent5 9 4 3 2" xfId="8594" xr:uid="{00000000-0005-0000-0000-000091210000}"/>
    <cellStyle name="40% - Accent5 9 4 4" xfId="8595" xr:uid="{00000000-0005-0000-0000-000092210000}"/>
    <cellStyle name="40% - Accent5 9 4 5" xfId="8596" xr:uid="{00000000-0005-0000-0000-000093210000}"/>
    <cellStyle name="40% - Accent5 9 5" xfId="8597" xr:uid="{00000000-0005-0000-0000-000094210000}"/>
    <cellStyle name="40% - Accent5 9 5 2" xfId="8598" xr:uid="{00000000-0005-0000-0000-000095210000}"/>
    <cellStyle name="40% - Accent5 9 6" xfId="8599" xr:uid="{00000000-0005-0000-0000-000096210000}"/>
    <cellStyle name="40% - Accent5 9 6 2" xfId="8600" xr:uid="{00000000-0005-0000-0000-000097210000}"/>
    <cellStyle name="40% - Accent5 9 7" xfId="8601" xr:uid="{00000000-0005-0000-0000-000098210000}"/>
    <cellStyle name="40% - Accent5 9 8" xfId="8602" xr:uid="{00000000-0005-0000-0000-000099210000}"/>
    <cellStyle name="40% - Accent6 10" xfId="8603" xr:uid="{00000000-0005-0000-0000-00009A210000}"/>
    <cellStyle name="40% - Accent6 10 2" xfId="8604" xr:uid="{00000000-0005-0000-0000-00009B210000}"/>
    <cellStyle name="40% - Accent6 10 2 2" xfId="8605" xr:uid="{00000000-0005-0000-0000-00009C210000}"/>
    <cellStyle name="40% - Accent6 10 2 2 2" xfId="8606" xr:uid="{00000000-0005-0000-0000-00009D210000}"/>
    <cellStyle name="40% - Accent6 10 2 2 2 2" xfId="8607" xr:uid="{00000000-0005-0000-0000-00009E210000}"/>
    <cellStyle name="40% - Accent6 10 2 2 2 2 2" xfId="8608" xr:uid="{00000000-0005-0000-0000-00009F210000}"/>
    <cellStyle name="40% - Accent6 10 2 2 2 3" xfId="8609" xr:uid="{00000000-0005-0000-0000-0000A0210000}"/>
    <cellStyle name="40% - Accent6 10 2 2 2 3 2" xfId="8610" xr:uid="{00000000-0005-0000-0000-0000A1210000}"/>
    <cellStyle name="40% - Accent6 10 2 2 2 4" xfId="8611" xr:uid="{00000000-0005-0000-0000-0000A2210000}"/>
    <cellStyle name="40% - Accent6 10 2 2 2 5" xfId="8612" xr:uid="{00000000-0005-0000-0000-0000A3210000}"/>
    <cellStyle name="40% - Accent6 10 2 2 3" xfId="8613" xr:uid="{00000000-0005-0000-0000-0000A4210000}"/>
    <cellStyle name="40% - Accent6 10 2 2 3 2" xfId="8614" xr:uid="{00000000-0005-0000-0000-0000A5210000}"/>
    <cellStyle name="40% - Accent6 10 2 2 4" xfId="8615" xr:uid="{00000000-0005-0000-0000-0000A6210000}"/>
    <cellStyle name="40% - Accent6 10 2 2 4 2" xfId="8616" xr:uid="{00000000-0005-0000-0000-0000A7210000}"/>
    <cellStyle name="40% - Accent6 10 2 2 5" xfId="8617" xr:uid="{00000000-0005-0000-0000-0000A8210000}"/>
    <cellStyle name="40% - Accent6 10 2 2 6" xfId="8618" xr:uid="{00000000-0005-0000-0000-0000A9210000}"/>
    <cellStyle name="40% - Accent6 10 2 3" xfId="8619" xr:uid="{00000000-0005-0000-0000-0000AA210000}"/>
    <cellStyle name="40% - Accent6 10 2 3 2" xfId="8620" xr:uid="{00000000-0005-0000-0000-0000AB210000}"/>
    <cellStyle name="40% - Accent6 10 2 3 2 2" xfId="8621" xr:uid="{00000000-0005-0000-0000-0000AC210000}"/>
    <cellStyle name="40% - Accent6 10 2 3 3" xfId="8622" xr:uid="{00000000-0005-0000-0000-0000AD210000}"/>
    <cellStyle name="40% - Accent6 10 2 3 3 2" xfId="8623" xr:uid="{00000000-0005-0000-0000-0000AE210000}"/>
    <cellStyle name="40% - Accent6 10 2 3 4" xfId="8624" xr:uid="{00000000-0005-0000-0000-0000AF210000}"/>
    <cellStyle name="40% - Accent6 10 2 3 5" xfId="8625" xr:uid="{00000000-0005-0000-0000-0000B0210000}"/>
    <cellStyle name="40% - Accent6 10 2 4" xfId="8626" xr:uid="{00000000-0005-0000-0000-0000B1210000}"/>
    <cellStyle name="40% - Accent6 10 2 4 2" xfId="8627" xr:uid="{00000000-0005-0000-0000-0000B2210000}"/>
    <cellStyle name="40% - Accent6 10 2 5" xfId="8628" xr:uid="{00000000-0005-0000-0000-0000B3210000}"/>
    <cellStyle name="40% - Accent6 10 2 5 2" xfId="8629" xr:uid="{00000000-0005-0000-0000-0000B4210000}"/>
    <cellStyle name="40% - Accent6 10 2 6" xfId="8630" xr:uid="{00000000-0005-0000-0000-0000B5210000}"/>
    <cellStyle name="40% - Accent6 10 2 7" xfId="8631" xr:uid="{00000000-0005-0000-0000-0000B6210000}"/>
    <cellStyle name="40% - Accent6 10 3" xfId="8632" xr:uid="{00000000-0005-0000-0000-0000B7210000}"/>
    <cellStyle name="40% - Accent6 10 3 2" xfId="8633" xr:uid="{00000000-0005-0000-0000-0000B8210000}"/>
    <cellStyle name="40% - Accent6 10 3 2 2" xfId="8634" xr:uid="{00000000-0005-0000-0000-0000B9210000}"/>
    <cellStyle name="40% - Accent6 10 3 2 2 2" xfId="8635" xr:uid="{00000000-0005-0000-0000-0000BA210000}"/>
    <cellStyle name="40% - Accent6 10 3 2 3" xfId="8636" xr:uid="{00000000-0005-0000-0000-0000BB210000}"/>
    <cellStyle name="40% - Accent6 10 3 2 3 2" xfId="8637" xr:uid="{00000000-0005-0000-0000-0000BC210000}"/>
    <cellStyle name="40% - Accent6 10 3 2 4" xfId="8638" xr:uid="{00000000-0005-0000-0000-0000BD210000}"/>
    <cellStyle name="40% - Accent6 10 3 2 5" xfId="8639" xr:uid="{00000000-0005-0000-0000-0000BE210000}"/>
    <cellStyle name="40% - Accent6 10 3 3" xfId="8640" xr:uid="{00000000-0005-0000-0000-0000BF210000}"/>
    <cellStyle name="40% - Accent6 10 3 3 2" xfId="8641" xr:uid="{00000000-0005-0000-0000-0000C0210000}"/>
    <cellStyle name="40% - Accent6 10 3 4" xfId="8642" xr:uid="{00000000-0005-0000-0000-0000C1210000}"/>
    <cellStyle name="40% - Accent6 10 3 4 2" xfId="8643" xr:uid="{00000000-0005-0000-0000-0000C2210000}"/>
    <cellStyle name="40% - Accent6 10 3 5" xfId="8644" xr:uid="{00000000-0005-0000-0000-0000C3210000}"/>
    <cellStyle name="40% - Accent6 10 3 6" xfId="8645" xr:uid="{00000000-0005-0000-0000-0000C4210000}"/>
    <cellStyle name="40% - Accent6 10 4" xfId="8646" xr:uid="{00000000-0005-0000-0000-0000C5210000}"/>
    <cellStyle name="40% - Accent6 10 4 2" xfId="8647" xr:uid="{00000000-0005-0000-0000-0000C6210000}"/>
    <cellStyle name="40% - Accent6 10 4 2 2" xfId="8648" xr:uid="{00000000-0005-0000-0000-0000C7210000}"/>
    <cellStyle name="40% - Accent6 10 4 3" xfId="8649" xr:uid="{00000000-0005-0000-0000-0000C8210000}"/>
    <cellStyle name="40% - Accent6 10 4 3 2" xfId="8650" xr:uid="{00000000-0005-0000-0000-0000C9210000}"/>
    <cellStyle name="40% - Accent6 10 4 4" xfId="8651" xr:uid="{00000000-0005-0000-0000-0000CA210000}"/>
    <cellStyle name="40% - Accent6 10 4 5" xfId="8652" xr:uid="{00000000-0005-0000-0000-0000CB210000}"/>
    <cellStyle name="40% - Accent6 10 5" xfId="8653" xr:uid="{00000000-0005-0000-0000-0000CC210000}"/>
    <cellStyle name="40% - Accent6 10 5 2" xfId="8654" xr:uid="{00000000-0005-0000-0000-0000CD210000}"/>
    <cellStyle name="40% - Accent6 10 6" xfId="8655" xr:uid="{00000000-0005-0000-0000-0000CE210000}"/>
    <cellStyle name="40% - Accent6 10 6 2" xfId="8656" xr:uid="{00000000-0005-0000-0000-0000CF210000}"/>
    <cellStyle name="40% - Accent6 10 7" xfId="8657" xr:uid="{00000000-0005-0000-0000-0000D0210000}"/>
    <cellStyle name="40% - Accent6 10 8" xfId="8658" xr:uid="{00000000-0005-0000-0000-0000D1210000}"/>
    <cellStyle name="40% - Accent6 11" xfId="8659" xr:uid="{00000000-0005-0000-0000-0000D2210000}"/>
    <cellStyle name="40% - Accent6 11 2" xfId="8660" xr:uid="{00000000-0005-0000-0000-0000D3210000}"/>
    <cellStyle name="40% - Accent6 11 2 2" xfId="8661" xr:uid="{00000000-0005-0000-0000-0000D4210000}"/>
    <cellStyle name="40% - Accent6 11 2 2 2" xfId="8662" xr:uid="{00000000-0005-0000-0000-0000D5210000}"/>
    <cellStyle name="40% - Accent6 11 2 2 2 2" xfId="8663" xr:uid="{00000000-0005-0000-0000-0000D6210000}"/>
    <cellStyle name="40% - Accent6 11 2 2 3" xfId="8664" xr:uid="{00000000-0005-0000-0000-0000D7210000}"/>
    <cellStyle name="40% - Accent6 11 2 2 3 2" xfId="8665" xr:uid="{00000000-0005-0000-0000-0000D8210000}"/>
    <cellStyle name="40% - Accent6 11 2 2 4" xfId="8666" xr:uid="{00000000-0005-0000-0000-0000D9210000}"/>
    <cellStyle name="40% - Accent6 11 2 2 5" xfId="8667" xr:uid="{00000000-0005-0000-0000-0000DA210000}"/>
    <cellStyle name="40% - Accent6 11 2 3" xfId="8668" xr:uid="{00000000-0005-0000-0000-0000DB210000}"/>
    <cellStyle name="40% - Accent6 11 2 3 2" xfId="8669" xr:uid="{00000000-0005-0000-0000-0000DC210000}"/>
    <cellStyle name="40% - Accent6 11 2 4" xfId="8670" xr:uid="{00000000-0005-0000-0000-0000DD210000}"/>
    <cellStyle name="40% - Accent6 11 2 4 2" xfId="8671" xr:uid="{00000000-0005-0000-0000-0000DE210000}"/>
    <cellStyle name="40% - Accent6 11 2 5" xfId="8672" xr:uid="{00000000-0005-0000-0000-0000DF210000}"/>
    <cellStyle name="40% - Accent6 11 2 6" xfId="8673" xr:uid="{00000000-0005-0000-0000-0000E0210000}"/>
    <cellStyle name="40% - Accent6 11 3" xfId="8674" xr:uid="{00000000-0005-0000-0000-0000E1210000}"/>
    <cellStyle name="40% - Accent6 11 3 2" xfId="8675" xr:uid="{00000000-0005-0000-0000-0000E2210000}"/>
    <cellStyle name="40% - Accent6 11 3 2 2" xfId="8676" xr:uid="{00000000-0005-0000-0000-0000E3210000}"/>
    <cellStyle name="40% - Accent6 11 3 3" xfId="8677" xr:uid="{00000000-0005-0000-0000-0000E4210000}"/>
    <cellStyle name="40% - Accent6 11 3 3 2" xfId="8678" xr:uid="{00000000-0005-0000-0000-0000E5210000}"/>
    <cellStyle name="40% - Accent6 11 3 4" xfId="8679" xr:uid="{00000000-0005-0000-0000-0000E6210000}"/>
    <cellStyle name="40% - Accent6 11 3 5" xfId="8680" xr:uid="{00000000-0005-0000-0000-0000E7210000}"/>
    <cellStyle name="40% - Accent6 11 4" xfId="8681" xr:uid="{00000000-0005-0000-0000-0000E8210000}"/>
    <cellStyle name="40% - Accent6 11 4 2" xfId="8682" xr:uid="{00000000-0005-0000-0000-0000E9210000}"/>
    <cellStyle name="40% - Accent6 11 5" xfId="8683" xr:uid="{00000000-0005-0000-0000-0000EA210000}"/>
    <cellStyle name="40% - Accent6 11 5 2" xfId="8684" xr:uid="{00000000-0005-0000-0000-0000EB210000}"/>
    <cellStyle name="40% - Accent6 11 6" xfId="8685" xr:uid="{00000000-0005-0000-0000-0000EC210000}"/>
    <cellStyle name="40% - Accent6 11 7" xfId="8686" xr:uid="{00000000-0005-0000-0000-0000ED210000}"/>
    <cellStyle name="40% - Accent6 12" xfId="8687" xr:uid="{00000000-0005-0000-0000-0000EE210000}"/>
    <cellStyle name="40% - Accent6 12 2" xfId="8688" xr:uid="{00000000-0005-0000-0000-0000EF210000}"/>
    <cellStyle name="40% - Accent6 12 2 2" xfId="8689" xr:uid="{00000000-0005-0000-0000-0000F0210000}"/>
    <cellStyle name="40% - Accent6 12 2 2 2" xfId="8690" xr:uid="{00000000-0005-0000-0000-0000F1210000}"/>
    <cellStyle name="40% - Accent6 12 2 3" xfId="8691" xr:uid="{00000000-0005-0000-0000-0000F2210000}"/>
    <cellStyle name="40% - Accent6 12 2 3 2" xfId="8692" xr:uid="{00000000-0005-0000-0000-0000F3210000}"/>
    <cellStyle name="40% - Accent6 12 2 4" xfId="8693" xr:uid="{00000000-0005-0000-0000-0000F4210000}"/>
    <cellStyle name="40% - Accent6 12 2 5" xfId="8694" xr:uid="{00000000-0005-0000-0000-0000F5210000}"/>
    <cellStyle name="40% - Accent6 12 3" xfId="8695" xr:uid="{00000000-0005-0000-0000-0000F6210000}"/>
    <cellStyle name="40% - Accent6 12 3 2" xfId="8696" xr:uid="{00000000-0005-0000-0000-0000F7210000}"/>
    <cellStyle name="40% - Accent6 12 4" xfId="8697" xr:uid="{00000000-0005-0000-0000-0000F8210000}"/>
    <cellStyle name="40% - Accent6 12 4 2" xfId="8698" xr:uid="{00000000-0005-0000-0000-0000F9210000}"/>
    <cellStyle name="40% - Accent6 12 5" xfId="8699" xr:uid="{00000000-0005-0000-0000-0000FA210000}"/>
    <cellStyle name="40% - Accent6 12 6" xfId="8700" xr:uid="{00000000-0005-0000-0000-0000FB210000}"/>
    <cellStyle name="40% - Accent6 13" xfId="8701" xr:uid="{00000000-0005-0000-0000-0000FC210000}"/>
    <cellStyle name="40% - Accent6 13 2" xfId="8702" xr:uid="{00000000-0005-0000-0000-0000FD210000}"/>
    <cellStyle name="40% - Accent6 13 2 2" xfId="8703" xr:uid="{00000000-0005-0000-0000-0000FE210000}"/>
    <cellStyle name="40% - Accent6 13 2 2 2" xfId="8704" xr:uid="{00000000-0005-0000-0000-0000FF210000}"/>
    <cellStyle name="40% - Accent6 13 2 3" xfId="8705" xr:uid="{00000000-0005-0000-0000-000000220000}"/>
    <cellStyle name="40% - Accent6 13 2 3 2" xfId="8706" xr:uid="{00000000-0005-0000-0000-000001220000}"/>
    <cellStyle name="40% - Accent6 13 2 4" xfId="8707" xr:uid="{00000000-0005-0000-0000-000002220000}"/>
    <cellStyle name="40% - Accent6 13 2 5" xfId="8708" xr:uid="{00000000-0005-0000-0000-000003220000}"/>
    <cellStyle name="40% - Accent6 13 3" xfId="8709" xr:uid="{00000000-0005-0000-0000-000004220000}"/>
    <cellStyle name="40% - Accent6 13 3 2" xfId="8710" xr:uid="{00000000-0005-0000-0000-000005220000}"/>
    <cellStyle name="40% - Accent6 13 4" xfId="8711" xr:uid="{00000000-0005-0000-0000-000006220000}"/>
    <cellStyle name="40% - Accent6 13 4 2" xfId="8712" xr:uid="{00000000-0005-0000-0000-000007220000}"/>
    <cellStyle name="40% - Accent6 13 5" xfId="8713" xr:uid="{00000000-0005-0000-0000-000008220000}"/>
    <cellStyle name="40% - Accent6 13 6" xfId="8714" xr:uid="{00000000-0005-0000-0000-000009220000}"/>
    <cellStyle name="40% - Accent6 14" xfId="8715" xr:uid="{00000000-0005-0000-0000-00000A220000}"/>
    <cellStyle name="40% - Accent6 14 2" xfId="8716" xr:uid="{00000000-0005-0000-0000-00000B220000}"/>
    <cellStyle name="40% - Accent6 14 2 2" xfId="8717" xr:uid="{00000000-0005-0000-0000-00000C220000}"/>
    <cellStyle name="40% - Accent6 14 2 2 2" xfId="8718" xr:uid="{00000000-0005-0000-0000-00000D220000}"/>
    <cellStyle name="40% - Accent6 14 2 3" xfId="8719" xr:uid="{00000000-0005-0000-0000-00000E220000}"/>
    <cellStyle name="40% - Accent6 14 2 3 2" xfId="8720" xr:uid="{00000000-0005-0000-0000-00000F220000}"/>
    <cellStyle name="40% - Accent6 14 2 4" xfId="8721" xr:uid="{00000000-0005-0000-0000-000010220000}"/>
    <cellStyle name="40% - Accent6 14 2 5" xfId="8722" xr:uid="{00000000-0005-0000-0000-000011220000}"/>
    <cellStyle name="40% - Accent6 14 3" xfId="8723" xr:uid="{00000000-0005-0000-0000-000012220000}"/>
    <cellStyle name="40% - Accent6 14 3 2" xfId="8724" xr:uid="{00000000-0005-0000-0000-000013220000}"/>
    <cellStyle name="40% - Accent6 14 4" xfId="8725" xr:uid="{00000000-0005-0000-0000-000014220000}"/>
    <cellStyle name="40% - Accent6 14 4 2" xfId="8726" xr:uid="{00000000-0005-0000-0000-000015220000}"/>
    <cellStyle name="40% - Accent6 14 5" xfId="8727" xr:uid="{00000000-0005-0000-0000-000016220000}"/>
    <cellStyle name="40% - Accent6 14 6" xfId="8728" xr:uid="{00000000-0005-0000-0000-000017220000}"/>
    <cellStyle name="40% - Accent6 15" xfId="8729" xr:uid="{00000000-0005-0000-0000-000018220000}"/>
    <cellStyle name="40% - Accent6 15 2" xfId="8730" xr:uid="{00000000-0005-0000-0000-000019220000}"/>
    <cellStyle name="40% - Accent6 15 2 2" xfId="8731" xr:uid="{00000000-0005-0000-0000-00001A220000}"/>
    <cellStyle name="40% - Accent6 15 2 2 2" xfId="8732" xr:uid="{00000000-0005-0000-0000-00001B220000}"/>
    <cellStyle name="40% - Accent6 15 2 3" xfId="8733" xr:uid="{00000000-0005-0000-0000-00001C220000}"/>
    <cellStyle name="40% - Accent6 15 2 3 2" xfId="8734" xr:uid="{00000000-0005-0000-0000-00001D220000}"/>
    <cellStyle name="40% - Accent6 15 2 4" xfId="8735" xr:uid="{00000000-0005-0000-0000-00001E220000}"/>
    <cellStyle name="40% - Accent6 15 2 5" xfId="8736" xr:uid="{00000000-0005-0000-0000-00001F220000}"/>
    <cellStyle name="40% - Accent6 15 3" xfId="8737" xr:uid="{00000000-0005-0000-0000-000020220000}"/>
    <cellStyle name="40% - Accent6 15 3 2" xfId="8738" xr:uid="{00000000-0005-0000-0000-000021220000}"/>
    <cellStyle name="40% - Accent6 15 4" xfId="8739" xr:uid="{00000000-0005-0000-0000-000022220000}"/>
    <cellStyle name="40% - Accent6 15 4 2" xfId="8740" xr:uid="{00000000-0005-0000-0000-000023220000}"/>
    <cellStyle name="40% - Accent6 15 5" xfId="8741" xr:uid="{00000000-0005-0000-0000-000024220000}"/>
    <cellStyle name="40% - Accent6 15 6" xfId="8742" xr:uid="{00000000-0005-0000-0000-000025220000}"/>
    <cellStyle name="40% - Accent6 16" xfId="8743" xr:uid="{00000000-0005-0000-0000-000026220000}"/>
    <cellStyle name="40% - Accent6 16 2" xfId="8744" xr:uid="{00000000-0005-0000-0000-000027220000}"/>
    <cellStyle name="40% - Accent6 16 2 2" xfId="8745" xr:uid="{00000000-0005-0000-0000-000028220000}"/>
    <cellStyle name="40% - Accent6 16 2 3" xfId="8746" xr:uid="{00000000-0005-0000-0000-000029220000}"/>
    <cellStyle name="40% - Accent6 16 3" xfId="8747" xr:uid="{00000000-0005-0000-0000-00002A220000}"/>
    <cellStyle name="40% - Accent6 16 4" xfId="8748" xr:uid="{00000000-0005-0000-0000-00002B220000}"/>
    <cellStyle name="40% - Accent6 17" xfId="8749" xr:uid="{00000000-0005-0000-0000-00002C220000}"/>
    <cellStyle name="40% - Accent6 17 2" xfId="8750" xr:uid="{00000000-0005-0000-0000-00002D220000}"/>
    <cellStyle name="40% - Accent6 17 2 2" xfId="8751" xr:uid="{00000000-0005-0000-0000-00002E220000}"/>
    <cellStyle name="40% - Accent6 17 2 3" xfId="8752" xr:uid="{00000000-0005-0000-0000-00002F220000}"/>
    <cellStyle name="40% - Accent6 17 3" xfId="8753" xr:uid="{00000000-0005-0000-0000-000030220000}"/>
    <cellStyle name="40% - Accent6 17 4" xfId="8754" xr:uid="{00000000-0005-0000-0000-000031220000}"/>
    <cellStyle name="40% - Accent6 18" xfId="8755" xr:uid="{00000000-0005-0000-0000-000032220000}"/>
    <cellStyle name="40% - Accent6 18 2" xfId="8756" xr:uid="{00000000-0005-0000-0000-000033220000}"/>
    <cellStyle name="40% - Accent6 18 2 2" xfId="8757" xr:uid="{00000000-0005-0000-0000-000034220000}"/>
    <cellStyle name="40% - Accent6 18 2 3" xfId="8758" xr:uid="{00000000-0005-0000-0000-000035220000}"/>
    <cellStyle name="40% - Accent6 18 3" xfId="8759" xr:uid="{00000000-0005-0000-0000-000036220000}"/>
    <cellStyle name="40% - Accent6 18 4" xfId="8760" xr:uid="{00000000-0005-0000-0000-000037220000}"/>
    <cellStyle name="40% - Accent6 19" xfId="8761" xr:uid="{00000000-0005-0000-0000-000038220000}"/>
    <cellStyle name="40% - Accent6 19 2" xfId="8762" xr:uid="{00000000-0005-0000-0000-000039220000}"/>
    <cellStyle name="40% - Accent6 19 2 2" xfId="8763" xr:uid="{00000000-0005-0000-0000-00003A220000}"/>
    <cellStyle name="40% - Accent6 19 2 3" xfId="8764" xr:uid="{00000000-0005-0000-0000-00003B220000}"/>
    <cellStyle name="40% - Accent6 19 3" xfId="8765" xr:uid="{00000000-0005-0000-0000-00003C220000}"/>
    <cellStyle name="40% - Accent6 19 4" xfId="8766" xr:uid="{00000000-0005-0000-0000-00003D220000}"/>
    <cellStyle name="40% - Accent6 2" xfId="8767" xr:uid="{00000000-0005-0000-0000-00003E220000}"/>
    <cellStyle name="40% - Accent6 2 2" xfId="8768" xr:uid="{00000000-0005-0000-0000-00003F220000}"/>
    <cellStyle name="40% - Accent6 2 2 2" xfId="8769" xr:uid="{00000000-0005-0000-0000-000040220000}"/>
    <cellStyle name="40% - Accent6 2 2 3" xfId="8770" xr:uid="{00000000-0005-0000-0000-000041220000}"/>
    <cellStyle name="40% - Accent6 2 2 4" xfId="8771" xr:uid="{00000000-0005-0000-0000-000042220000}"/>
    <cellStyle name="40% - Accent6 2 2 5" xfId="8772" xr:uid="{00000000-0005-0000-0000-000043220000}"/>
    <cellStyle name="40% - Accent6 2 3" xfId="8773" xr:uid="{00000000-0005-0000-0000-000044220000}"/>
    <cellStyle name="40% - Accent6 2 3 2" xfId="8774" xr:uid="{00000000-0005-0000-0000-000045220000}"/>
    <cellStyle name="40% - Accent6 2 4" xfId="8775" xr:uid="{00000000-0005-0000-0000-000046220000}"/>
    <cellStyle name="40% - Accent6 2 4 2" xfId="8776" xr:uid="{00000000-0005-0000-0000-000047220000}"/>
    <cellStyle name="40% - Accent6 2 4 2 2" xfId="8777" xr:uid="{00000000-0005-0000-0000-000048220000}"/>
    <cellStyle name="40% - Accent6 2 4 3" xfId="8778" xr:uid="{00000000-0005-0000-0000-000049220000}"/>
    <cellStyle name="40% - Accent6 2 4 4" xfId="8779" xr:uid="{00000000-0005-0000-0000-00004A220000}"/>
    <cellStyle name="40% - Accent6 2 5" xfId="8780" xr:uid="{00000000-0005-0000-0000-00004B220000}"/>
    <cellStyle name="40% - Accent6 2 5 2" xfId="8781" xr:uid="{00000000-0005-0000-0000-00004C220000}"/>
    <cellStyle name="40% - Accent6 2 5 3" xfId="8782" xr:uid="{00000000-0005-0000-0000-00004D220000}"/>
    <cellStyle name="40% - Accent6 2 6" xfId="8783" xr:uid="{00000000-0005-0000-0000-00004E220000}"/>
    <cellStyle name="40% - Accent6 2 7" xfId="8784" xr:uid="{00000000-0005-0000-0000-00004F220000}"/>
    <cellStyle name="40% - Accent6 20" xfId="8785" xr:uid="{00000000-0005-0000-0000-000050220000}"/>
    <cellStyle name="40% - Accent6 20 2" xfId="8786" xr:uid="{00000000-0005-0000-0000-000051220000}"/>
    <cellStyle name="40% - Accent6 20 3" xfId="8787" xr:uid="{00000000-0005-0000-0000-000052220000}"/>
    <cellStyle name="40% - Accent6 21" xfId="8788" xr:uid="{00000000-0005-0000-0000-000053220000}"/>
    <cellStyle name="40% - Accent6 21 2" xfId="8789" xr:uid="{00000000-0005-0000-0000-000054220000}"/>
    <cellStyle name="40% - Accent6 22" xfId="8790" xr:uid="{00000000-0005-0000-0000-000055220000}"/>
    <cellStyle name="40% - Accent6 23" xfId="8791" xr:uid="{00000000-0005-0000-0000-000056220000}"/>
    <cellStyle name="40% - Accent6 24" xfId="8792" xr:uid="{00000000-0005-0000-0000-000057220000}"/>
    <cellStyle name="40% - Accent6 3" xfId="8793" xr:uid="{00000000-0005-0000-0000-000058220000}"/>
    <cellStyle name="40% - Accent6 3 10" xfId="8794" xr:uid="{00000000-0005-0000-0000-000059220000}"/>
    <cellStyle name="40% - Accent6 3 11" xfId="8795" xr:uid="{00000000-0005-0000-0000-00005A220000}"/>
    <cellStyle name="40% - Accent6 3 2" xfId="8796" xr:uid="{00000000-0005-0000-0000-00005B220000}"/>
    <cellStyle name="40% - Accent6 3 2 2" xfId="8797" xr:uid="{00000000-0005-0000-0000-00005C220000}"/>
    <cellStyle name="40% - Accent6 3 2 2 2" xfId="8798" xr:uid="{00000000-0005-0000-0000-00005D220000}"/>
    <cellStyle name="40% - Accent6 3 2 2 2 2" xfId="8799" xr:uid="{00000000-0005-0000-0000-00005E220000}"/>
    <cellStyle name="40% - Accent6 3 2 2 2 2 2" xfId="8800" xr:uid="{00000000-0005-0000-0000-00005F220000}"/>
    <cellStyle name="40% - Accent6 3 2 2 2 2 2 2" xfId="8801" xr:uid="{00000000-0005-0000-0000-000060220000}"/>
    <cellStyle name="40% - Accent6 3 2 2 2 2 3" xfId="8802" xr:uid="{00000000-0005-0000-0000-000061220000}"/>
    <cellStyle name="40% - Accent6 3 2 2 2 2 3 2" xfId="8803" xr:uid="{00000000-0005-0000-0000-000062220000}"/>
    <cellStyle name="40% - Accent6 3 2 2 2 2 4" xfId="8804" xr:uid="{00000000-0005-0000-0000-000063220000}"/>
    <cellStyle name="40% - Accent6 3 2 2 2 2 5" xfId="8805" xr:uid="{00000000-0005-0000-0000-000064220000}"/>
    <cellStyle name="40% - Accent6 3 2 2 2 3" xfId="8806" xr:uid="{00000000-0005-0000-0000-000065220000}"/>
    <cellStyle name="40% - Accent6 3 2 2 2 3 2" xfId="8807" xr:uid="{00000000-0005-0000-0000-000066220000}"/>
    <cellStyle name="40% - Accent6 3 2 2 2 4" xfId="8808" xr:uid="{00000000-0005-0000-0000-000067220000}"/>
    <cellStyle name="40% - Accent6 3 2 2 2 4 2" xfId="8809" xr:uid="{00000000-0005-0000-0000-000068220000}"/>
    <cellStyle name="40% - Accent6 3 2 2 2 5" xfId="8810" xr:uid="{00000000-0005-0000-0000-000069220000}"/>
    <cellStyle name="40% - Accent6 3 2 2 2 6" xfId="8811" xr:uid="{00000000-0005-0000-0000-00006A220000}"/>
    <cellStyle name="40% - Accent6 3 2 2 3" xfId="8812" xr:uid="{00000000-0005-0000-0000-00006B220000}"/>
    <cellStyle name="40% - Accent6 3 2 2 3 2" xfId="8813" xr:uid="{00000000-0005-0000-0000-00006C220000}"/>
    <cellStyle name="40% - Accent6 3 2 2 3 2 2" xfId="8814" xr:uid="{00000000-0005-0000-0000-00006D220000}"/>
    <cellStyle name="40% - Accent6 3 2 2 3 3" xfId="8815" xr:uid="{00000000-0005-0000-0000-00006E220000}"/>
    <cellStyle name="40% - Accent6 3 2 2 3 3 2" xfId="8816" xr:uid="{00000000-0005-0000-0000-00006F220000}"/>
    <cellStyle name="40% - Accent6 3 2 2 3 4" xfId="8817" xr:uid="{00000000-0005-0000-0000-000070220000}"/>
    <cellStyle name="40% - Accent6 3 2 2 3 5" xfId="8818" xr:uid="{00000000-0005-0000-0000-000071220000}"/>
    <cellStyle name="40% - Accent6 3 2 2 4" xfId="8819" xr:uid="{00000000-0005-0000-0000-000072220000}"/>
    <cellStyle name="40% - Accent6 3 2 2 4 2" xfId="8820" xr:uid="{00000000-0005-0000-0000-000073220000}"/>
    <cellStyle name="40% - Accent6 3 2 2 5" xfId="8821" xr:uid="{00000000-0005-0000-0000-000074220000}"/>
    <cellStyle name="40% - Accent6 3 2 2 5 2" xfId="8822" xr:uid="{00000000-0005-0000-0000-000075220000}"/>
    <cellStyle name="40% - Accent6 3 2 2 6" xfId="8823" xr:uid="{00000000-0005-0000-0000-000076220000}"/>
    <cellStyle name="40% - Accent6 3 2 2 7" xfId="8824" xr:uid="{00000000-0005-0000-0000-000077220000}"/>
    <cellStyle name="40% - Accent6 3 2 2 8" xfId="8825" xr:uid="{00000000-0005-0000-0000-000078220000}"/>
    <cellStyle name="40% - Accent6 3 2 3" xfId="8826" xr:uid="{00000000-0005-0000-0000-000079220000}"/>
    <cellStyle name="40% - Accent6 3 2 3 2" xfId="8827" xr:uid="{00000000-0005-0000-0000-00007A220000}"/>
    <cellStyle name="40% - Accent6 3 2 3 2 2" xfId="8828" xr:uid="{00000000-0005-0000-0000-00007B220000}"/>
    <cellStyle name="40% - Accent6 3 2 3 2 2 2" xfId="8829" xr:uid="{00000000-0005-0000-0000-00007C220000}"/>
    <cellStyle name="40% - Accent6 3 2 3 2 3" xfId="8830" xr:uid="{00000000-0005-0000-0000-00007D220000}"/>
    <cellStyle name="40% - Accent6 3 2 3 2 3 2" xfId="8831" xr:uid="{00000000-0005-0000-0000-00007E220000}"/>
    <cellStyle name="40% - Accent6 3 2 3 2 4" xfId="8832" xr:uid="{00000000-0005-0000-0000-00007F220000}"/>
    <cellStyle name="40% - Accent6 3 2 3 2 5" xfId="8833" xr:uid="{00000000-0005-0000-0000-000080220000}"/>
    <cellStyle name="40% - Accent6 3 2 3 3" xfId="8834" xr:uid="{00000000-0005-0000-0000-000081220000}"/>
    <cellStyle name="40% - Accent6 3 2 3 3 2" xfId="8835" xr:uid="{00000000-0005-0000-0000-000082220000}"/>
    <cellStyle name="40% - Accent6 3 2 3 4" xfId="8836" xr:uid="{00000000-0005-0000-0000-000083220000}"/>
    <cellStyle name="40% - Accent6 3 2 3 4 2" xfId="8837" xr:uid="{00000000-0005-0000-0000-000084220000}"/>
    <cellStyle name="40% - Accent6 3 2 3 5" xfId="8838" xr:uid="{00000000-0005-0000-0000-000085220000}"/>
    <cellStyle name="40% - Accent6 3 2 3 6" xfId="8839" xr:uid="{00000000-0005-0000-0000-000086220000}"/>
    <cellStyle name="40% - Accent6 3 2 3 7" xfId="8840" xr:uid="{00000000-0005-0000-0000-000087220000}"/>
    <cellStyle name="40% - Accent6 3 2 4" xfId="8841" xr:uid="{00000000-0005-0000-0000-000088220000}"/>
    <cellStyle name="40% - Accent6 3 2 4 2" xfId="8842" xr:uid="{00000000-0005-0000-0000-000089220000}"/>
    <cellStyle name="40% - Accent6 3 2 4 2 2" xfId="8843" xr:uid="{00000000-0005-0000-0000-00008A220000}"/>
    <cellStyle name="40% - Accent6 3 2 4 3" xfId="8844" xr:uid="{00000000-0005-0000-0000-00008B220000}"/>
    <cellStyle name="40% - Accent6 3 2 4 3 2" xfId="8845" xr:uid="{00000000-0005-0000-0000-00008C220000}"/>
    <cellStyle name="40% - Accent6 3 2 4 4" xfId="8846" xr:uid="{00000000-0005-0000-0000-00008D220000}"/>
    <cellStyle name="40% - Accent6 3 2 4 5" xfId="8847" xr:uid="{00000000-0005-0000-0000-00008E220000}"/>
    <cellStyle name="40% - Accent6 3 2 4 6" xfId="8848" xr:uid="{00000000-0005-0000-0000-00008F220000}"/>
    <cellStyle name="40% - Accent6 3 2 5" xfId="8849" xr:uid="{00000000-0005-0000-0000-000090220000}"/>
    <cellStyle name="40% - Accent6 3 2 5 2" xfId="8850" xr:uid="{00000000-0005-0000-0000-000091220000}"/>
    <cellStyle name="40% - Accent6 3 2 6" xfId="8851" xr:uid="{00000000-0005-0000-0000-000092220000}"/>
    <cellStyle name="40% - Accent6 3 2 6 2" xfId="8852" xr:uid="{00000000-0005-0000-0000-000093220000}"/>
    <cellStyle name="40% - Accent6 3 2 7" xfId="8853" xr:uid="{00000000-0005-0000-0000-000094220000}"/>
    <cellStyle name="40% - Accent6 3 2 8" xfId="8854" xr:uid="{00000000-0005-0000-0000-000095220000}"/>
    <cellStyle name="40% - Accent6 3 2 9" xfId="8855" xr:uid="{00000000-0005-0000-0000-000096220000}"/>
    <cellStyle name="40% - Accent6 3 3" xfId="8856" xr:uid="{00000000-0005-0000-0000-000097220000}"/>
    <cellStyle name="40% - Accent6 3 3 2" xfId="8857" xr:uid="{00000000-0005-0000-0000-000098220000}"/>
    <cellStyle name="40% - Accent6 3 3 2 2" xfId="8858" xr:uid="{00000000-0005-0000-0000-000099220000}"/>
    <cellStyle name="40% - Accent6 3 3 2 2 2" xfId="8859" xr:uid="{00000000-0005-0000-0000-00009A220000}"/>
    <cellStyle name="40% - Accent6 3 3 2 2 2 2" xfId="8860" xr:uid="{00000000-0005-0000-0000-00009B220000}"/>
    <cellStyle name="40% - Accent6 3 3 2 2 3" xfId="8861" xr:uid="{00000000-0005-0000-0000-00009C220000}"/>
    <cellStyle name="40% - Accent6 3 3 2 2 3 2" xfId="8862" xr:uid="{00000000-0005-0000-0000-00009D220000}"/>
    <cellStyle name="40% - Accent6 3 3 2 2 4" xfId="8863" xr:uid="{00000000-0005-0000-0000-00009E220000}"/>
    <cellStyle name="40% - Accent6 3 3 2 2 5" xfId="8864" xr:uid="{00000000-0005-0000-0000-00009F220000}"/>
    <cellStyle name="40% - Accent6 3 3 2 3" xfId="8865" xr:uid="{00000000-0005-0000-0000-0000A0220000}"/>
    <cellStyle name="40% - Accent6 3 3 2 3 2" xfId="8866" xr:uid="{00000000-0005-0000-0000-0000A1220000}"/>
    <cellStyle name="40% - Accent6 3 3 2 4" xfId="8867" xr:uid="{00000000-0005-0000-0000-0000A2220000}"/>
    <cellStyle name="40% - Accent6 3 3 2 4 2" xfId="8868" xr:uid="{00000000-0005-0000-0000-0000A3220000}"/>
    <cellStyle name="40% - Accent6 3 3 2 5" xfId="8869" xr:uid="{00000000-0005-0000-0000-0000A4220000}"/>
    <cellStyle name="40% - Accent6 3 3 2 6" xfId="8870" xr:uid="{00000000-0005-0000-0000-0000A5220000}"/>
    <cellStyle name="40% - Accent6 3 3 3" xfId="8871" xr:uid="{00000000-0005-0000-0000-0000A6220000}"/>
    <cellStyle name="40% - Accent6 3 3 3 2" xfId="8872" xr:uid="{00000000-0005-0000-0000-0000A7220000}"/>
    <cellStyle name="40% - Accent6 3 3 3 2 2" xfId="8873" xr:uid="{00000000-0005-0000-0000-0000A8220000}"/>
    <cellStyle name="40% - Accent6 3 3 3 3" xfId="8874" xr:uid="{00000000-0005-0000-0000-0000A9220000}"/>
    <cellStyle name="40% - Accent6 3 3 3 3 2" xfId="8875" xr:uid="{00000000-0005-0000-0000-0000AA220000}"/>
    <cellStyle name="40% - Accent6 3 3 3 4" xfId="8876" xr:uid="{00000000-0005-0000-0000-0000AB220000}"/>
    <cellStyle name="40% - Accent6 3 3 3 5" xfId="8877" xr:uid="{00000000-0005-0000-0000-0000AC220000}"/>
    <cellStyle name="40% - Accent6 3 3 4" xfId="8878" xr:uid="{00000000-0005-0000-0000-0000AD220000}"/>
    <cellStyle name="40% - Accent6 3 3 4 2" xfId="8879" xr:uid="{00000000-0005-0000-0000-0000AE220000}"/>
    <cellStyle name="40% - Accent6 3 3 5" xfId="8880" xr:uid="{00000000-0005-0000-0000-0000AF220000}"/>
    <cellStyle name="40% - Accent6 3 3 5 2" xfId="8881" xr:uid="{00000000-0005-0000-0000-0000B0220000}"/>
    <cellStyle name="40% - Accent6 3 3 6" xfId="8882" xr:uid="{00000000-0005-0000-0000-0000B1220000}"/>
    <cellStyle name="40% - Accent6 3 3 7" xfId="8883" xr:uid="{00000000-0005-0000-0000-0000B2220000}"/>
    <cellStyle name="40% - Accent6 3 3 8" xfId="8884" xr:uid="{00000000-0005-0000-0000-0000B3220000}"/>
    <cellStyle name="40% - Accent6 3 4" xfId="8885" xr:uid="{00000000-0005-0000-0000-0000B4220000}"/>
    <cellStyle name="40% - Accent6 3 4 2" xfId="8886" xr:uid="{00000000-0005-0000-0000-0000B5220000}"/>
    <cellStyle name="40% - Accent6 3 4 2 2" xfId="8887" xr:uid="{00000000-0005-0000-0000-0000B6220000}"/>
    <cellStyle name="40% - Accent6 3 4 2 2 2" xfId="8888" xr:uid="{00000000-0005-0000-0000-0000B7220000}"/>
    <cellStyle name="40% - Accent6 3 4 2 3" xfId="8889" xr:uid="{00000000-0005-0000-0000-0000B8220000}"/>
    <cellStyle name="40% - Accent6 3 4 2 3 2" xfId="8890" xr:uid="{00000000-0005-0000-0000-0000B9220000}"/>
    <cellStyle name="40% - Accent6 3 4 2 4" xfId="8891" xr:uid="{00000000-0005-0000-0000-0000BA220000}"/>
    <cellStyle name="40% - Accent6 3 4 2 5" xfId="8892" xr:uid="{00000000-0005-0000-0000-0000BB220000}"/>
    <cellStyle name="40% - Accent6 3 4 3" xfId="8893" xr:uid="{00000000-0005-0000-0000-0000BC220000}"/>
    <cellStyle name="40% - Accent6 3 4 3 2" xfId="8894" xr:uid="{00000000-0005-0000-0000-0000BD220000}"/>
    <cellStyle name="40% - Accent6 3 4 4" xfId="8895" xr:uid="{00000000-0005-0000-0000-0000BE220000}"/>
    <cellStyle name="40% - Accent6 3 4 4 2" xfId="8896" xr:uid="{00000000-0005-0000-0000-0000BF220000}"/>
    <cellStyle name="40% - Accent6 3 4 5" xfId="8897" xr:uid="{00000000-0005-0000-0000-0000C0220000}"/>
    <cellStyle name="40% - Accent6 3 4 6" xfId="8898" xr:uid="{00000000-0005-0000-0000-0000C1220000}"/>
    <cellStyle name="40% - Accent6 3 4 7" xfId="8899" xr:uid="{00000000-0005-0000-0000-0000C2220000}"/>
    <cellStyle name="40% - Accent6 3 5" xfId="8900" xr:uid="{00000000-0005-0000-0000-0000C3220000}"/>
    <cellStyle name="40% - Accent6 3 5 2" xfId="8901" xr:uid="{00000000-0005-0000-0000-0000C4220000}"/>
    <cellStyle name="40% - Accent6 3 5 2 2" xfId="8902" xr:uid="{00000000-0005-0000-0000-0000C5220000}"/>
    <cellStyle name="40% - Accent6 3 5 2 2 2" xfId="8903" xr:uid="{00000000-0005-0000-0000-0000C6220000}"/>
    <cellStyle name="40% - Accent6 3 5 2 3" xfId="8904" xr:uid="{00000000-0005-0000-0000-0000C7220000}"/>
    <cellStyle name="40% - Accent6 3 5 3" xfId="8905" xr:uid="{00000000-0005-0000-0000-0000C8220000}"/>
    <cellStyle name="40% - Accent6 3 5 3 2" xfId="8906" xr:uid="{00000000-0005-0000-0000-0000C9220000}"/>
    <cellStyle name="40% - Accent6 3 5 4" xfId="8907" xr:uid="{00000000-0005-0000-0000-0000CA220000}"/>
    <cellStyle name="40% - Accent6 3 5 4 2" xfId="8908" xr:uid="{00000000-0005-0000-0000-0000CB220000}"/>
    <cellStyle name="40% - Accent6 3 5 5" xfId="8909" xr:uid="{00000000-0005-0000-0000-0000CC220000}"/>
    <cellStyle name="40% - Accent6 3 5 6" xfId="8910" xr:uid="{00000000-0005-0000-0000-0000CD220000}"/>
    <cellStyle name="40% - Accent6 3 5 7" xfId="8911" xr:uid="{00000000-0005-0000-0000-0000CE220000}"/>
    <cellStyle name="40% - Accent6 3 6" xfId="8912" xr:uid="{00000000-0005-0000-0000-0000CF220000}"/>
    <cellStyle name="40% - Accent6 3 6 2" xfId="8913" xr:uid="{00000000-0005-0000-0000-0000D0220000}"/>
    <cellStyle name="40% - Accent6 3 6 2 2" xfId="8914" xr:uid="{00000000-0005-0000-0000-0000D1220000}"/>
    <cellStyle name="40% - Accent6 3 6 3" xfId="8915" xr:uid="{00000000-0005-0000-0000-0000D2220000}"/>
    <cellStyle name="40% - Accent6 3 7" xfId="8916" xr:uid="{00000000-0005-0000-0000-0000D3220000}"/>
    <cellStyle name="40% - Accent6 3 7 2" xfId="8917" xr:uid="{00000000-0005-0000-0000-0000D4220000}"/>
    <cellStyle name="40% - Accent6 3 8" xfId="8918" xr:uid="{00000000-0005-0000-0000-0000D5220000}"/>
    <cellStyle name="40% - Accent6 3 8 2" xfId="8919" xr:uid="{00000000-0005-0000-0000-0000D6220000}"/>
    <cellStyle name="40% - Accent6 3 9" xfId="8920" xr:uid="{00000000-0005-0000-0000-0000D7220000}"/>
    <cellStyle name="40% - Accent6 4" xfId="8921" xr:uid="{00000000-0005-0000-0000-0000D8220000}"/>
    <cellStyle name="40% - Accent6 4 10" xfId="8922" xr:uid="{00000000-0005-0000-0000-0000D9220000}"/>
    <cellStyle name="40% - Accent6 4 11" xfId="8923" xr:uid="{00000000-0005-0000-0000-0000DA220000}"/>
    <cellStyle name="40% - Accent6 4 2" xfId="8924" xr:uid="{00000000-0005-0000-0000-0000DB220000}"/>
    <cellStyle name="40% - Accent6 4 2 2" xfId="8925" xr:uid="{00000000-0005-0000-0000-0000DC220000}"/>
    <cellStyle name="40% - Accent6 4 2 2 2" xfId="8926" xr:uid="{00000000-0005-0000-0000-0000DD220000}"/>
    <cellStyle name="40% - Accent6 4 2 2 2 2" xfId="8927" xr:uid="{00000000-0005-0000-0000-0000DE220000}"/>
    <cellStyle name="40% - Accent6 4 2 2 2 2 2" xfId="8928" xr:uid="{00000000-0005-0000-0000-0000DF220000}"/>
    <cellStyle name="40% - Accent6 4 2 2 2 2 2 2" xfId="8929" xr:uid="{00000000-0005-0000-0000-0000E0220000}"/>
    <cellStyle name="40% - Accent6 4 2 2 2 2 3" xfId="8930" xr:uid="{00000000-0005-0000-0000-0000E1220000}"/>
    <cellStyle name="40% - Accent6 4 2 2 2 2 3 2" xfId="8931" xr:uid="{00000000-0005-0000-0000-0000E2220000}"/>
    <cellStyle name="40% - Accent6 4 2 2 2 2 4" xfId="8932" xr:uid="{00000000-0005-0000-0000-0000E3220000}"/>
    <cellStyle name="40% - Accent6 4 2 2 2 2 5" xfId="8933" xr:uid="{00000000-0005-0000-0000-0000E4220000}"/>
    <cellStyle name="40% - Accent6 4 2 2 2 3" xfId="8934" xr:uid="{00000000-0005-0000-0000-0000E5220000}"/>
    <cellStyle name="40% - Accent6 4 2 2 2 3 2" xfId="8935" xr:uid="{00000000-0005-0000-0000-0000E6220000}"/>
    <cellStyle name="40% - Accent6 4 2 2 2 4" xfId="8936" xr:uid="{00000000-0005-0000-0000-0000E7220000}"/>
    <cellStyle name="40% - Accent6 4 2 2 2 4 2" xfId="8937" xr:uid="{00000000-0005-0000-0000-0000E8220000}"/>
    <cellStyle name="40% - Accent6 4 2 2 2 5" xfId="8938" xr:uid="{00000000-0005-0000-0000-0000E9220000}"/>
    <cellStyle name="40% - Accent6 4 2 2 2 6" xfId="8939" xr:uid="{00000000-0005-0000-0000-0000EA220000}"/>
    <cellStyle name="40% - Accent6 4 2 2 3" xfId="8940" xr:uid="{00000000-0005-0000-0000-0000EB220000}"/>
    <cellStyle name="40% - Accent6 4 2 2 3 2" xfId="8941" xr:uid="{00000000-0005-0000-0000-0000EC220000}"/>
    <cellStyle name="40% - Accent6 4 2 2 3 2 2" xfId="8942" xr:uid="{00000000-0005-0000-0000-0000ED220000}"/>
    <cellStyle name="40% - Accent6 4 2 2 3 3" xfId="8943" xr:uid="{00000000-0005-0000-0000-0000EE220000}"/>
    <cellStyle name="40% - Accent6 4 2 2 3 3 2" xfId="8944" xr:uid="{00000000-0005-0000-0000-0000EF220000}"/>
    <cellStyle name="40% - Accent6 4 2 2 3 4" xfId="8945" xr:uid="{00000000-0005-0000-0000-0000F0220000}"/>
    <cellStyle name="40% - Accent6 4 2 2 3 5" xfId="8946" xr:uid="{00000000-0005-0000-0000-0000F1220000}"/>
    <cellStyle name="40% - Accent6 4 2 2 4" xfId="8947" xr:uid="{00000000-0005-0000-0000-0000F2220000}"/>
    <cellStyle name="40% - Accent6 4 2 2 4 2" xfId="8948" xr:uid="{00000000-0005-0000-0000-0000F3220000}"/>
    <cellStyle name="40% - Accent6 4 2 2 5" xfId="8949" xr:uid="{00000000-0005-0000-0000-0000F4220000}"/>
    <cellStyle name="40% - Accent6 4 2 2 5 2" xfId="8950" xr:uid="{00000000-0005-0000-0000-0000F5220000}"/>
    <cellStyle name="40% - Accent6 4 2 2 6" xfId="8951" xr:uid="{00000000-0005-0000-0000-0000F6220000}"/>
    <cellStyle name="40% - Accent6 4 2 2 7" xfId="8952" xr:uid="{00000000-0005-0000-0000-0000F7220000}"/>
    <cellStyle name="40% - Accent6 4 2 3" xfId="8953" xr:uid="{00000000-0005-0000-0000-0000F8220000}"/>
    <cellStyle name="40% - Accent6 4 2 3 2" xfId="8954" xr:uid="{00000000-0005-0000-0000-0000F9220000}"/>
    <cellStyle name="40% - Accent6 4 2 3 2 2" xfId="8955" xr:uid="{00000000-0005-0000-0000-0000FA220000}"/>
    <cellStyle name="40% - Accent6 4 2 3 2 2 2" xfId="8956" xr:uid="{00000000-0005-0000-0000-0000FB220000}"/>
    <cellStyle name="40% - Accent6 4 2 3 2 3" xfId="8957" xr:uid="{00000000-0005-0000-0000-0000FC220000}"/>
    <cellStyle name="40% - Accent6 4 2 3 2 3 2" xfId="8958" xr:uid="{00000000-0005-0000-0000-0000FD220000}"/>
    <cellStyle name="40% - Accent6 4 2 3 2 4" xfId="8959" xr:uid="{00000000-0005-0000-0000-0000FE220000}"/>
    <cellStyle name="40% - Accent6 4 2 3 2 5" xfId="8960" xr:uid="{00000000-0005-0000-0000-0000FF220000}"/>
    <cellStyle name="40% - Accent6 4 2 3 3" xfId="8961" xr:uid="{00000000-0005-0000-0000-000000230000}"/>
    <cellStyle name="40% - Accent6 4 2 3 3 2" xfId="8962" xr:uid="{00000000-0005-0000-0000-000001230000}"/>
    <cellStyle name="40% - Accent6 4 2 3 4" xfId="8963" xr:uid="{00000000-0005-0000-0000-000002230000}"/>
    <cellStyle name="40% - Accent6 4 2 3 4 2" xfId="8964" xr:uid="{00000000-0005-0000-0000-000003230000}"/>
    <cellStyle name="40% - Accent6 4 2 3 5" xfId="8965" xr:uid="{00000000-0005-0000-0000-000004230000}"/>
    <cellStyle name="40% - Accent6 4 2 3 6" xfId="8966" xr:uid="{00000000-0005-0000-0000-000005230000}"/>
    <cellStyle name="40% - Accent6 4 2 4" xfId="8967" xr:uid="{00000000-0005-0000-0000-000006230000}"/>
    <cellStyle name="40% - Accent6 4 2 4 2" xfId="8968" xr:uid="{00000000-0005-0000-0000-000007230000}"/>
    <cellStyle name="40% - Accent6 4 2 4 2 2" xfId="8969" xr:uid="{00000000-0005-0000-0000-000008230000}"/>
    <cellStyle name="40% - Accent6 4 2 4 3" xfId="8970" xr:uid="{00000000-0005-0000-0000-000009230000}"/>
    <cellStyle name="40% - Accent6 4 2 4 3 2" xfId="8971" xr:uid="{00000000-0005-0000-0000-00000A230000}"/>
    <cellStyle name="40% - Accent6 4 2 4 4" xfId="8972" xr:uid="{00000000-0005-0000-0000-00000B230000}"/>
    <cellStyle name="40% - Accent6 4 2 4 5" xfId="8973" xr:uid="{00000000-0005-0000-0000-00000C230000}"/>
    <cellStyle name="40% - Accent6 4 2 5" xfId="8974" xr:uid="{00000000-0005-0000-0000-00000D230000}"/>
    <cellStyle name="40% - Accent6 4 2 5 2" xfId="8975" xr:uid="{00000000-0005-0000-0000-00000E230000}"/>
    <cellStyle name="40% - Accent6 4 2 6" xfId="8976" xr:uid="{00000000-0005-0000-0000-00000F230000}"/>
    <cellStyle name="40% - Accent6 4 2 6 2" xfId="8977" xr:uid="{00000000-0005-0000-0000-000010230000}"/>
    <cellStyle name="40% - Accent6 4 2 7" xfId="8978" xr:uid="{00000000-0005-0000-0000-000011230000}"/>
    <cellStyle name="40% - Accent6 4 2 8" xfId="8979" xr:uid="{00000000-0005-0000-0000-000012230000}"/>
    <cellStyle name="40% - Accent6 4 2 9" xfId="8980" xr:uid="{00000000-0005-0000-0000-000013230000}"/>
    <cellStyle name="40% - Accent6 4 3" xfId="8981" xr:uid="{00000000-0005-0000-0000-000014230000}"/>
    <cellStyle name="40% - Accent6 4 3 2" xfId="8982" xr:uid="{00000000-0005-0000-0000-000015230000}"/>
    <cellStyle name="40% - Accent6 4 3 2 2" xfId="8983" xr:uid="{00000000-0005-0000-0000-000016230000}"/>
    <cellStyle name="40% - Accent6 4 3 2 2 2" xfId="8984" xr:uid="{00000000-0005-0000-0000-000017230000}"/>
    <cellStyle name="40% - Accent6 4 3 2 2 2 2" xfId="8985" xr:uid="{00000000-0005-0000-0000-000018230000}"/>
    <cellStyle name="40% - Accent6 4 3 2 2 3" xfId="8986" xr:uid="{00000000-0005-0000-0000-000019230000}"/>
    <cellStyle name="40% - Accent6 4 3 2 2 3 2" xfId="8987" xr:uid="{00000000-0005-0000-0000-00001A230000}"/>
    <cellStyle name="40% - Accent6 4 3 2 2 4" xfId="8988" xr:uid="{00000000-0005-0000-0000-00001B230000}"/>
    <cellStyle name="40% - Accent6 4 3 2 2 5" xfId="8989" xr:uid="{00000000-0005-0000-0000-00001C230000}"/>
    <cellStyle name="40% - Accent6 4 3 2 3" xfId="8990" xr:uid="{00000000-0005-0000-0000-00001D230000}"/>
    <cellStyle name="40% - Accent6 4 3 2 3 2" xfId="8991" xr:uid="{00000000-0005-0000-0000-00001E230000}"/>
    <cellStyle name="40% - Accent6 4 3 2 4" xfId="8992" xr:uid="{00000000-0005-0000-0000-00001F230000}"/>
    <cellStyle name="40% - Accent6 4 3 2 4 2" xfId="8993" xr:uid="{00000000-0005-0000-0000-000020230000}"/>
    <cellStyle name="40% - Accent6 4 3 2 5" xfId="8994" xr:uid="{00000000-0005-0000-0000-000021230000}"/>
    <cellStyle name="40% - Accent6 4 3 2 6" xfId="8995" xr:uid="{00000000-0005-0000-0000-000022230000}"/>
    <cellStyle name="40% - Accent6 4 3 3" xfId="8996" xr:uid="{00000000-0005-0000-0000-000023230000}"/>
    <cellStyle name="40% - Accent6 4 3 3 2" xfId="8997" xr:uid="{00000000-0005-0000-0000-000024230000}"/>
    <cellStyle name="40% - Accent6 4 3 3 2 2" xfId="8998" xr:uid="{00000000-0005-0000-0000-000025230000}"/>
    <cellStyle name="40% - Accent6 4 3 3 3" xfId="8999" xr:uid="{00000000-0005-0000-0000-000026230000}"/>
    <cellStyle name="40% - Accent6 4 3 3 3 2" xfId="9000" xr:uid="{00000000-0005-0000-0000-000027230000}"/>
    <cellStyle name="40% - Accent6 4 3 3 4" xfId="9001" xr:uid="{00000000-0005-0000-0000-000028230000}"/>
    <cellStyle name="40% - Accent6 4 3 3 5" xfId="9002" xr:uid="{00000000-0005-0000-0000-000029230000}"/>
    <cellStyle name="40% - Accent6 4 3 4" xfId="9003" xr:uid="{00000000-0005-0000-0000-00002A230000}"/>
    <cellStyle name="40% - Accent6 4 3 4 2" xfId="9004" xr:uid="{00000000-0005-0000-0000-00002B230000}"/>
    <cellStyle name="40% - Accent6 4 3 5" xfId="9005" xr:uid="{00000000-0005-0000-0000-00002C230000}"/>
    <cellStyle name="40% - Accent6 4 3 5 2" xfId="9006" xr:uid="{00000000-0005-0000-0000-00002D230000}"/>
    <cellStyle name="40% - Accent6 4 3 6" xfId="9007" xr:uid="{00000000-0005-0000-0000-00002E230000}"/>
    <cellStyle name="40% - Accent6 4 3 7" xfId="9008" xr:uid="{00000000-0005-0000-0000-00002F230000}"/>
    <cellStyle name="40% - Accent6 4 3 8" xfId="9009" xr:uid="{00000000-0005-0000-0000-000030230000}"/>
    <cellStyle name="40% - Accent6 4 4" xfId="9010" xr:uid="{00000000-0005-0000-0000-000031230000}"/>
    <cellStyle name="40% - Accent6 4 4 2" xfId="9011" xr:uid="{00000000-0005-0000-0000-000032230000}"/>
    <cellStyle name="40% - Accent6 4 4 2 2" xfId="9012" xr:uid="{00000000-0005-0000-0000-000033230000}"/>
    <cellStyle name="40% - Accent6 4 4 2 2 2" xfId="9013" xr:uid="{00000000-0005-0000-0000-000034230000}"/>
    <cellStyle name="40% - Accent6 4 4 2 3" xfId="9014" xr:uid="{00000000-0005-0000-0000-000035230000}"/>
    <cellStyle name="40% - Accent6 4 4 2 3 2" xfId="9015" xr:uid="{00000000-0005-0000-0000-000036230000}"/>
    <cellStyle name="40% - Accent6 4 4 2 4" xfId="9016" xr:uid="{00000000-0005-0000-0000-000037230000}"/>
    <cellStyle name="40% - Accent6 4 4 2 5" xfId="9017" xr:uid="{00000000-0005-0000-0000-000038230000}"/>
    <cellStyle name="40% - Accent6 4 4 3" xfId="9018" xr:uid="{00000000-0005-0000-0000-000039230000}"/>
    <cellStyle name="40% - Accent6 4 4 3 2" xfId="9019" xr:uid="{00000000-0005-0000-0000-00003A230000}"/>
    <cellStyle name="40% - Accent6 4 4 4" xfId="9020" xr:uid="{00000000-0005-0000-0000-00003B230000}"/>
    <cellStyle name="40% - Accent6 4 4 4 2" xfId="9021" xr:uid="{00000000-0005-0000-0000-00003C230000}"/>
    <cellStyle name="40% - Accent6 4 4 5" xfId="9022" xr:uid="{00000000-0005-0000-0000-00003D230000}"/>
    <cellStyle name="40% - Accent6 4 4 6" xfId="9023" xr:uid="{00000000-0005-0000-0000-00003E230000}"/>
    <cellStyle name="40% - Accent6 4 4 7" xfId="9024" xr:uid="{00000000-0005-0000-0000-00003F230000}"/>
    <cellStyle name="40% - Accent6 4 5" xfId="9025" xr:uid="{00000000-0005-0000-0000-000040230000}"/>
    <cellStyle name="40% - Accent6 4 5 2" xfId="9026" xr:uid="{00000000-0005-0000-0000-000041230000}"/>
    <cellStyle name="40% - Accent6 4 5 2 2" xfId="9027" xr:uid="{00000000-0005-0000-0000-000042230000}"/>
    <cellStyle name="40% - Accent6 4 5 2 2 2" xfId="9028" xr:uid="{00000000-0005-0000-0000-000043230000}"/>
    <cellStyle name="40% - Accent6 4 5 2 3" xfId="9029" xr:uid="{00000000-0005-0000-0000-000044230000}"/>
    <cellStyle name="40% - Accent6 4 5 3" xfId="9030" xr:uid="{00000000-0005-0000-0000-000045230000}"/>
    <cellStyle name="40% - Accent6 4 5 3 2" xfId="9031" xr:uid="{00000000-0005-0000-0000-000046230000}"/>
    <cellStyle name="40% - Accent6 4 5 4" xfId="9032" xr:uid="{00000000-0005-0000-0000-000047230000}"/>
    <cellStyle name="40% - Accent6 4 5 4 2" xfId="9033" xr:uid="{00000000-0005-0000-0000-000048230000}"/>
    <cellStyle name="40% - Accent6 4 5 5" xfId="9034" xr:uid="{00000000-0005-0000-0000-000049230000}"/>
    <cellStyle name="40% - Accent6 4 5 6" xfId="9035" xr:uid="{00000000-0005-0000-0000-00004A230000}"/>
    <cellStyle name="40% - Accent6 4 6" xfId="9036" xr:uid="{00000000-0005-0000-0000-00004B230000}"/>
    <cellStyle name="40% - Accent6 4 6 2" xfId="9037" xr:uid="{00000000-0005-0000-0000-00004C230000}"/>
    <cellStyle name="40% - Accent6 4 6 2 2" xfId="9038" xr:uid="{00000000-0005-0000-0000-00004D230000}"/>
    <cellStyle name="40% - Accent6 4 6 3" xfId="9039" xr:uid="{00000000-0005-0000-0000-00004E230000}"/>
    <cellStyle name="40% - Accent6 4 7" xfId="9040" xr:uid="{00000000-0005-0000-0000-00004F230000}"/>
    <cellStyle name="40% - Accent6 4 7 2" xfId="9041" xr:uid="{00000000-0005-0000-0000-000050230000}"/>
    <cellStyle name="40% - Accent6 4 8" xfId="9042" xr:uid="{00000000-0005-0000-0000-000051230000}"/>
    <cellStyle name="40% - Accent6 4 8 2" xfId="9043" xr:uid="{00000000-0005-0000-0000-000052230000}"/>
    <cellStyle name="40% - Accent6 4 9" xfId="9044" xr:uid="{00000000-0005-0000-0000-000053230000}"/>
    <cellStyle name="40% - Accent6 5" xfId="9045" xr:uid="{00000000-0005-0000-0000-000054230000}"/>
    <cellStyle name="40% - Accent6 5 2" xfId="9046" xr:uid="{00000000-0005-0000-0000-000055230000}"/>
    <cellStyle name="40% - Accent6 5 2 2" xfId="9047" xr:uid="{00000000-0005-0000-0000-000056230000}"/>
    <cellStyle name="40% - Accent6 5 2 2 2" xfId="9048" xr:uid="{00000000-0005-0000-0000-000057230000}"/>
    <cellStyle name="40% - Accent6 5 2 2 2 2" xfId="9049" xr:uid="{00000000-0005-0000-0000-000058230000}"/>
    <cellStyle name="40% - Accent6 5 2 2 2 2 2" xfId="9050" xr:uid="{00000000-0005-0000-0000-000059230000}"/>
    <cellStyle name="40% - Accent6 5 2 2 2 2 2 2" xfId="9051" xr:uid="{00000000-0005-0000-0000-00005A230000}"/>
    <cellStyle name="40% - Accent6 5 2 2 2 2 3" xfId="9052" xr:uid="{00000000-0005-0000-0000-00005B230000}"/>
    <cellStyle name="40% - Accent6 5 2 2 2 2 3 2" xfId="9053" xr:uid="{00000000-0005-0000-0000-00005C230000}"/>
    <cellStyle name="40% - Accent6 5 2 2 2 2 4" xfId="9054" xr:uid="{00000000-0005-0000-0000-00005D230000}"/>
    <cellStyle name="40% - Accent6 5 2 2 2 2 5" xfId="9055" xr:uid="{00000000-0005-0000-0000-00005E230000}"/>
    <cellStyle name="40% - Accent6 5 2 2 2 3" xfId="9056" xr:uid="{00000000-0005-0000-0000-00005F230000}"/>
    <cellStyle name="40% - Accent6 5 2 2 2 3 2" xfId="9057" xr:uid="{00000000-0005-0000-0000-000060230000}"/>
    <cellStyle name="40% - Accent6 5 2 2 2 4" xfId="9058" xr:uid="{00000000-0005-0000-0000-000061230000}"/>
    <cellStyle name="40% - Accent6 5 2 2 2 4 2" xfId="9059" xr:uid="{00000000-0005-0000-0000-000062230000}"/>
    <cellStyle name="40% - Accent6 5 2 2 2 5" xfId="9060" xr:uid="{00000000-0005-0000-0000-000063230000}"/>
    <cellStyle name="40% - Accent6 5 2 2 2 6" xfId="9061" xr:uid="{00000000-0005-0000-0000-000064230000}"/>
    <cellStyle name="40% - Accent6 5 2 2 3" xfId="9062" xr:uid="{00000000-0005-0000-0000-000065230000}"/>
    <cellStyle name="40% - Accent6 5 2 2 3 2" xfId="9063" xr:uid="{00000000-0005-0000-0000-000066230000}"/>
    <cellStyle name="40% - Accent6 5 2 2 3 2 2" xfId="9064" xr:uid="{00000000-0005-0000-0000-000067230000}"/>
    <cellStyle name="40% - Accent6 5 2 2 3 3" xfId="9065" xr:uid="{00000000-0005-0000-0000-000068230000}"/>
    <cellStyle name="40% - Accent6 5 2 2 3 3 2" xfId="9066" xr:uid="{00000000-0005-0000-0000-000069230000}"/>
    <cellStyle name="40% - Accent6 5 2 2 3 4" xfId="9067" xr:uid="{00000000-0005-0000-0000-00006A230000}"/>
    <cellStyle name="40% - Accent6 5 2 2 3 5" xfId="9068" xr:uid="{00000000-0005-0000-0000-00006B230000}"/>
    <cellStyle name="40% - Accent6 5 2 2 4" xfId="9069" xr:uid="{00000000-0005-0000-0000-00006C230000}"/>
    <cellStyle name="40% - Accent6 5 2 2 4 2" xfId="9070" xr:uid="{00000000-0005-0000-0000-00006D230000}"/>
    <cellStyle name="40% - Accent6 5 2 2 5" xfId="9071" xr:uid="{00000000-0005-0000-0000-00006E230000}"/>
    <cellStyle name="40% - Accent6 5 2 2 5 2" xfId="9072" xr:uid="{00000000-0005-0000-0000-00006F230000}"/>
    <cellStyle name="40% - Accent6 5 2 2 6" xfId="9073" xr:uid="{00000000-0005-0000-0000-000070230000}"/>
    <cellStyle name="40% - Accent6 5 2 2 7" xfId="9074" xr:uid="{00000000-0005-0000-0000-000071230000}"/>
    <cellStyle name="40% - Accent6 5 2 3" xfId="9075" xr:uid="{00000000-0005-0000-0000-000072230000}"/>
    <cellStyle name="40% - Accent6 5 2 3 2" xfId="9076" xr:uid="{00000000-0005-0000-0000-000073230000}"/>
    <cellStyle name="40% - Accent6 5 2 3 2 2" xfId="9077" xr:uid="{00000000-0005-0000-0000-000074230000}"/>
    <cellStyle name="40% - Accent6 5 2 3 2 2 2" xfId="9078" xr:uid="{00000000-0005-0000-0000-000075230000}"/>
    <cellStyle name="40% - Accent6 5 2 3 2 3" xfId="9079" xr:uid="{00000000-0005-0000-0000-000076230000}"/>
    <cellStyle name="40% - Accent6 5 2 3 2 3 2" xfId="9080" xr:uid="{00000000-0005-0000-0000-000077230000}"/>
    <cellStyle name="40% - Accent6 5 2 3 2 4" xfId="9081" xr:uid="{00000000-0005-0000-0000-000078230000}"/>
    <cellStyle name="40% - Accent6 5 2 3 2 5" xfId="9082" xr:uid="{00000000-0005-0000-0000-000079230000}"/>
    <cellStyle name="40% - Accent6 5 2 3 3" xfId="9083" xr:uid="{00000000-0005-0000-0000-00007A230000}"/>
    <cellStyle name="40% - Accent6 5 2 3 3 2" xfId="9084" xr:uid="{00000000-0005-0000-0000-00007B230000}"/>
    <cellStyle name="40% - Accent6 5 2 3 4" xfId="9085" xr:uid="{00000000-0005-0000-0000-00007C230000}"/>
    <cellStyle name="40% - Accent6 5 2 3 4 2" xfId="9086" xr:uid="{00000000-0005-0000-0000-00007D230000}"/>
    <cellStyle name="40% - Accent6 5 2 3 5" xfId="9087" xr:uid="{00000000-0005-0000-0000-00007E230000}"/>
    <cellStyle name="40% - Accent6 5 2 3 6" xfId="9088" xr:uid="{00000000-0005-0000-0000-00007F230000}"/>
    <cellStyle name="40% - Accent6 5 2 4" xfId="9089" xr:uid="{00000000-0005-0000-0000-000080230000}"/>
    <cellStyle name="40% - Accent6 5 2 4 2" xfId="9090" xr:uid="{00000000-0005-0000-0000-000081230000}"/>
    <cellStyle name="40% - Accent6 5 2 4 2 2" xfId="9091" xr:uid="{00000000-0005-0000-0000-000082230000}"/>
    <cellStyle name="40% - Accent6 5 2 4 3" xfId="9092" xr:uid="{00000000-0005-0000-0000-000083230000}"/>
    <cellStyle name="40% - Accent6 5 2 4 3 2" xfId="9093" xr:uid="{00000000-0005-0000-0000-000084230000}"/>
    <cellStyle name="40% - Accent6 5 2 4 4" xfId="9094" xr:uid="{00000000-0005-0000-0000-000085230000}"/>
    <cellStyle name="40% - Accent6 5 2 4 5" xfId="9095" xr:uid="{00000000-0005-0000-0000-000086230000}"/>
    <cellStyle name="40% - Accent6 5 2 5" xfId="9096" xr:uid="{00000000-0005-0000-0000-000087230000}"/>
    <cellStyle name="40% - Accent6 5 2 5 2" xfId="9097" xr:uid="{00000000-0005-0000-0000-000088230000}"/>
    <cellStyle name="40% - Accent6 5 2 6" xfId="9098" xr:uid="{00000000-0005-0000-0000-000089230000}"/>
    <cellStyle name="40% - Accent6 5 2 6 2" xfId="9099" xr:uid="{00000000-0005-0000-0000-00008A230000}"/>
    <cellStyle name="40% - Accent6 5 2 7" xfId="9100" xr:uid="{00000000-0005-0000-0000-00008B230000}"/>
    <cellStyle name="40% - Accent6 5 2 8" xfId="9101" xr:uid="{00000000-0005-0000-0000-00008C230000}"/>
    <cellStyle name="40% - Accent6 5 3" xfId="9102" xr:uid="{00000000-0005-0000-0000-00008D230000}"/>
    <cellStyle name="40% - Accent6 5 3 2" xfId="9103" xr:uid="{00000000-0005-0000-0000-00008E230000}"/>
    <cellStyle name="40% - Accent6 5 3 2 2" xfId="9104" xr:uid="{00000000-0005-0000-0000-00008F230000}"/>
    <cellStyle name="40% - Accent6 5 3 2 2 2" xfId="9105" xr:uid="{00000000-0005-0000-0000-000090230000}"/>
    <cellStyle name="40% - Accent6 5 3 2 2 2 2" xfId="9106" xr:uid="{00000000-0005-0000-0000-000091230000}"/>
    <cellStyle name="40% - Accent6 5 3 2 2 3" xfId="9107" xr:uid="{00000000-0005-0000-0000-000092230000}"/>
    <cellStyle name="40% - Accent6 5 3 2 2 3 2" xfId="9108" xr:uid="{00000000-0005-0000-0000-000093230000}"/>
    <cellStyle name="40% - Accent6 5 3 2 2 4" xfId="9109" xr:uid="{00000000-0005-0000-0000-000094230000}"/>
    <cellStyle name="40% - Accent6 5 3 2 2 5" xfId="9110" xr:uid="{00000000-0005-0000-0000-000095230000}"/>
    <cellStyle name="40% - Accent6 5 3 2 3" xfId="9111" xr:uid="{00000000-0005-0000-0000-000096230000}"/>
    <cellStyle name="40% - Accent6 5 3 2 3 2" xfId="9112" xr:uid="{00000000-0005-0000-0000-000097230000}"/>
    <cellStyle name="40% - Accent6 5 3 2 4" xfId="9113" xr:uid="{00000000-0005-0000-0000-000098230000}"/>
    <cellStyle name="40% - Accent6 5 3 2 4 2" xfId="9114" xr:uid="{00000000-0005-0000-0000-000099230000}"/>
    <cellStyle name="40% - Accent6 5 3 2 5" xfId="9115" xr:uid="{00000000-0005-0000-0000-00009A230000}"/>
    <cellStyle name="40% - Accent6 5 3 2 6" xfId="9116" xr:uid="{00000000-0005-0000-0000-00009B230000}"/>
    <cellStyle name="40% - Accent6 5 3 3" xfId="9117" xr:uid="{00000000-0005-0000-0000-00009C230000}"/>
    <cellStyle name="40% - Accent6 5 3 3 2" xfId="9118" xr:uid="{00000000-0005-0000-0000-00009D230000}"/>
    <cellStyle name="40% - Accent6 5 3 3 2 2" xfId="9119" xr:uid="{00000000-0005-0000-0000-00009E230000}"/>
    <cellStyle name="40% - Accent6 5 3 3 3" xfId="9120" xr:uid="{00000000-0005-0000-0000-00009F230000}"/>
    <cellStyle name="40% - Accent6 5 3 3 3 2" xfId="9121" xr:uid="{00000000-0005-0000-0000-0000A0230000}"/>
    <cellStyle name="40% - Accent6 5 3 3 4" xfId="9122" xr:uid="{00000000-0005-0000-0000-0000A1230000}"/>
    <cellStyle name="40% - Accent6 5 3 3 5" xfId="9123" xr:uid="{00000000-0005-0000-0000-0000A2230000}"/>
    <cellStyle name="40% - Accent6 5 3 4" xfId="9124" xr:uid="{00000000-0005-0000-0000-0000A3230000}"/>
    <cellStyle name="40% - Accent6 5 3 4 2" xfId="9125" xr:uid="{00000000-0005-0000-0000-0000A4230000}"/>
    <cellStyle name="40% - Accent6 5 3 5" xfId="9126" xr:uid="{00000000-0005-0000-0000-0000A5230000}"/>
    <cellStyle name="40% - Accent6 5 3 5 2" xfId="9127" xr:uid="{00000000-0005-0000-0000-0000A6230000}"/>
    <cellStyle name="40% - Accent6 5 3 6" xfId="9128" xr:uid="{00000000-0005-0000-0000-0000A7230000}"/>
    <cellStyle name="40% - Accent6 5 3 7" xfId="9129" xr:uid="{00000000-0005-0000-0000-0000A8230000}"/>
    <cellStyle name="40% - Accent6 5 4" xfId="9130" xr:uid="{00000000-0005-0000-0000-0000A9230000}"/>
    <cellStyle name="40% - Accent6 5 4 2" xfId="9131" xr:uid="{00000000-0005-0000-0000-0000AA230000}"/>
    <cellStyle name="40% - Accent6 5 4 2 2" xfId="9132" xr:uid="{00000000-0005-0000-0000-0000AB230000}"/>
    <cellStyle name="40% - Accent6 5 4 2 2 2" xfId="9133" xr:uid="{00000000-0005-0000-0000-0000AC230000}"/>
    <cellStyle name="40% - Accent6 5 4 2 3" xfId="9134" xr:uid="{00000000-0005-0000-0000-0000AD230000}"/>
    <cellStyle name="40% - Accent6 5 4 2 3 2" xfId="9135" xr:uid="{00000000-0005-0000-0000-0000AE230000}"/>
    <cellStyle name="40% - Accent6 5 4 2 4" xfId="9136" xr:uid="{00000000-0005-0000-0000-0000AF230000}"/>
    <cellStyle name="40% - Accent6 5 4 2 5" xfId="9137" xr:uid="{00000000-0005-0000-0000-0000B0230000}"/>
    <cellStyle name="40% - Accent6 5 4 3" xfId="9138" xr:uid="{00000000-0005-0000-0000-0000B1230000}"/>
    <cellStyle name="40% - Accent6 5 4 3 2" xfId="9139" xr:uid="{00000000-0005-0000-0000-0000B2230000}"/>
    <cellStyle name="40% - Accent6 5 4 4" xfId="9140" xr:uid="{00000000-0005-0000-0000-0000B3230000}"/>
    <cellStyle name="40% - Accent6 5 4 4 2" xfId="9141" xr:uid="{00000000-0005-0000-0000-0000B4230000}"/>
    <cellStyle name="40% - Accent6 5 4 5" xfId="9142" xr:uid="{00000000-0005-0000-0000-0000B5230000}"/>
    <cellStyle name="40% - Accent6 5 4 6" xfId="9143" xr:uid="{00000000-0005-0000-0000-0000B6230000}"/>
    <cellStyle name="40% - Accent6 5 5" xfId="9144" xr:uid="{00000000-0005-0000-0000-0000B7230000}"/>
    <cellStyle name="40% - Accent6 5 5 2" xfId="9145" xr:uid="{00000000-0005-0000-0000-0000B8230000}"/>
    <cellStyle name="40% - Accent6 5 5 2 2" xfId="9146" xr:uid="{00000000-0005-0000-0000-0000B9230000}"/>
    <cellStyle name="40% - Accent6 5 5 2 2 2" xfId="9147" xr:uid="{00000000-0005-0000-0000-0000BA230000}"/>
    <cellStyle name="40% - Accent6 5 5 2 3" xfId="9148" xr:uid="{00000000-0005-0000-0000-0000BB230000}"/>
    <cellStyle name="40% - Accent6 5 5 3" xfId="9149" xr:uid="{00000000-0005-0000-0000-0000BC230000}"/>
    <cellStyle name="40% - Accent6 5 5 3 2" xfId="9150" xr:uid="{00000000-0005-0000-0000-0000BD230000}"/>
    <cellStyle name="40% - Accent6 5 5 4" xfId="9151" xr:uid="{00000000-0005-0000-0000-0000BE230000}"/>
    <cellStyle name="40% - Accent6 5 5 4 2" xfId="9152" xr:uid="{00000000-0005-0000-0000-0000BF230000}"/>
    <cellStyle name="40% - Accent6 5 5 5" xfId="9153" xr:uid="{00000000-0005-0000-0000-0000C0230000}"/>
    <cellStyle name="40% - Accent6 5 5 6" xfId="9154" xr:uid="{00000000-0005-0000-0000-0000C1230000}"/>
    <cellStyle name="40% - Accent6 5 6" xfId="9155" xr:uid="{00000000-0005-0000-0000-0000C2230000}"/>
    <cellStyle name="40% - Accent6 5 6 2" xfId="9156" xr:uid="{00000000-0005-0000-0000-0000C3230000}"/>
    <cellStyle name="40% - Accent6 5 7" xfId="9157" xr:uid="{00000000-0005-0000-0000-0000C4230000}"/>
    <cellStyle name="40% - Accent6 5 8" xfId="9158" xr:uid="{00000000-0005-0000-0000-0000C5230000}"/>
    <cellStyle name="40% - Accent6 6" xfId="9159" xr:uid="{00000000-0005-0000-0000-0000C6230000}"/>
    <cellStyle name="40% - Accent6 6 2" xfId="9160" xr:uid="{00000000-0005-0000-0000-0000C7230000}"/>
    <cellStyle name="40% - Accent6 6 2 2" xfId="9161" xr:uid="{00000000-0005-0000-0000-0000C8230000}"/>
    <cellStyle name="40% - Accent6 6 2 2 2" xfId="9162" xr:uid="{00000000-0005-0000-0000-0000C9230000}"/>
    <cellStyle name="40% - Accent6 6 2 2 2 2" xfId="9163" xr:uid="{00000000-0005-0000-0000-0000CA230000}"/>
    <cellStyle name="40% - Accent6 6 2 2 2 2 2" xfId="9164" xr:uid="{00000000-0005-0000-0000-0000CB230000}"/>
    <cellStyle name="40% - Accent6 6 2 2 2 3" xfId="9165" xr:uid="{00000000-0005-0000-0000-0000CC230000}"/>
    <cellStyle name="40% - Accent6 6 2 2 2 3 2" xfId="9166" xr:uid="{00000000-0005-0000-0000-0000CD230000}"/>
    <cellStyle name="40% - Accent6 6 2 2 2 4" xfId="9167" xr:uid="{00000000-0005-0000-0000-0000CE230000}"/>
    <cellStyle name="40% - Accent6 6 2 2 2 5" xfId="9168" xr:uid="{00000000-0005-0000-0000-0000CF230000}"/>
    <cellStyle name="40% - Accent6 6 2 2 3" xfId="9169" xr:uid="{00000000-0005-0000-0000-0000D0230000}"/>
    <cellStyle name="40% - Accent6 6 2 2 3 2" xfId="9170" xr:uid="{00000000-0005-0000-0000-0000D1230000}"/>
    <cellStyle name="40% - Accent6 6 2 2 4" xfId="9171" xr:uid="{00000000-0005-0000-0000-0000D2230000}"/>
    <cellStyle name="40% - Accent6 6 2 2 4 2" xfId="9172" xr:uid="{00000000-0005-0000-0000-0000D3230000}"/>
    <cellStyle name="40% - Accent6 6 2 2 5" xfId="9173" xr:uid="{00000000-0005-0000-0000-0000D4230000}"/>
    <cellStyle name="40% - Accent6 6 2 2 6" xfId="9174" xr:uid="{00000000-0005-0000-0000-0000D5230000}"/>
    <cellStyle name="40% - Accent6 6 2 3" xfId="9175" xr:uid="{00000000-0005-0000-0000-0000D6230000}"/>
    <cellStyle name="40% - Accent6 6 2 3 2" xfId="9176" xr:uid="{00000000-0005-0000-0000-0000D7230000}"/>
    <cellStyle name="40% - Accent6 6 2 3 2 2" xfId="9177" xr:uid="{00000000-0005-0000-0000-0000D8230000}"/>
    <cellStyle name="40% - Accent6 6 2 3 3" xfId="9178" xr:uid="{00000000-0005-0000-0000-0000D9230000}"/>
    <cellStyle name="40% - Accent6 6 2 3 3 2" xfId="9179" xr:uid="{00000000-0005-0000-0000-0000DA230000}"/>
    <cellStyle name="40% - Accent6 6 2 3 4" xfId="9180" xr:uid="{00000000-0005-0000-0000-0000DB230000}"/>
    <cellStyle name="40% - Accent6 6 2 3 5" xfId="9181" xr:uid="{00000000-0005-0000-0000-0000DC230000}"/>
    <cellStyle name="40% - Accent6 6 2 4" xfId="9182" xr:uid="{00000000-0005-0000-0000-0000DD230000}"/>
    <cellStyle name="40% - Accent6 6 2 4 2" xfId="9183" xr:uid="{00000000-0005-0000-0000-0000DE230000}"/>
    <cellStyle name="40% - Accent6 6 2 5" xfId="9184" xr:uid="{00000000-0005-0000-0000-0000DF230000}"/>
    <cellStyle name="40% - Accent6 6 2 5 2" xfId="9185" xr:uid="{00000000-0005-0000-0000-0000E0230000}"/>
    <cellStyle name="40% - Accent6 6 2 6" xfId="9186" xr:uid="{00000000-0005-0000-0000-0000E1230000}"/>
    <cellStyle name="40% - Accent6 6 2 7" xfId="9187" xr:uid="{00000000-0005-0000-0000-0000E2230000}"/>
    <cellStyle name="40% - Accent6 6 3" xfId="9188" xr:uid="{00000000-0005-0000-0000-0000E3230000}"/>
    <cellStyle name="40% - Accent6 6 3 2" xfId="9189" xr:uid="{00000000-0005-0000-0000-0000E4230000}"/>
    <cellStyle name="40% - Accent6 6 3 2 2" xfId="9190" xr:uid="{00000000-0005-0000-0000-0000E5230000}"/>
    <cellStyle name="40% - Accent6 6 3 2 2 2" xfId="9191" xr:uid="{00000000-0005-0000-0000-0000E6230000}"/>
    <cellStyle name="40% - Accent6 6 3 2 3" xfId="9192" xr:uid="{00000000-0005-0000-0000-0000E7230000}"/>
    <cellStyle name="40% - Accent6 6 3 2 3 2" xfId="9193" xr:uid="{00000000-0005-0000-0000-0000E8230000}"/>
    <cellStyle name="40% - Accent6 6 3 2 4" xfId="9194" xr:uid="{00000000-0005-0000-0000-0000E9230000}"/>
    <cellStyle name="40% - Accent6 6 3 2 5" xfId="9195" xr:uid="{00000000-0005-0000-0000-0000EA230000}"/>
    <cellStyle name="40% - Accent6 6 3 3" xfId="9196" xr:uid="{00000000-0005-0000-0000-0000EB230000}"/>
    <cellStyle name="40% - Accent6 6 3 3 2" xfId="9197" xr:uid="{00000000-0005-0000-0000-0000EC230000}"/>
    <cellStyle name="40% - Accent6 6 3 4" xfId="9198" xr:uid="{00000000-0005-0000-0000-0000ED230000}"/>
    <cellStyle name="40% - Accent6 6 3 4 2" xfId="9199" xr:uid="{00000000-0005-0000-0000-0000EE230000}"/>
    <cellStyle name="40% - Accent6 6 3 5" xfId="9200" xr:uid="{00000000-0005-0000-0000-0000EF230000}"/>
    <cellStyle name="40% - Accent6 6 3 6" xfId="9201" xr:uid="{00000000-0005-0000-0000-0000F0230000}"/>
    <cellStyle name="40% - Accent6 6 4" xfId="9202" xr:uid="{00000000-0005-0000-0000-0000F1230000}"/>
    <cellStyle name="40% - Accent6 6 4 2" xfId="9203" xr:uid="{00000000-0005-0000-0000-0000F2230000}"/>
    <cellStyle name="40% - Accent6 6 4 2 2" xfId="9204" xr:uid="{00000000-0005-0000-0000-0000F3230000}"/>
    <cellStyle name="40% - Accent6 6 4 3" xfId="9205" xr:uid="{00000000-0005-0000-0000-0000F4230000}"/>
    <cellStyle name="40% - Accent6 6 4 3 2" xfId="9206" xr:uid="{00000000-0005-0000-0000-0000F5230000}"/>
    <cellStyle name="40% - Accent6 6 4 4" xfId="9207" xr:uid="{00000000-0005-0000-0000-0000F6230000}"/>
    <cellStyle name="40% - Accent6 6 4 5" xfId="9208" xr:uid="{00000000-0005-0000-0000-0000F7230000}"/>
    <cellStyle name="40% - Accent6 6 5" xfId="9209" xr:uid="{00000000-0005-0000-0000-0000F8230000}"/>
    <cellStyle name="40% - Accent6 6 5 2" xfId="9210" xr:uid="{00000000-0005-0000-0000-0000F9230000}"/>
    <cellStyle name="40% - Accent6 6 6" xfId="9211" xr:uid="{00000000-0005-0000-0000-0000FA230000}"/>
    <cellStyle name="40% - Accent6 6 6 2" xfId="9212" xr:uid="{00000000-0005-0000-0000-0000FB230000}"/>
    <cellStyle name="40% - Accent6 6 7" xfId="9213" xr:uid="{00000000-0005-0000-0000-0000FC230000}"/>
    <cellStyle name="40% - Accent6 6 8" xfId="9214" xr:uid="{00000000-0005-0000-0000-0000FD230000}"/>
    <cellStyle name="40% - Accent6 6 9" xfId="9215" xr:uid="{00000000-0005-0000-0000-0000FE230000}"/>
    <cellStyle name="40% - Accent6 7" xfId="9216" xr:uid="{00000000-0005-0000-0000-0000FF230000}"/>
    <cellStyle name="40% - Accent6 7 2" xfId="9217" xr:uid="{00000000-0005-0000-0000-000000240000}"/>
    <cellStyle name="40% - Accent6 7 2 2" xfId="9218" xr:uid="{00000000-0005-0000-0000-000001240000}"/>
    <cellStyle name="40% - Accent6 7 2 2 2" xfId="9219" xr:uid="{00000000-0005-0000-0000-000002240000}"/>
    <cellStyle name="40% - Accent6 7 2 2 2 2" xfId="9220" xr:uid="{00000000-0005-0000-0000-000003240000}"/>
    <cellStyle name="40% - Accent6 7 2 2 2 2 2" xfId="9221" xr:uid="{00000000-0005-0000-0000-000004240000}"/>
    <cellStyle name="40% - Accent6 7 2 2 2 3" xfId="9222" xr:uid="{00000000-0005-0000-0000-000005240000}"/>
    <cellStyle name="40% - Accent6 7 2 2 2 3 2" xfId="9223" xr:uid="{00000000-0005-0000-0000-000006240000}"/>
    <cellStyle name="40% - Accent6 7 2 2 2 4" xfId="9224" xr:uid="{00000000-0005-0000-0000-000007240000}"/>
    <cellStyle name="40% - Accent6 7 2 2 2 5" xfId="9225" xr:uid="{00000000-0005-0000-0000-000008240000}"/>
    <cellStyle name="40% - Accent6 7 2 2 3" xfId="9226" xr:uid="{00000000-0005-0000-0000-000009240000}"/>
    <cellStyle name="40% - Accent6 7 2 2 3 2" xfId="9227" xr:uid="{00000000-0005-0000-0000-00000A240000}"/>
    <cellStyle name="40% - Accent6 7 2 2 4" xfId="9228" xr:uid="{00000000-0005-0000-0000-00000B240000}"/>
    <cellStyle name="40% - Accent6 7 2 2 4 2" xfId="9229" xr:uid="{00000000-0005-0000-0000-00000C240000}"/>
    <cellStyle name="40% - Accent6 7 2 2 5" xfId="9230" xr:uid="{00000000-0005-0000-0000-00000D240000}"/>
    <cellStyle name="40% - Accent6 7 2 2 6" xfId="9231" xr:uid="{00000000-0005-0000-0000-00000E240000}"/>
    <cellStyle name="40% - Accent6 7 2 3" xfId="9232" xr:uid="{00000000-0005-0000-0000-00000F240000}"/>
    <cellStyle name="40% - Accent6 7 2 3 2" xfId="9233" xr:uid="{00000000-0005-0000-0000-000010240000}"/>
    <cellStyle name="40% - Accent6 7 2 3 2 2" xfId="9234" xr:uid="{00000000-0005-0000-0000-000011240000}"/>
    <cellStyle name="40% - Accent6 7 2 3 3" xfId="9235" xr:uid="{00000000-0005-0000-0000-000012240000}"/>
    <cellStyle name="40% - Accent6 7 2 3 3 2" xfId="9236" xr:uid="{00000000-0005-0000-0000-000013240000}"/>
    <cellStyle name="40% - Accent6 7 2 3 4" xfId="9237" xr:uid="{00000000-0005-0000-0000-000014240000}"/>
    <cellStyle name="40% - Accent6 7 2 3 5" xfId="9238" xr:uid="{00000000-0005-0000-0000-000015240000}"/>
    <cellStyle name="40% - Accent6 7 2 4" xfId="9239" xr:uid="{00000000-0005-0000-0000-000016240000}"/>
    <cellStyle name="40% - Accent6 7 2 4 2" xfId="9240" xr:uid="{00000000-0005-0000-0000-000017240000}"/>
    <cellStyle name="40% - Accent6 7 2 5" xfId="9241" xr:uid="{00000000-0005-0000-0000-000018240000}"/>
    <cellStyle name="40% - Accent6 7 2 5 2" xfId="9242" xr:uid="{00000000-0005-0000-0000-000019240000}"/>
    <cellStyle name="40% - Accent6 7 2 6" xfId="9243" xr:uid="{00000000-0005-0000-0000-00001A240000}"/>
    <cellStyle name="40% - Accent6 7 2 7" xfId="9244" xr:uid="{00000000-0005-0000-0000-00001B240000}"/>
    <cellStyle name="40% - Accent6 7 3" xfId="9245" xr:uid="{00000000-0005-0000-0000-00001C240000}"/>
    <cellStyle name="40% - Accent6 7 3 2" xfId="9246" xr:uid="{00000000-0005-0000-0000-00001D240000}"/>
    <cellStyle name="40% - Accent6 7 3 2 2" xfId="9247" xr:uid="{00000000-0005-0000-0000-00001E240000}"/>
    <cellStyle name="40% - Accent6 7 3 2 2 2" xfId="9248" xr:uid="{00000000-0005-0000-0000-00001F240000}"/>
    <cellStyle name="40% - Accent6 7 3 2 3" xfId="9249" xr:uid="{00000000-0005-0000-0000-000020240000}"/>
    <cellStyle name="40% - Accent6 7 3 2 3 2" xfId="9250" xr:uid="{00000000-0005-0000-0000-000021240000}"/>
    <cellStyle name="40% - Accent6 7 3 2 4" xfId="9251" xr:uid="{00000000-0005-0000-0000-000022240000}"/>
    <cellStyle name="40% - Accent6 7 3 2 5" xfId="9252" xr:uid="{00000000-0005-0000-0000-000023240000}"/>
    <cellStyle name="40% - Accent6 7 3 3" xfId="9253" xr:uid="{00000000-0005-0000-0000-000024240000}"/>
    <cellStyle name="40% - Accent6 7 3 3 2" xfId="9254" xr:uid="{00000000-0005-0000-0000-000025240000}"/>
    <cellStyle name="40% - Accent6 7 3 4" xfId="9255" xr:uid="{00000000-0005-0000-0000-000026240000}"/>
    <cellStyle name="40% - Accent6 7 3 4 2" xfId="9256" xr:uid="{00000000-0005-0000-0000-000027240000}"/>
    <cellStyle name="40% - Accent6 7 3 5" xfId="9257" xr:uid="{00000000-0005-0000-0000-000028240000}"/>
    <cellStyle name="40% - Accent6 7 3 6" xfId="9258" xr:uid="{00000000-0005-0000-0000-000029240000}"/>
    <cellStyle name="40% - Accent6 7 4" xfId="9259" xr:uid="{00000000-0005-0000-0000-00002A240000}"/>
    <cellStyle name="40% - Accent6 7 4 2" xfId="9260" xr:uid="{00000000-0005-0000-0000-00002B240000}"/>
    <cellStyle name="40% - Accent6 7 4 2 2" xfId="9261" xr:uid="{00000000-0005-0000-0000-00002C240000}"/>
    <cellStyle name="40% - Accent6 7 4 3" xfId="9262" xr:uid="{00000000-0005-0000-0000-00002D240000}"/>
    <cellStyle name="40% - Accent6 7 4 3 2" xfId="9263" xr:uid="{00000000-0005-0000-0000-00002E240000}"/>
    <cellStyle name="40% - Accent6 7 4 4" xfId="9264" xr:uid="{00000000-0005-0000-0000-00002F240000}"/>
    <cellStyle name="40% - Accent6 7 4 5" xfId="9265" xr:uid="{00000000-0005-0000-0000-000030240000}"/>
    <cellStyle name="40% - Accent6 7 5" xfId="9266" xr:uid="{00000000-0005-0000-0000-000031240000}"/>
    <cellStyle name="40% - Accent6 7 5 2" xfId="9267" xr:uid="{00000000-0005-0000-0000-000032240000}"/>
    <cellStyle name="40% - Accent6 7 6" xfId="9268" xr:uid="{00000000-0005-0000-0000-000033240000}"/>
    <cellStyle name="40% - Accent6 7 6 2" xfId="9269" xr:uid="{00000000-0005-0000-0000-000034240000}"/>
    <cellStyle name="40% - Accent6 7 7" xfId="9270" xr:uid="{00000000-0005-0000-0000-000035240000}"/>
    <cellStyle name="40% - Accent6 7 8" xfId="9271" xr:uid="{00000000-0005-0000-0000-000036240000}"/>
    <cellStyle name="40% - Accent6 7 9" xfId="9272" xr:uid="{00000000-0005-0000-0000-000037240000}"/>
    <cellStyle name="40% - Accent6 8" xfId="9273" xr:uid="{00000000-0005-0000-0000-000038240000}"/>
    <cellStyle name="40% - Accent6 8 2" xfId="9274" xr:uid="{00000000-0005-0000-0000-000039240000}"/>
    <cellStyle name="40% - Accent6 8 2 2" xfId="9275" xr:uid="{00000000-0005-0000-0000-00003A240000}"/>
    <cellStyle name="40% - Accent6 8 2 2 2" xfId="9276" xr:uid="{00000000-0005-0000-0000-00003B240000}"/>
    <cellStyle name="40% - Accent6 8 2 2 2 2" xfId="9277" xr:uid="{00000000-0005-0000-0000-00003C240000}"/>
    <cellStyle name="40% - Accent6 8 2 2 2 2 2" xfId="9278" xr:uid="{00000000-0005-0000-0000-00003D240000}"/>
    <cellStyle name="40% - Accent6 8 2 2 2 3" xfId="9279" xr:uid="{00000000-0005-0000-0000-00003E240000}"/>
    <cellStyle name="40% - Accent6 8 2 2 2 3 2" xfId="9280" xr:uid="{00000000-0005-0000-0000-00003F240000}"/>
    <cellStyle name="40% - Accent6 8 2 2 2 4" xfId="9281" xr:uid="{00000000-0005-0000-0000-000040240000}"/>
    <cellStyle name="40% - Accent6 8 2 2 2 5" xfId="9282" xr:uid="{00000000-0005-0000-0000-000041240000}"/>
    <cellStyle name="40% - Accent6 8 2 2 3" xfId="9283" xr:uid="{00000000-0005-0000-0000-000042240000}"/>
    <cellStyle name="40% - Accent6 8 2 2 3 2" xfId="9284" xr:uid="{00000000-0005-0000-0000-000043240000}"/>
    <cellStyle name="40% - Accent6 8 2 2 4" xfId="9285" xr:uid="{00000000-0005-0000-0000-000044240000}"/>
    <cellStyle name="40% - Accent6 8 2 2 4 2" xfId="9286" xr:uid="{00000000-0005-0000-0000-000045240000}"/>
    <cellStyle name="40% - Accent6 8 2 2 5" xfId="9287" xr:uid="{00000000-0005-0000-0000-000046240000}"/>
    <cellStyle name="40% - Accent6 8 2 2 6" xfId="9288" xr:uid="{00000000-0005-0000-0000-000047240000}"/>
    <cellStyle name="40% - Accent6 8 2 3" xfId="9289" xr:uid="{00000000-0005-0000-0000-000048240000}"/>
    <cellStyle name="40% - Accent6 8 2 3 2" xfId="9290" xr:uid="{00000000-0005-0000-0000-000049240000}"/>
    <cellStyle name="40% - Accent6 8 2 3 2 2" xfId="9291" xr:uid="{00000000-0005-0000-0000-00004A240000}"/>
    <cellStyle name="40% - Accent6 8 2 3 3" xfId="9292" xr:uid="{00000000-0005-0000-0000-00004B240000}"/>
    <cellStyle name="40% - Accent6 8 2 3 3 2" xfId="9293" xr:uid="{00000000-0005-0000-0000-00004C240000}"/>
    <cellStyle name="40% - Accent6 8 2 3 4" xfId="9294" xr:uid="{00000000-0005-0000-0000-00004D240000}"/>
    <cellStyle name="40% - Accent6 8 2 3 5" xfId="9295" xr:uid="{00000000-0005-0000-0000-00004E240000}"/>
    <cellStyle name="40% - Accent6 8 2 4" xfId="9296" xr:uid="{00000000-0005-0000-0000-00004F240000}"/>
    <cellStyle name="40% - Accent6 8 2 4 2" xfId="9297" xr:uid="{00000000-0005-0000-0000-000050240000}"/>
    <cellStyle name="40% - Accent6 8 2 5" xfId="9298" xr:uid="{00000000-0005-0000-0000-000051240000}"/>
    <cellStyle name="40% - Accent6 8 2 5 2" xfId="9299" xr:uid="{00000000-0005-0000-0000-000052240000}"/>
    <cellStyle name="40% - Accent6 8 2 6" xfId="9300" xr:uid="{00000000-0005-0000-0000-000053240000}"/>
    <cellStyle name="40% - Accent6 8 2 7" xfId="9301" xr:uid="{00000000-0005-0000-0000-000054240000}"/>
    <cellStyle name="40% - Accent6 8 3" xfId="9302" xr:uid="{00000000-0005-0000-0000-000055240000}"/>
    <cellStyle name="40% - Accent6 8 3 2" xfId="9303" xr:uid="{00000000-0005-0000-0000-000056240000}"/>
    <cellStyle name="40% - Accent6 8 3 2 2" xfId="9304" xr:uid="{00000000-0005-0000-0000-000057240000}"/>
    <cellStyle name="40% - Accent6 8 3 2 2 2" xfId="9305" xr:uid="{00000000-0005-0000-0000-000058240000}"/>
    <cellStyle name="40% - Accent6 8 3 2 3" xfId="9306" xr:uid="{00000000-0005-0000-0000-000059240000}"/>
    <cellStyle name="40% - Accent6 8 3 2 3 2" xfId="9307" xr:uid="{00000000-0005-0000-0000-00005A240000}"/>
    <cellStyle name="40% - Accent6 8 3 2 4" xfId="9308" xr:uid="{00000000-0005-0000-0000-00005B240000}"/>
    <cellStyle name="40% - Accent6 8 3 2 5" xfId="9309" xr:uid="{00000000-0005-0000-0000-00005C240000}"/>
    <cellStyle name="40% - Accent6 8 3 3" xfId="9310" xr:uid="{00000000-0005-0000-0000-00005D240000}"/>
    <cellStyle name="40% - Accent6 8 3 3 2" xfId="9311" xr:uid="{00000000-0005-0000-0000-00005E240000}"/>
    <cellStyle name="40% - Accent6 8 3 4" xfId="9312" xr:uid="{00000000-0005-0000-0000-00005F240000}"/>
    <cellStyle name="40% - Accent6 8 3 4 2" xfId="9313" xr:uid="{00000000-0005-0000-0000-000060240000}"/>
    <cellStyle name="40% - Accent6 8 3 5" xfId="9314" xr:uid="{00000000-0005-0000-0000-000061240000}"/>
    <cellStyle name="40% - Accent6 8 3 6" xfId="9315" xr:uid="{00000000-0005-0000-0000-000062240000}"/>
    <cellStyle name="40% - Accent6 8 4" xfId="9316" xr:uid="{00000000-0005-0000-0000-000063240000}"/>
    <cellStyle name="40% - Accent6 8 4 2" xfId="9317" xr:uid="{00000000-0005-0000-0000-000064240000}"/>
    <cellStyle name="40% - Accent6 8 4 2 2" xfId="9318" xr:uid="{00000000-0005-0000-0000-000065240000}"/>
    <cellStyle name="40% - Accent6 8 4 3" xfId="9319" xr:uid="{00000000-0005-0000-0000-000066240000}"/>
    <cellStyle name="40% - Accent6 8 4 3 2" xfId="9320" xr:uid="{00000000-0005-0000-0000-000067240000}"/>
    <cellStyle name="40% - Accent6 8 4 4" xfId="9321" xr:uid="{00000000-0005-0000-0000-000068240000}"/>
    <cellStyle name="40% - Accent6 8 4 5" xfId="9322" xr:uid="{00000000-0005-0000-0000-000069240000}"/>
    <cellStyle name="40% - Accent6 8 5" xfId="9323" xr:uid="{00000000-0005-0000-0000-00006A240000}"/>
    <cellStyle name="40% - Accent6 8 5 2" xfId="9324" xr:uid="{00000000-0005-0000-0000-00006B240000}"/>
    <cellStyle name="40% - Accent6 8 6" xfId="9325" xr:uid="{00000000-0005-0000-0000-00006C240000}"/>
    <cellStyle name="40% - Accent6 8 6 2" xfId="9326" xr:uid="{00000000-0005-0000-0000-00006D240000}"/>
    <cellStyle name="40% - Accent6 8 7" xfId="9327" xr:uid="{00000000-0005-0000-0000-00006E240000}"/>
    <cellStyle name="40% - Accent6 8 8" xfId="9328" xr:uid="{00000000-0005-0000-0000-00006F240000}"/>
    <cellStyle name="40% - Accent6 9" xfId="9329" xr:uid="{00000000-0005-0000-0000-000070240000}"/>
    <cellStyle name="40% - Accent6 9 2" xfId="9330" xr:uid="{00000000-0005-0000-0000-000071240000}"/>
    <cellStyle name="40% - Accent6 9 2 2" xfId="9331" xr:uid="{00000000-0005-0000-0000-000072240000}"/>
    <cellStyle name="40% - Accent6 9 2 2 2" xfId="9332" xr:uid="{00000000-0005-0000-0000-000073240000}"/>
    <cellStyle name="40% - Accent6 9 2 2 2 2" xfId="9333" xr:uid="{00000000-0005-0000-0000-000074240000}"/>
    <cellStyle name="40% - Accent6 9 2 2 2 2 2" xfId="9334" xr:uid="{00000000-0005-0000-0000-000075240000}"/>
    <cellStyle name="40% - Accent6 9 2 2 2 3" xfId="9335" xr:uid="{00000000-0005-0000-0000-000076240000}"/>
    <cellStyle name="40% - Accent6 9 2 2 2 3 2" xfId="9336" xr:uid="{00000000-0005-0000-0000-000077240000}"/>
    <cellStyle name="40% - Accent6 9 2 2 2 4" xfId="9337" xr:uid="{00000000-0005-0000-0000-000078240000}"/>
    <cellStyle name="40% - Accent6 9 2 2 2 5" xfId="9338" xr:uid="{00000000-0005-0000-0000-000079240000}"/>
    <cellStyle name="40% - Accent6 9 2 2 3" xfId="9339" xr:uid="{00000000-0005-0000-0000-00007A240000}"/>
    <cellStyle name="40% - Accent6 9 2 2 3 2" xfId="9340" xr:uid="{00000000-0005-0000-0000-00007B240000}"/>
    <cellStyle name="40% - Accent6 9 2 2 4" xfId="9341" xr:uid="{00000000-0005-0000-0000-00007C240000}"/>
    <cellStyle name="40% - Accent6 9 2 2 4 2" xfId="9342" xr:uid="{00000000-0005-0000-0000-00007D240000}"/>
    <cellStyle name="40% - Accent6 9 2 2 5" xfId="9343" xr:uid="{00000000-0005-0000-0000-00007E240000}"/>
    <cellStyle name="40% - Accent6 9 2 2 6" xfId="9344" xr:uid="{00000000-0005-0000-0000-00007F240000}"/>
    <cellStyle name="40% - Accent6 9 2 3" xfId="9345" xr:uid="{00000000-0005-0000-0000-000080240000}"/>
    <cellStyle name="40% - Accent6 9 2 3 2" xfId="9346" xr:uid="{00000000-0005-0000-0000-000081240000}"/>
    <cellStyle name="40% - Accent6 9 2 3 2 2" xfId="9347" xr:uid="{00000000-0005-0000-0000-000082240000}"/>
    <cellStyle name="40% - Accent6 9 2 3 3" xfId="9348" xr:uid="{00000000-0005-0000-0000-000083240000}"/>
    <cellStyle name="40% - Accent6 9 2 3 3 2" xfId="9349" xr:uid="{00000000-0005-0000-0000-000084240000}"/>
    <cellStyle name="40% - Accent6 9 2 3 4" xfId="9350" xr:uid="{00000000-0005-0000-0000-000085240000}"/>
    <cellStyle name="40% - Accent6 9 2 3 5" xfId="9351" xr:uid="{00000000-0005-0000-0000-000086240000}"/>
    <cellStyle name="40% - Accent6 9 2 4" xfId="9352" xr:uid="{00000000-0005-0000-0000-000087240000}"/>
    <cellStyle name="40% - Accent6 9 2 4 2" xfId="9353" xr:uid="{00000000-0005-0000-0000-000088240000}"/>
    <cellStyle name="40% - Accent6 9 2 5" xfId="9354" xr:uid="{00000000-0005-0000-0000-000089240000}"/>
    <cellStyle name="40% - Accent6 9 2 5 2" xfId="9355" xr:uid="{00000000-0005-0000-0000-00008A240000}"/>
    <cellStyle name="40% - Accent6 9 2 6" xfId="9356" xr:uid="{00000000-0005-0000-0000-00008B240000}"/>
    <cellStyle name="40% - Accent6 9 2 7" xfId="9357" xr:uid="{00000000-0005-0000-0000-00008C240000}"/>
    <cellStyle name="40% - Accent6 9 3" xfId="9358" xr:uid="{00000000-0005-0000-0000-00008D240000}"/>
    <cellStyle name="40% - Accent6 9 3 2" xfId="9359" xr:uid="{00000000-0005-0000-0000-00008E240000}"/>
    <cellStyle name="40% - Accent6 9 3 2 2" xfId="9360" xr:uid="{00000000-0005-0000-0000-00008F240000}"/>
    <cellStyle name="40% - Accent6 9 3 2 2 2" xfId="9361" xr:uid="{00000000-0005-0000-0000-000090240000}"/>
    <cellStyle name="40% - Accent6 9 3 2 3" xfId="9362" xr:uid="{00000000-0005-0000-0000-000091240000}"/>
    <cellStyle name="40% - Accent6 9 3 2 3 2" xfId="9363" xr:uid="{00000000-0005-0000-0000-000092240000}"/>
    <cellStyle name="40% - Accent6 9 3 2 4" xfId="9364" xr:uid="{00000000-0005-0000-0000-000093240000}"/>
    <cellStyle name="40% - Accent6 9 3 2 5" xfId="9365" xr:uid="{00000000-0005-0000-0000-000094240000}"/>
    <cellStyle name="40% - Accent6 9 3 3" xfId="9366" xr:uid="{00000000-0005-0000-0000-000095240000}"/>
    <cellStyle name="40% - Accent6 9 3 3 2" xfId="9367" xr:uid="{00000000-0005-0000-0000-000096240000}"/>
    <cellStyle name="40% - Accent6 9 3 4" xfId="9368" xr:uid="{00000000-0005-0000-0000-000097240000}"/>
    <cellStyle name="40% - Accent6 9 3 4 2" xfId="9369" xr:uid="{00000000-0005-0000-0000-000098240000}"/>
    <cellStyle name="40% - Accent6 9 3 5" xfId="9370" xr:uid="{00000000-0005-0000-0000-000099240000}"/>
    <cellStyle name="40% - Accent6 9 3 6" xfId="9371" xr:uid="{00000000-0005-0000-0000-00009A240000}"/>
    <cellStyle name="40% - Accent6 9 4" xfId="9372" xr:uid="{00000000-0005-0000-0000-00009B240000}"/>
    <cellStyle name="40% - Accent6 9 4 2" xfId="9373" xr:uid="{00000000-0005-0000-0000-00009C240000}"/>
    <cellStyle name="40% - Accent6 9 4 2 2" xfId="9374" xr:uid="{00000000-0005-0000-0000-00009D240000}"/>
    <cellStyle name="40% - Accent6 9 4 3" xfId="9375" xr:uid="{00000000-0005-0000-0000-00009E240000}"/>
    <cellStyle name="40% - Accent6 9 4 3 2" xfId="9376" xr:uid="{00000000-0005-0000-0000-00009F240000}"/>
    <cellStyle name="40% - Accent6 9 4 4" xfId="9377" xr:uid="{00000000-0005-0000-0000-0000A0240000}"/>
    <cellStyle name="40% - Accent6 9 4 5" xfId="9378" xr:uid="{00000000-0005-0000-0000-0000A1240000}"/>
    <cellStyle name="40% - Accent6 9 5" xfId="9379" xr:uid="{00000000-0005-0000-0000-0000A2240000}"/>
    <cellStyle name="40% - Accent6 9 5 2" xfId="9380" xr:uid="{00000000-0005-0000-0000-0000A3240000}"/>
    <cellStyle name="40% - Accent6 9 6" xfId="9381" xr:uid="{00000000-0005-0000-0000-0000A4240000}"/>
    <cellStyle name="40% - Accent6 9 6 2" xfId="9382" xr:uid="{00000000-0005-0000-0000-0000A5240000}"/>
    <cellStyle name="40% - Accent6 9 7" xfId="9383" xr:uid="{00000000-0005-0000-0000-0000A6240000}"/>
    <cellStyle name="40% - Accent6 9 8" xfId="9384" xr:uid="{00000000-0005-0000-0000-0000A7240000}"/>
    <cellStyle name="60% - Accent1 2" xfId="9385" xr:uid="{00000000-0005-0000-0000-0000A8240000}"/>
    <cellStyle name="60% - Accent1 2 2" xfId="9386" xr:uid="{00000000-0005-0000-0000-0000A9240000}"/>
    <cellStyle name="60% - Accent1 2 3" xfId="9387" xr:uid="{00000000-0005-0000-0000-0000AA240000}"/>
    <cellStyle name="60% - Accent1 3" xfId="9388" xr:uid="{00000000-0005-0000-0000-0000AB240000}"/>
    <cellStyle name="60% - Accent1 4" xfId="9389" xr:uid="{00000000-0005-0000-0000-0000AC240000}"/>
    <cellStyle name="60% - Accent1 5" xfId="9390" xr:uid="{00000000-0005-0000-0000-0000AD240000}"/>
    <cellStyle name="60% - Accent2 2" xfId="9391" xr:uid="{00000000-0005-0000-0000-0000AE240000}"/>
    <cellStyle name="60% - Accent2 2 2" xfId="9392" xr:uid="{00000000-0005-0000-0000-0000AF240000}"/>
    <cellStyle name="60% - Accent2 2 3" xfId="9393" xr:uid="{00000000-0005-0000-0000-0000B0240000}"/>
    <cellStyle name="60% - Accent2 3" xfId="9394" xr:uid="{00000000-0005-0000-0000-0000B1240000}"/>
    <cellStyle name="60% - Accent2 4" xfId="9395" xr:uid="{00000000-0005-0000-0000-0000B2240000}"/>
    <cellStyle name="60% - Accent2 5" xfId="9396" xr:uid="{00000000-0005-0000-0000-0000B3240000}"/>
    <cellStyle name="60% - Accent3 2" xfId="9397" xr:uid="{00000000-0005-0000-0000-0000B4240000}"/>
    <cellStyle name="60% - Accent3 2 2" xfId="9398" xr:uid="{00000000-0005-0000-0000-0000B5240000}"/>
    <cellStyle name="60% - Accent3 2 3" xfId="9399" xr:uid="{00000000-0005-0000-0000-0000B6240000}"/>
    <cellStyle name="60% - Accent3 3" xfId="9400" xr:uid="{00000000-0005-0000-0000-0000B7240000}"/>
    <cellStyle name="60% - Accent3 4" xfId="9401" xr:uid="{00000000-0005-0000-0000-0000B8240000}"/>
    <cellStyle name="60% - Accent3 5" xfId="9402" xr:uid="{00000000-0005-0000-0000-0000B9240000}"/>
    <cellStyle name="60% - Accent4 2" xfId="9403" xr:uid="{00000000-0005-0000-0000-0000BA240000}"/>
    <cellStyle name="60% - Accent4 2 2" xfId="9404" xr:uid="{00000000-0005-0000-0000-0000BB240000}"/>
    <cellStyle name="60% - Accent4 2 3" xfId="9405" xr:uid="{00000000-0005-0000-0000-0000BC240000}"/>
    <cellStyle name="60% - Accent4 3" xfId="9406" xr:uid="{00000000-0005-0000-0000-0000BD240000}"/>
    <cellStyle name="60% - Accent4 4" xfId="9407" xr:uid="{00000000-0005-0000-0000-0000BE240000}"/>
    <cellStyle name="60% - Accent4 5" xfId="9408" xr:uid="{00000000-0005-0000-0000-0000BF240000}"/>
    <cellStyle name="60% - Accent5 2" xfId="9409" xr:uid="{00000000-0005-0000-0000-0000C0240000}"/>
    <cellStyle name="60% - Accent5 2 2" xfId="9410" xr:uid="{00000000-0005-0000-0000-0000C1240000}"/>
    <cellStyle name="60% - Accent5 2 3" xfId="9411" xr:uid="{00000000-0005-0000-0000-0000C2240000}"/>
    <cellStyle name="60% - Accent5 3" xfId="9412" xr:uid="{00000000-0005-0000-0000-0000C3240000}"/>
    <cellStyle name="60% - Accent5 4" xfId="9413" xr:uid="{00000000-0005-0000-0000-0000C4240000}"/>
    <cellStyle name="60% - Accent5 5" xfId="9414" xr:uid="{00000000-0005-0000-0000-0000C5240000}"/>
    <cellStyle name="60% - Accent6 2" xfId="9415" xr:uid="{00000000-0005-0000-0000-0000C6240000}"/>
    <cellStyle name="60% - Accent6 2 2" xfId="9416" xr:uid="{00000000-0005-0000-0000-0000C7240000}"/>
    <cellStyle name="60% - Accent6 2 3" xfId="9417" xr:uid="{00000000-0005-0000-0000-0000C8240000}"/>
    <cellStyle name="60% - Accent6 3" xfId="9418" xr:uid="{00000000-0005-0000-0000-0000C9240000}"/>
    <cellStyle name="60% - Accent6 4" xfId="9419" xr:uid="{00000000-0005-0000-0000-0000CA240000}"/>
    <cellStyle name="60% - Accent6 5" xfId="9420" xr:uid="{00000000-0005-0000-0000-0000CB240000}"/>
    <cellStyle name="Accent1 2" xfId="9421" xr:uid="{00000000-0005-0000-0000-0000CC240000}"/>
    <cellStyle name="Accent1 2 2" xfId="9422" xr:uid="{00000000-0005-0000-0000-0000CD240000}"/>
    <cellStyle name="Accent1 2 3" xfId="9423" xr:uid="{00000000-0005-0000-0000-0000CE240000}"/>
    <cellStyle name="Accent1 3" xfId="9424" xr:uid="{00000000-0005-0000-0000-0000CF240000}"/>
    <cellStyle name="Accent1 4" xfId="9425" xr:uid="{00000000-0005-0000-0000-0000D0240000}"/>
    <cellStyle name="Accent1 5" xfId="9426" xr:uid="{00000000-0005-0000-0000-0000D1240000}"/>
    <cellStyle name="Accent2 2" xfId="9427" xr:uid="{00000000-0005-0000-0000-0000D2240000}"/>
    <cellStyle name="Accent2 2 2" xfId="9428" xr:uid="{00000000-0005-0000-0000-0000D3240000}"/>
    <cellStyle name="Accent2 2 3" xfId="9429" xr:uid="{00000000-0005-0000-0000-0000D4240000}"/>
    <cellStyle name="Accent2 3" xfId="9430" xr:uid="{00000000-0005-0000-0000-0000D5240000}"/>
    <cellStyle name="Accent2 4" xfId="9431" xr:uid="{00000000-0005-0000-0000-0000D6240000}"/>
    <cellStyle name="Accent2 5" xfId="9432" xr:uid="{00000000-0005-0000-0000-0000D7240000}"/>
    <cellStyle name="Accent3 2" xfId="9433" xr:uid="{00000000-0005-0000-0000-0000D8240000}"/>
    <cellStyle name="Accent3 2 2" xfId="9434" xr:uid="{00000000-0005-0000-0000-0000D9240000}"/>
    <cellStyle name="Accent3 2 3" xfId="9435" xr:uid="{00000000-0005-0000-0000-0000DA240000}"/>
    <cellStyle name="Accent3 3" xfId="9436" xr:uid="{00000000-0005-0000-0000-0000DB240000}"/>
    <cellStyle name="Accent3 4" xfId="9437" xr:uid="{00000000-0005-0000-0000-0000DC240000}"/>
    <cellStyle name="Accent3 5" xfId="9438" xr:uid="{00000000-0005-0000-0000-0000DD240000}"/>
    <cellStyle name="Accent4 2" xfId="9439" xr:uid="{00000000-0005-0000-0000-0000DE240000}"/>
    <cellStyle name="Accent4 2 2" xfId="9440" xr:uid="{00000000-0005-0000-0000-0000DF240000}"/>
    <cellStyle name="Accent4 2 3" xfId="9441" xr:uid="{00000000-0005-0000-0000-0000E0240000}"/>
    <cellStyle name="Accent4 3" xfId="9442" xr:uid="{00000000-0005-0000-0000-0000E1240000}"/>
    <cellStyle name="Accent4 4" xfId="9443" xr:uid="{00000000-0005-0000-0000-0000E2240000}"/>
    <cellStyle name="Accent4 5" xfId="9444" xr:uid="{00000000-0005-0000-0000-0000E3240000}"/>
    <cellStyle name="Accent5 2" xfId="9445" xr:uid="{00000000-0005-0000-0000-0000E4240000}"/>
    <cellStyle name="Accent5 2 2" xfId="9446" xr:uid="{00000000-0005-0000-0000-0000E5240000}"/>
    <cellStyle name="Accent5 2 3" xfId="9447" xr:uid="{00000000-0005-0000-0000-0000E6240000}"/>
    <cellStyle name="Accent5 3" xfId="9448" xr:uid="{00000000-0005-0000-0000-0000E7240000}"/>
    <cellStyle name="Accent5 4" xfId="9449" xr:uid="{00000000-0005-0000-0000-0000E8240000}"/>
    <cellStyle name="Accent5 5" xfId="9450" xr:uid="{00000000-0005-0000-0000-0000E9240000}"/>
    <cellStyle name="Accent6 2" xfId="9451" xr:uid="{00000000-0005-0000-0000-0000EA240000}"/>
    <cellStyle name="Accent6 2 2" xfId="9452" xr:uid="{00000000-0005-0000-0000-0000EB240000}"/>
    <cellStyle name="Accent6 2 3" xfId="9453" xr:uid="{00000000-0005-0000-0000-0000EC240000}"/>
    <cellStyle name="Accent6 3" xfId="9454" xr:uid="{00000000-0005-0000-0000-0000ED240000}"/>
    <cellStyle name="Accent6 4" xfId="9455" xr:uid="{00000000-0005-0000-0000-0000EE240000}"/>
    <cellStyle name="Accent6 5" xfId="9456" xr:uid="{00000000-0005-0000-0000-0000EF240000}"/>
    <cellStyle name="Bad 2" xfId="9457" xr:uid="{00000000-0005-0000-0000-0000F0240000}"/>
    <cellStyle name="Bad 2 2" xfId="9458" xr:uid="{00000000-0005-0000-0000-0000F1240000}"/>
    <cellStyle name="Bad 2 3" xfId="9459" xr:uid="{00000000-0005-0000-0000-0000F2240000}"/>
    <cellStyle name="Bad 3" xfId="9460" xr:uid="{00000000-0005-0000-0000-0000F3240000}"/>
    <cellStyle name="Bad 4" xfId="9461" xr:uid="{00000000-0005-0000-0000-0000F4240000}"/>
    <cellStyle name="Bad 5" xfId="9462" xr:uid="{00000000-0005-0000-0000-0000F5240000}"/>
    <cellStyle name="Calculation 2" xfId="9463" xr:uid="{00000000-0005-0000-0000-0000F6240000}"/>
    <cellStyle name="Calculation 2 2" xfId="9464" xr:uid="{00000000-0005-0000-0000-0000F7240000}"/>
    <cellStyle name="Calculation 2 3" xfId="9465" xr:uid="{00000000-0005-0000-0000-0000F8240000}"/>
    <cellStyle name="Calculation 3" xfId="9466" xr:uid="{00000000-0005-0000-0000-0000F9240000}"/>
    <cellStyle name="Calculation 4" xfId="9467" xr:uid="{00000000-0005-0000-0000-0000FA240000}"/>
    <cellStyle name="Calculation 5" xfId="9468" xr:uid="{00000000-0005-0000-0000-0000FB240000}"/>
    <cellStyle name="Check Cell 2" xfId="9469" xr:uid="{00000000-0005-0000-0000-0000FC240000}"/>
    <cellStyle name="Check Cell 2 2" xfId="9470" xr:uid="{00000000-0005-0000-0000-0000FD240000}"/>
    <cellStyle name="Check Cell 2 3" xfId="9471" xr:uid="{00000000-0005-0000-0000-0000FE240000}"/>
    <cellStyle name="Check Cell 3" xfId="9472" xr:uid="{00000000-0005-0000-0000-0000FF240000}"/>
    <cellStyle name="Check Cell 4" xfId="9473" xr:uid="{00000000-0005-0000-0000-000000250000}"/>
    <cellStyle name="Check Cell 5" xfId="9474" xr:uid="{00000000-0005-0000-0000-000001250000}"/>
    <cellStyle name="Comma 10" xfId="9475" xr:uid="{00000000-0005-0000-0000-000002250000}"/>
    <cellStyle name="Comma 10 2" xfId="9476" xr:uid="{00000000-0005-0000-0000-000003250000}"/>
    <cellStyle name="Comma 10 2 2" xfId="9477" xr:uid="{00000000-0005-0000-0000-000004250000}"/>
    <cellStyle name="Comma 10 2 3" xfId="9478" xr:uid="{00000000-0005-0000-0000-000005250000}"/>
    <cellStyle name="Comma 10 3" xfId="9479" xr:uid="{00000000-0005-0000-0000-000006250000}"/>
    <cellStyle name="Comma 10 3 2" xfId="9480" xr:uid="{00000000-0005-0000-0000-000007250000}"/>
    <cellStyle name="Comma 10 4" xfId="9481" xr:uid="{00000000-0005-0000-0000-000008250000}"/>
    <cellStyle name="Comma 11" xfId="9482" xr:uid="{00000000-0005-0000-0000-000009250000}"/>
    <cellStyle name="Comma 11 2" xfId="9483" xr:uid="{00000000-0005-0000-0000-00000A250000}"/>
    <cellStyle name="Comma 11 2 2" xfId="9484" xr:uid="{00000000-0005-0000-0000-00000B250000}"/>
    <cellStyle name="Comma 11 2 3" xfId="9485" xr:uid="{00000000-0005-0000-0000-00000C250000}"/>
    <cellStyle name="Comma 11 3" xfId="9486" xr:uid="{00000000-0005-0000-0000-00000D250000}"/>
    <cellStyle name="Comma 2" xfId="9487" xr:uid="{00000000-0005-0000-0000-00000E250000}"/>
    <cellStyle name="Comma 2 2" xfId="9488" xr:uid="{00000000-0005-0000-0000-00000F250000}"/>
    <cellStyle name="Comma 2 3" xfId="9489" xr:uid="{00000000-0005-0000-0000-000010250000}"/>
    <cellStyle name="Comma 2 3 2" xfId="9490" xr:uid="{00000000-0005-0000-0000-000011250000}"/>
    <cellStyle name="Comma 2 4" xfId="9491" xr:uid="{00000000-0005-0000-0000-000012250000}"/>
    <cellStyle name="Comma 2 4 2" xfId="9492" xr:uid="{00000000-0005-0000-0000-000013250000}"/>
    <cellStyle name="Comma 2 4 2 2" xfId="9493" xr:uid="{00000000-0005-0000-0000-000014250000}"/>
    <cellStyle name="Comma 2 4 3" xfId="9494" xr:uid="{00000000-0005-0000-0000-000015250000}"/>
    <cellStyle name="Comma 2 5" xfId="9495" xr:uid="{00000000-0005-0000-0000-000016250000}"/>
    <cellStyle name="Comma 2 5 2" xfId="9496" xr:uid="{00000000-0005-0000-0000-000017250000}"/>
    <cellStyle name="Comma 2 6" xfId="9497" xr:uid="{00000000-0005-0000-0000-000018250000}"/>
    <cellStyle name="Comma 3" xfId="9498" xr:uid="{00000000-0005-0000-0000-000019250000}"/>
    <cellStyle name="Comma 3 2" xfId="9499" xr:uid="{00000000-0005-0000-0000-00001A250000}"/>
    <cellStyle name="Comma 3 2 2" xfId="9500" xr:uid="{00000000-0005-0000-0000-00001B250000}"/>
    <cellStyle name="Comma 3 2 3" xfId="9501" xr:uid="{00000000-0005-0000-0000-00001C250000}"/>
    <cellStyle name="Comma 3 2 4" xfId="9502" xr:uid="{00000000-0005-0000-0000-00001D250000}"/>
    <cellStyle name="Comma 3 2 4 2" xfId="9503" xr:uid="{00000000-0005-0000-0000-00001E250000}"/>
    <cellStyle name="Comma 3 2 4 2 2" xfId="9504" xr:uid="{00000000-0005-0000-0000-00001F250000}"/>
    <cellStyle name="Comma 3 2 4 2 2 2" xfId="9505" xr:uid="{00000000-0005-0000-0000-000020250000}"/>
    <cellStyle name="Comma 3 2 4 2 3" xfId="9506" xr:uid="{00000000-0005-0000-0000-000021250000}"/>
    <cellStyle name="Comma 3 2 4 2 3 2" xfId="9507" xr:uid="{00000000-0005-0000-0000-000022250000}"/>
    <cellStyle name="Comma 3 2 4 2 4" xfId="9508" xr:uid="{00000000-0005-0000-0000-000023250000}"/>
    <cellStyle name="Comma 3 2 4 2 5" xfId="9509" xr:uid="{00000000-0005-0000-0000-000024250000}"/>
    <cellStyle name="Comma 3 2 4 3" xfId="9510" xr:uid="{00000000-0005-0000-0000-000025250000}"/>
    <cellStyle name="Comma 3 2 4 3 2" xfId="9511" xr:uid="{00000000-0005-0000-0000-000026250000}"/>
    <cellStyle name="Comma 3 2 4 4" xfId="9512" xr:uid="{00000000-0005-0000-0000-000027250000}"/>
    <cellStyle name="Comma 3 2 4 4 2" xfId="9513" xr:uid="{00000000-0005-0000-0000-000028250000}"/>
    <cellStyle name="Comma 3 2 4 5" xfId="9514" xr:uid="{00000000-0005-0000-0000-000029250000}"/>
    <cellStyle name="Comma 3 2 4 6" xfId="9515" xr:uid="{00000000-0005-0000-0000-00002A250000}"/>
    <cellStyle name="Comma 3 2 5" xfId="9516" xr:uid="{00000000-0005-0000-0000-00002B250000}"/>
    <cellStyle name="Comma 3 2 5 2" xfId="9517" xr:uid="{00000000-0005-0000-0000-00002C250000}"/>
    <cellStyle name="Comma 3 2 5 2 2" xfId="9518" xr:uid="{00000000-0005-0000-0000-00002D250000}"/>
    <cellStyle name="Comma 3 2 5 2 2 2" xfId="9519" xr:uid="{00000000-0005-0000-0000-00002E250000}"/>
    <cellStyle name="Comma 3 2 5 2 3" xfId="9520" xr:uid="{00000000-0005-0000-0000-00002F250000}"/>
    <cellStyle name="Comma 3 2 5 3" xfId="9521" xr:uid="{00000000-0005-0000-0000-000030250000}"/>
    <cellStyle name="Comma 3 2 5 3 2" xfId="9522" xr:uid="{00000000-0005-0000-0000-000031250000}"/>
    <cellStyle name="Comma 3 2 5 4" xfId="9523" xr:uid="{00000000-0005-0000-0000-000032250000}"/>
    <cellStyle name="Comma 3 2 5 4 2" xfId="9524" xr:uid="{00000000-0005-0000-0000-000033250000}"/>
    <cellStyle name="Comma 3 2 5 5" xfId="9525" xr:uid="{00000000-0005-0000-0000-000034250000}"/>
    <cellStyle name="Comma 3 2 5 6" xfId="9526" xr:uid="{00000000-0005-0000-0000-000035250000}"/>
    <cellStyle name="Comma 3 2 6" xfId="9527" xr:uid="{00000000-0005-0000-0000-000036250000}"/>
    <cellStyle name="Comma 3 2 6 2" xfId="9528" xr:uid="{00000000-0005-0000-0000-000037250000}"/>
    <cellStyle name="Comma 3 2 6 3" xfId="9529" xr:uid="{00000000-0005-0000-0000-000038250000}"/>
    <cellStyle name="Comma 3 3" xfId="9530" xr:uid="{00000000-0005-0000-0000-000039250000}"/>
    <cellStyle name="Comma 3 4" xfId="9531" xr:uid="{00000000-0005-0000-0000-00003A250000}"/>
    <cellStyle name="Comma 3 4 2" xfId="9532" xr:uid="{00000000-0005-0000-0000-00003B250000}"/>
    <cellStyle name="Comma 3 4 2 2" xfId="9533" xr:uid="{00000000-0005-0000-0000-00003C250000}"/>
    <cellStyle name="Comma 3 4 2 2 2" xfId="9534" xr:uid="{00000000-0005-0000-0000-00003D250000}"/>
    <cellStyle name="Comma 3 4 2 2 3" xfId="9535" xr:uid="{00000000-0005-0000-0000-00003E250000}"/>
    <cellStyle name="Comma 3 4 2 2 4" xfId="9536" xr:uid="{00000000-0005-0000-0000-00003F250000}"/>
    <cellStyle name="Comma 3 4 2 3" xfId="9537" xr:uid="{00000000-0005-0000-0000-000040250000}"/>
    <cellStyle name="Comma 3 4 2 4" xfId="9538" xr:uid="{00000000-0005-0000-0000-000041250000}"/>
    <cellStyle name="Comma 3 4 2 5" xfId="9539" xr:uid="{00000000-0005-0000-0000-000042250000}"/>
    <cellStyle name="Comma 3 4 3" xfId="9540" xr:uid="{00000000-0005-0000-0000-000043250000}"/>
    <cellStyle name="Comma 3 4 3 2" xfId="9541" xr:uid="{00000000-0005-0000-0000-000044250000}"/>
    <cellStyle name="Comma 3 4 3 3" xfId="9542" xr:uid="{00000000-0005-0000-0000-000045250000}"/>
    <cellStyle name="Comma 3 4 3 4" xfId="9543" xr:uid="{00000000-0005-0000-0000-000046250000}"/>
    <cellStyle name="Comma 3 4 4" xfId="9544" xr:uid="{00000000-0005-0000-0000-000047250000}"/>
    <cellStyle name="Comma 3 4 5" xfId="9545" xr:uid="{00000000-0005-0000-0000-000048250000}"/>
    <cellStyle name="Comma 3 4 6" xfId="9546" xr:uid="{00000000-0005-0000-0000-000049250000}"/>
    <cellStyle name="Comma 3 4 7" xfId="9547" xr:uid="{00000000-0005-0000-0000-00004A250000}"/>
    <cellStyle name="Comma 3 5" xfId="9548" xr:uid="{00000000-0005-0000-0000-00004B250000}"/>
    <cellStyle name="Comma 3 5 2" xfId="9549" xr:uid="{00000000-0005-0000-0000-00004C250000}"/>
    <cellStyle name="Comma 3 5 2 2" xfId="9550" xr:uid="{00000000-0005-0000-0000-00004D250000}"/>
    <cellStyle name="Comma 3 5 2 2 2" xfId="9551" xr:uid="{00000000-0005-0000-0000-00004E250000}"/>
    <cellStyle name="Comma 3 5 2 2 3" xfId="9552" xr:uid="{00000000-0005-0000-0000-00004F250000}"/>
    <cellStyle name="Comma 3 5 2 3" xfId="9553" xr:uid="{00000000-0005-0000-0000-000050250000}"/>
    <cellStyle name="Comma 3 5 2 3 2" xfId="9554" xr:uid="{00000000-0005-0000-0000-000051250000}"/>
    <cellStyle name="Comma 3 5 2 3 3" xfId="9555" xr:uid="{00000000-0005-0000-0000-000052250000}"/>
    <cellStyle name="Comma 3 5 2 4" xfId="9556" xr:uid="{00000000-0005-0000-0000-000053250000}"/>
    <cellStyle name="Comma 3 5 2 4 2" xfId="9557" xr:uid="{00000000-0005-0000-0000-000054250000}"/>
    <cellStyle name="Comma 3 5 2 5" xfId="9558" xr:uid="{00000000-0005-0000-0000-000055250000}"/>
    <cellStyle name="Comma 3 5 2 6" xfId="9559" xr:uid="{00000000-0005-0000-0000-000056250000}"/>
    <cellStyle name="Comma 3 5 3" xfId="9560" xr:uid="{00000000-0005-0000-0000-000057250000}"/>
    <cellStyle name="Comma 3 5 3 2" xfId="9561" xr:uid="{00000000-0005-0000-0000-000058250000}"/>
    <cellStyle name="Comma 3 5 3 3" xfId="9562" xr:uid="{00000000-0005-0000-0000-000059250000}"/>
    <cellStyle name="Comma 3 5 4" xfId="9563" xr:uid="{00000000-0005-0000-0000-00005A250000}"/>
    <cellStyle name="Comma 3 5 4 2" xfId="9564" xr:uid="{00000000-0005-0000-0000-00005B250000}"/>
    <cellStyle name="Comma 3 5 4 3" xfId="9565" xr:uid="{00000000-0005-0000-0000-00005C250000}"/>
    <cellStyle name="Comma 3 5 5" xfId="9566" xr:uid="{00000000-0005-0000-0000-00005D250000}"/>
    <cellStyle name="Comma 3 5 5 2" xfId="9567" xr:uid="{00000000-0005-0000-0000-00005E250000}"/>
    <cellStyle name="Comma 3 5 6" xfId="9568" xr:uid="{00000000-0005-0000-0000-00005F250000}"/>
    <cellStyle name="Comma 3 5 7" xfId="9569" xr:uid="{00000000-0005-0000-0000-000060250000}"/>
    <cellStyle name="Comma 3 6" xfId="9570" xr:uid="{00000000-0005-0000-0000-000061250000}"/>
    <cellStyle name="Comma 3 6 2" xfId="9571" xr:uid="{00000000-0005-0000-0000-000062250000}"/>
    <cellStyle name="Comma 3 6 2 2" xfId="9572" xr:uid="{00000000-0005-0000-0000-000063250000}"/>
    <cellStyle name="Comma 3 6 2 2 2" xfId="9573" xr:uid="{00000000-0005-0000-0000-000064250000}"/>
    <cellStyle name="Comma 3 6 2 3" xfId="9574" xr:uid="{00000000-0005-0000-0000-000065250000}"/>
    <cellStyle name="Comma 3 6 3" xfId="9575" xr:uid="{00000000-0005-0000-0000-000066250000}"/>
    <cellStyle name="Comma 3 6 3 2" xfId="9576" xr:uid="{00000000-0005-0000-0000-000067250000}"/>
    <cellStyle name="Comma 3 6 4" xfId="9577" xr:uid="{00000000-0005-0000-0000-000068250000}"/>
    <cellStyle name="Comma 3 6 4 2" xfId="9578" xr:uid="{00000000-0005-0000-0000-000069250000}"/>
    <cellStyle name="Comma 3 6 5" xfId="9579" xr:uid="{00000000-0005-0000-0000-00006A250000}"/>
    <cellStyle name="Comma 3 6 6" xfId="9580" xr:uid="{00000000-0005-0000-0000-00006B250000}"/>
    <cellStyle name="Comma 3 7" xfId="9581" xr:uid="{00000000-0005-0000-0000-00006C250000}"/>
    <cellStyle name="Comma 3 7 2" xfId="9582" xr:uid="{00000000-0005-0000-0000-00006D250000}"/>
    <cellStyle name="Comma 3 7 2 2" xfId="9583" xr:uid="{00000000-0005-0000-0000-00006E250000}"/>
    <cellStyle name="Comma 3 7 3" xfId="9584" xr:uid="{00000000-0005-0000-0000-00006F250000}"/>
    <cellStyle name="Comma 3 7 3 2" xfId="9585" xr:uid="{00000000-0005-0000-0000-000070250000}"/>
    <cellStyle name="Comma 3 7 4" xfId="9586" xr:uid="{00000000-0005-0000-0000-000071250000}"/>
    <cellStyle name="Comma 3 7 5" xfId="9587" xr:uid="{00000000-0005-0000-0000-000072250000}"/>
    <cellStyle name="Comma 3 8" xfId="9588" xr:uid="{00000000-0005-0000-0000-000073250000}"/>
    <cellStyle name="Comma 3 8 2" xfId="9589" xr:uid="{00000000-0005-0000-0000-000074250000}"/>
    <cellStyle name="Comma 3 9" xfId="9590" xr:uid="{00000000-0005-0000-0000-000075250000}"/>
    <cellStyle name="Comma 4" xfId="9591" xr:uid="{00000000-0005-0000-0000-000076250000}"/>
    <cellStyle name="Comma 4 2" xfId="9592" xr:uid="{00000000-0005-0000-0000-000077250000}"/>
    <cellStyle name="Comma 4 2 2" xfId="9593" xr:uid="{00000000-0005-0000-0000-000078250000}"/>
    <cellStyle name="Comma 4 2 2 2" xfId="9594" xr:uid="{00000000-0005-0000-0000-000079250000}"/>
    <cellStyle name="Comma 4 2 2 2 2" xfId="9595" xr:uid="{00000000-0005-0000-0000-00007A250000}"/>
    <cellStyle name="Comma 4 2 2 2 2 2" xfId="9596" xr:uid="{00000000-0005-0000-0000-00007B250000}"/>
    <cellStyle name="Comma 4 2 2 2 3" xfId="9597" xr:uid="{00000000-0005-0000-0000-00007C250000}"/>
    <cellStyle name="Comma 4 2 2 3" xfId="9598" xr:uid="{00000000-0005-0000-0000-00007D250000}"/>
    <cellStyle name="Comma 4 2 2 3 2" xfId="9599" xr:uid="{00000000-0005-0000-0000-00007E250000}"/>
    <cellStyle name="Comma 4 2 2 4" xfId="9600" xr:uid="{00000000-0005-0000-0000-00007F250000}"/>
    <cellStyle name="Comma 4 2 2 4 2" xfId="9601" xr:uid="{00000000-0005-0000-0000-000080250000}"/>
    <cellStyle name="Comma 4 2 2 5" xfId="9602" xr:uid="{00000000-0005-0000-0000-000081250000}"/>
    <cellStyle name="Comma 4 2 2 6" xfId="9603" xr:uid="{00000000-0005-0000-0000-000082250000}"/>
    <cellStyle name="Comma 4 2 3" xfId="9604" xr:uid="{00000000-0005-0000-0000-000083250000}"/>
    <cellStyle name="Comma 4 2 3 2" xfId="9605" xr:uid="{00000000-0005-0000-0000-000084250000}"/>
    <cellStyle name="Comma 4 2 3 2 2" xfId="9606" xr:uid="{00000000-0005-0000-0000-000085250000}"/>
    <cellStyle name="Comma 4 2 3 3" xfId="9607" xr:uid="{00000000-0005-0000-0000-000086250000}"/>
    <cellStyle name="Comma 4 2 4" xfId="9608" xr:uid="{00000000-0005-0000-0000-000087250000}"/>
    <cellStyle name="Comma 4 2 4 2" xfId="9609" xr:uid="{00000000-0005-0000-0000-000088250000}"/>
    <cellStyle name="Comma 4 2 5" xfId="9610" xr:uid="{00000000-0005-0000-0000-000089250000}"/>
    <cellStyle name="Comma 4 2 5 2" xfId="9611" xr:uid="{00000000-0005-0000-0000-00008A250000}"/>
    <cellStyle name="Comma 4 2 6" xfId="9612" xr:uid="{00000000-0005-0000-0000-00008B250000}"/>
    <cellStyle name="Comma 4 2 7" xfId="9613" xr:uid="{00000000-0005-0000-0000-00008C250000}"/>
    <cellStyle name="Comma 4 3" xfId="9614" xr:uid="{00000000-0005-0000-0000-00008D250000}"/>
    <cellStyle name="Comma 4 3 2" xfId="9615" xr:uid="{00000000-0005-0000-0000-00008E250000}"/>
    <cellStyle name="Comma 4 3 2 2" xfId="9616" xr:uid="{00000000-0005-0000-0000-00008F250000}"/>
    <cellStyle name="Comma 4 3 2 2 2" xfId="9617" xr:uid="{00000000-0005-0000-0000-000090250000}"/>
    <cellStyle name="Comma 4 3 2 3" xfId="9618" xr:uid="{00000000-0005-0000-0000-000091250000}"/>
    <cellStyle name="Comma 4 3 2 3 2" xfId="9619" xr:uid="{00000000-0005-0000-0000-000092250000}"/>
    <cellStyle name="Comma 4 3 2 4" xfId="9620" xr:uid="{00000000-0005-0000-0000-000093250000}"/>
    <cellStyle name="Comma 4 3 2 5" xfId="9621" xr:uid="{00000000-0005-0000-0000-000094250000}"/>
    <cellStyle name="Comma 4 3 3" xfId="9622" xr:uid="{00000000-0005-0000-0000-000095250000}"/>
    <cellStyle name="Comma 4 3 3 2" xfId="9623" xr:uid="{00000000-0005-0000-0000-000096250000}"/>
    <cellStyle name="Comma 4 3 4" xfId="9624" xr:uid="{00000000-0005-0000-0000-000097250000}"/>
    <cellStyle name="Comma 4 3 4 2" xfId="9625" xr:uid="{00000000-0005-0000-0000-000098250000}"/>
    <cellStyle name="Comma 4 3 5" xfId="9626" xr:uid="{00000000-0005-0000-0000-000099250000}"/>
    <cellStyle name="Comma 4 3 6" xfId="9627" xr:uid="{00000000-0005-0000-0000-00009A250000}"/>
    <cellStyle name="Comma 4 4" xfId="9628" xr:uid="{00000000-0005-0000-0000-00009B250000}"/>
    <cellStyle name="Comma 4 4 2" xfId="9629" xr:uid="{00000000-0005-0000-0000-00009C250000}"/>
    <cellStyle name="Comma 4 4 2 2" xfId="9630" xr:uid="{00000000-0005-0000-0000-00009D250000}"/>
    <cellStyle name="Comma 4 4 2 3" xfId="9631" xr:uid="{00000000-0005-0000-0000-00009E250000}"/>
    <cellStyle name="Comma 4 4 3" xfId="9632" xr:uid="{00000000-0005-0000-0000-00009F250000}"/>
    <cellStyle name="Comma 4 4 3 2" xfId="9633" xr:uid="{00000000-0005-0000-0000-0000A0250000}"/>
    <cellStyle name="Comma 4 4 4" xfId="9634" xr:uid="{00000000-0005-0000-0000-0000A1250000}"/>
    <cellStyle name="Comma 4 4 4 2" xfId="9635" xr:uid="{00000000-0005-0000-0000-0000A2250000}"/>
    <cellStyle name="Comma 4 4 5" xfId="9636" xr:uid="{00000000-0005-0000-0000-0000A3250000}"/>
    <cellStyle name="Comma 4 4 6" xfId="9637" xr:uid="{00000000-0005-0000-0000-0000A4250000}"/>
    <cellStyle name="Comma 4 5" xfId="9638" xr:uid="{00000000-0005-0000-0000-0000A5250000}"/>
    <cellStyle name="Comma 4 5 2" xfId="9639" xr:uid="{00000000-0005-0000-0000-0000A6250000}"/>
    <cellStyle name="Comma 4 5 3" xfId="9640" xr:uid="{00000000-0005-0000-0000-0000A7250000}"/>
    <cellStyle name="Comma 4 6" xfId="9641" xr:uid="{00000000-0005-0000-0000-0000A8250000}"/>
    <cellStyle name="Comma 4 6 2" xfId="9642" xr:uid="{00000000-0005-0000-0000-0000A9250000}"/>
    <cellStyle name="Comma 4 7" xfId="9643" xr:uid="{00000000-0005-0000-0000-0000AA250000}"/>
    <cellStyle name="Comma 4 7 2" xfId="9644" xr:uid="{00000000-0005-0000-0000-0000AB250000}"/>
    <cellStyle name="Comma 4 8" xfId="9645" xr:uid="{00000000-0005-0000-0000-0000AC250000}"/>
    <cellStyle name="Comma 4 9" xfId="9646" xr:uid="{00000000-0005-0000-0000-0000AD250000}"/>
    <cellStyle name="Comma 5" xfId="9647" xr:uid="{00000000-0005-0000-0000-0000AE250000}"/>
    <cellStyle name="Comma 5 2" xfId="9648" xr:uid="{00000000-0005-0000-0000-0000AF250000}"/>
    <cellStyle name="Comma 5 2 2" xfId="9649" xr:uid="{00000000-0005-0000-0000-0000B0250000}"/>
    <cellStyle name="Comma 5 2 3" xfId="9650" xr:uid="{00000000-0005-0000-0000-0000B1250000}"/>
    <cellStyle name="Comma 5 2 3 2" xfId="9651" xr:uid="{00000000-0005-0000-0000-0000B2250000}"/>
    <cellStyle name="Comma 5 2 4" xfId="9652" xr:uid="{00000000-0005-0000-0000-0000B3250000}"/>
    <cellStyle name="Comma 5 3" xfId="9653" xr:uid="{00000000-0005-0000-0000-0000B4250000}"/>
    <cellStyle name="Comma 5 3 2" xfId="9654" xr:uid="{00000000-0005-0000-0000-0000B5250000}"/>
    <cellStyle name="Comma 5 3 3" xfId="9655" xr:uid="{00000000-0005-0000-0000-0000B6250000}"/>
    <cellStyle name="Comma 5 4" xfId="9656" xr:uid="{00000000-0005-0000-0000-0000B7250000}"/>
    <cellStyle name="Comma 5 4 2" xfId="9657" xr:uid="{00000000-0005-0000-0000-0000B8250000}"/>
    <cellStyle name="Comma 5 5" xfId="9658" xr:uid="{00000000-0005-0000-0000-0000B9250000}"/>
    <cellStyle name="Comma 5 5 2" xfId="9659" xr:uid="{00000000-0005-0000-0000-0000BA250000}"/>
    <cellStyle name="Comma 5 6" xfId="9660" xr:uid="{00000000-0005-0000-0000-0000BB250000}"/>
    <cellStyle name="Comma 5 7" xfId="9661" xr:uid="{00000000-0005-0000-0000-0000BC250000}"/>
    <cellStyle name="Comma 6" xfId="9662" xr:uid="{00000000-0005-0000-0000-0000BD250000}"/>
    <cellStyle name="Comma 6 2" xfId="9663" xr:uid="{00000000-0005-0000-0000-0000BE250000}"/>
    <cellStyle name="Comma 6 2 2" xfId="9664" xr:uid="{00000000-0005-0000-0000-0000BF250000}"/>
    <cellStyle name="Comma 6 2 2 2" xfId="9665" xr:uid="{00000000-0005-0000-0000-0000C0250000}"/>
    <cellStyle name="Comma 6 2 3" xfId="9666" xr:uid="{00000000-0005-0000-0000-0000C1250000}"/>
    <cellStyle name="Comma 6 2 3 2" xfId="9667" xr:uid="{00000000-0005-0000-0000-0000C2250000}"/>
    <cellStyle name="Comma 6 2 4" xfId="9668" xr:uid="{00000000-0005-0000-0000-0000C3250000}"/>
    <cellStyle name="Comma 6 2 5" xfId="9669" xr:uid="{00000000-0005-0000-0000-0000C4250000}"/>
    <cellStyle name="Comma 6 3" xfId="9670" xr:uid="{00000000-0005-0000-0000-0000C5250000}"/>
    <cellStyle name="Comma 6 3 2" xfId="9671" xr:uid="{00000000-0005-0000-0000-0000C6250000}"/>
    <cellStyle name="Comma 6 4" xfId="9672" xr:uid="{00000000-0005-0000-0000-0000C7250000}"/>
    <cellStyle name="Comma 6 4 2" xfId="9673" xr:uid="{00000000-0005-0000-0000-0000C8250000}"/>
    <cellStyle name="Comma 6 5" xfId="9674" xr:uid="{00000000-0005-0000-0000-0000C9250000}"/>
    <cellStyle name="Comma 6 6" xfId="9675" xr:uid="{00000000-0005-0000-0000-0000CA250000}"/>
    <cellStyle name="Comma 7" xfId="9676" xr:uid="{00000000-0005-0000-0000-0000CB250000}"/>
    <cellStyle name="Comma 7 2" xfId="9677" xr:uid="{00000000-0005-0000-0000-0000CC250000}"/>
    <cellStyle name="Comma 7 2 2" xfId="9678" xr:uid="{00000000-0005-0000-0000-0000CD250000}"/>
    <cellStyle name="Comma 7 2 2 2" xfId="9679" xr:uid="{00000000-0005-0000-0000-0000CE250000}"/>
    <cellStyle name="Comma 7 2 3" xfId="9680" xr:uid="{00000000-0005-0000-0000-0000CF250000}"/>
    <cellStyle name="Comma 7 2 3 2" xfId="9681" xr:uid="{00000000-0005-0000-0000-0000D0250000}"/>
    <cellStyle name="Comma 7 2 4" xfId="9682" xr:uid="{00000000-0005-0000-0000-0000D1250000}"/>
    <cellStyle name="Comma 7 2 5" xfId="9683" xr:uid="{00000000-0005-0000-0000-0000D2250000}"/>
    <cellStyle name="Comma 7 3" xfId="9684" xr:uid="{00000000-0005-0000-0000-0000D3250000}"/>
    <cellStyle name="Comma 7 3 2" xfId="9685" xr:uid="{00000000-0005-0000-0000-0000D4250000}"/>
    <cellStyle name="Comma 7 4" xfId="9686" xr:uid="{00000000-0005-0000-0000-0000D5250000}"/>
    <cellStyle name="Comma 7 4 2" xfId="9687" xr:uid="{00000000-0005-0000-0000-0000D6250000}"/>
    <cellStyle name="Comma 7 5" xfId="9688" xr:uid="{00000000-0005-0000-0000-0000D7250000}"/>
    <cellStyle name="Comma 7 6" xfId="9689" xr:uid="{00000000-0005-0000-0000-0000D8250000}"/>
    <cellStyle name="Comma 8" xfId="9690" xr:uid="{00000000-0005-0000-0000-0000D9250000}"/>
    <cellStyle name="Comma 8 2" xfId="9691" xr:uid="{00000000-0005-0000-0000-0000DA250000}"/>
    <cellStyle name="Comma 9" xfId="9692" xr:uid="{00000000-0005-0000-0000-0000DB250000}"/>
    <cellStyle name="Comma 9 2" xfId="9693" xr:uid="{00000000-0005-0000-0000-0000DC250000}"/>
    <cellStyle name="Comma 9 2 2" xfId="9694" xr:uid="{00000000-0005-0000-0000-0000DD250000}"/>
    <cellStyle name="Comma 9 2 2 2" xfId="9695" xr:uid="{00000000-0005-0000-0000-0000DE250000}"/>
    <cellStyle name="Comma 9 2 3" xfId="9696" xr:uid="{00000000-0005-0000-0000-0000DF250000}"/>
    <cellStyle name="Comma 9 2 3 2" xfId="9697" xr:uid="{00000000-0005-0000-0000-0000E0250000}"/>
    <cellStyle name="Comma 9 2 4" xfId="9698" xr:uid="{00000000-0005-0000-0000-0000E1250000}"/>
    <cellStyle name="Comma 9 2 5" xfId="9699" xr:uid="{00000000-0005-0000-0000-0000E2250000}"/>
    <cellStyle name="Comma 9 3" xfId="9700" xr:uid="{00000000-0005-0000-0000-0000E3250000}"/>
    <cellStyle name="Comma 9 3 2" xfId="9701" xr:uid="{00000000-0005-0000-0000-0000E4250000}"/>
    <cellStyle name="Comma 9 4" xfId="9702" xr:uid="{00000000-0005-0000-0000-0000E5250000}"/>
    <cellStyle name="Comma 9 4 2" xfId="9703" xr:uid="{00000000-0005-0000-0000-0000E6250000}"/>
    <cellStyle name="Comma 9 5" xfId="9704" xr:uid="{00000000-0005-0000-0000-0000E7250000}"/>
    <cellStyle name="Comma 9 6" xfId="9705" xr:uid="{00000000-0005-0000-0000-0000E8250000}"/>
    <cellStyle name="Currency 2" xfId="9706" xr:uid="{00000000-0005-0000-0000-0000E9250000}"/>
    <cellStyle name="Currency 2 2" xfId="9707" xr:uid="{00000000-0005-0000-0000-0000EA250000}"/>
    <cellStyle name="Currency 3" xfId="9708" xr:uid="{00000000-0005-0000-0000-0000EB250000}"/>
    <cellStyle name="Currency 3 2" xfId="9709" xr:uid="{00000000-0005-0000-0000-0000EC250000}"/>
    <cellStyle name="Currency 3 2 2" xfId="9710" xr:uid="{00000000-0005-0000-0000-0000ED250000}"/>
    <cellStyle name="Currency 3 3" xfId="9711" xr:uid="{00000000-0005-0000-0000-0000EE250000}"/>
    <cellStyle name="Currency 4" xfId="9712" xr:uid="{00000000-0005-0000-0000-0000EF250000}"/>
    <cellStyle name="Currency 8" xfId="9713" xr:uid="{00000000-0005-0000-0000-0000F0250000}"/>
    <cellStyle name="Currency 8 2" xfId="9714" xr:uid="{00000000-0005-0000-0000-0000F1250000}"/>
    <cellStyle name="Explanatory Text 2" xfId="9715" xr:uid="{00000000-0005-0000-0000-0000F2250000}"/>
    <cellStyle name="Explanatory Text 2 2" xfId="9716" xr:uid="{00000000-0005-0000-0000-0000F3250000}"/>
    <cellStyle name="Explanatory Text 2 3" xfId="9717" xr:uid="{00000000-0005-0000-0000-0000F4250000}"/>
    <cellStyle name="Explanatory Text 3" xfId="9718" xr:uid="{00000000-0005-0000-0000-0000F5250000}"/>
    <cellStyle name="Explanatory Text 4" xfId="9719" xr:uid="{00000000-0005-0000-0000-0000F6250000}"/>
    <cellStyle name="Explanatory Text 5" xfId="9720" xr:uid="{00000000-0005-0000-0000-0000F7250000}"/>
    <cellStyle name="Good 2" xfId="9721" xr:uid="{00000000-0005-0000-0000-0000F8250000}"/>
    <cellStyle name="Good 2 2" xfId="9722" xr:uid="{00000000-0005-0000-0000-0000F9250000}"/>
    <cellStyle name="Good 2 3" xfId="9723" xr:uid="{00000000-0005-0000-0000-0000FA250000}"/>
    <cellStyle name="Good 3" xfId="9724" xr:uid="{00000000-0005-0000-0000-0000FB250000}"/>
    <cellStyle name="Good 4" xfId="9725" xr:uid="{00000000-0005-0000-0000-0000FC250000}"/>
    <cellStyle name="Good 5" xfId="9726" xr:uid="{00000000-0005-0000-0000-0000FD250000}"/>
    <cellStyle name="Heading 1" xfId="9727" builtinId="16" customBuiltin="1"/>
    <cellStyle name="Heading 1 2" xfId="9728" xr:uid="{00000000-0005-0000-0000-0000FF250000}"/>
    <cellStyle name="Heading 1 2 2" xfId="9729" xr:uid="{00000000-0005-0000-0000-000000260000}"/>
    <cellStyle name="Heading 1 3" xfId="9730" xr:uid="{00000000-0005-0000-0000-000001260000}"/>
    <cellStyle name="Heading 1 4" xfId="9731" xr:uid="{00000000-0005-0000-0000-000002260000}"/>
    <cellStyle name="Heading 2" xfId="9732" builtinId="17" customBuiltin="1"/>
    <cellStyle name="Heading 2 2" xfId="9733" xr:uid="{00000000-0005-0000-0000-000004260000}"/>
    <cellStyle name="Heading 2 2 2" xfId="9734" xr:uid="{00000000-0005-0000-0000-000005260000}"/>
    <cellStyle name="Heading 2 3" xfId="9735" xr:uid="{00000000-0005-0000-0000-000006260000}"/>
    <cellStyle name="Heading 2 4" xfId="9736" xr:uid="{00000000-0005-0000-0000-000007260000}"/>
    <cellStyle name="Heading 3" xfId="9737" builtinId="18" customBuiltin="1"/>
    <cellStyle name="Heading 3 2" xfId="9738" xr:uid="{00000000-0005-0000-0000-000009260000}"/>
    <cellStyle name="Heading 3 2 2" xfId="9739" xr:uid="{00000000-0005-0000-0000-00000A260000}"/>
    <cellStyle name="Heading 3 3" xfId="9740" xr:uid="{00000000-0005-0000-0000-00000B260000}"/>
    <cellStyle name="Heading 3 4" xfId="9741" xr:uid="{00000000-0005-0000-0000-00000C260000}"/>
    <cellStyle name="Heading 4" xfId="9742" builtinId="19" customBuiltin="1"/>
    <cellStyle name="Heading 4 2" xfId="9743" xr:uid="{00000000-0005-0000-0000-00000E260000}"/>
    <cellStyle name="Heading 4 2 2" xfId="9744" xr:uid="{00000000-0005-0000-0000-00000F260000}"/>
    <cellStyle name="Heading 4 3" xfId="9745" xr:uid="{00000000-0005-0000-0000-000010260000}"/>
    <cellStyle name="Heading 4 4" xfId="9746" xr:uid="{00000000-0005-0000-0000-000011260000}"/>
    <cellStyle name="Input 2" xfId="9747" xr:uid="{00000000-0005-0000-0000-000012260000}"/>
    <cellStyle name="Input 2 2" xfId="9748" xr:uid="{00000000-0005-0000-0000-000013260000}"/>
    <cellStyle name="Input 2 3" xfId="9749" xr:uid="{00000000-0005-0000-0000-000014260000}"/>
    <cellStyle name="Input 3" xfId="9750" xr:uid="{00000000-0005-0000-0000-000015260000}"/>
    <cellStyle name="Input 4" xfId="9751" xr:uid="{00000000-0005-0000-0000-000016260000}"/>
    <cellStyle name="Input 5" xfId="9752" xr:uid="{00000000-0005-0000-0000-000017260000}"/>
    <cellStyle name="Linked Cell 2" xfId="9753" xr:uid="{00000000-0005-0000-0000-000018260000}"/>
    <cellStyle name="Linked Cell 2 2" xfId="9754" xr:uid="{00000000-0005-0000-0000-000019260000}"/>
    <cellStyle name="Linked Cell 2 3" xfId="9755" xr:uid="{00000000-0005-0000-0000-00001A260000}"/>
    <cellStyle name="Linked Cell 3" xfId="9756" xr:uid="{00000000-0005-0000-0000-00001B260000}"/>
    <cellStyle name="Linked Cell 4" xfId="9757" xr:uid="{00000000-0005-0000-0000-00001C260000}"/>
    <cellStyle name="Linked Cell 5" xfId="9758" xr:uid="{00000000-0005-0000-0000-00001D260000}"/>
    <cellStyle name="Lotus to Excel" xfId="9759" xr:uid="{00000000-0005-0000-0000-00001E260000}"/>
    <cellStyle name="Neutral 2" xfId="9760" xr:uid="{00000000-0005-0000-0000-00001F260000}"/>
    <cellStyle name="Neutral 2 2" xfId="9761" xr:uid="{00000000-0005-0000-0000-000020260000}"/>
    <cellStyle name="Neutral 2 3" xfId="9762" xr:uid="{00000000-0005-0000-0000-000021260000}"/>
    <cellStyle name="Neutral 3" xfId="9763" xr:uid="{00000000-0005-0000-0000-000022260000}"/>
    <cellStyle name="Neutral 4" xfId="9764" xr:uid="{00000000-0005-0000-0000-000023260000}"/>
    <cellStyle name="Neutral 5" xfId="9765" xr:uid="{00000000-0005-0000-0000-000024260000}"/>
    <cellStyle name="Normal" xfId="0" builtinId="0"/>
    <cellStyle name="Normal 10" xfId="9766" xr:uid="{00000000-0005-0000-0000-000026260000}"/>
    <cellStyle name="Normal 10 2" xfId="9767" xr:uid="{00000000-0005-0000-0000-000027260000}"/>
    <cellStyle name="Normal 10 3" xfId="9768" xr:uid="{00000000-0005-0000-0000-000028260000}"/>
    <cellStyle name="Normal 10 4" xfId="9769" xr:uid="{00000000-0005-0000-0000-000029260000}"/>
    <cellStyle name="Normal 11" xfId="9770" xr:uid="{00000000-0005-0000-0000-00002A260000}"/>
    <cellStyle name="Normal 12" xfId="9771" xr:uid="{00000000-0005-0000-0000-00002B260000}"/>
    <cellStyle name="Normal 12 2" xfId="9772" xr:uid="{00000000-0005-0000-0000-00002C260000}"/>
    <cellStyle name="Normal 12 2 2" xfId="9773" xr:uid="{00000000-0005-0000-0000-00002D260000}"/>
    <cellStyle name="Normal 12 2 2 2" xfId="9774" xr:uid="{00000000-0005-0000-0000-00002E260000}"/>
    <cellStyle name="Normal 12 2 2 2 2" xfId="9775" xr:uid="{00000000-0005-0000-0000-00002F260000}"/>
    <cellStyle name="Normal 12 2 2 2 2 2" xfId="9776" xr:uid="{00000000-0005-0000-0000-000030260000}"/>
    <cellStyle name="Normal 12 2 2 2 3" xfId="9777" xr:uid="{00000000-0005-0000-0000-000031260000}"/>
    <cellStyle name="Normal 12 2 2 2 3 2" xfId="9778" xr:uid="{00000000-0005-0000-0000-000032260000}"/>
    <cellStyle name="Normal 12 2 2 2 4" xfId="9779" xr:uid="{00000000-0005-0000-0000-000033260000}"/>
    <cellStyle name="Normal 12 2 2 2 5" xfId="9780" xr:uid="{00000000-0005-0000-0000-000034260000}"/>
    <cellStyle name="Normal 12 2 2 3" xfId="9781" xr:uid="{00000000-0005-0000-0000-000035260000}"/>
    <cellStyle name="Normal 12 2 2 3 2" xfId="9782" xr:uid="{00000000-0005-0000-0000-000036260000}"/>
    <cellStyle name="Normal 12 2 2 4" xfId="9783" xr:uid="{00000000-0005-0000-0000-000037260000}"/>
    <cellStyle name="Normal 12 2 2 4 2" xfId="9784" xr:uid="{00000000-0005-0000-0000-000038260000}"/>
    <cellStyle name="Normal 12 2 2 5" xfId="9785" xr:uid="{00000000-0005-0000-0000-000039260000}"/>
    <cellStyle name="Normal 12 2 2 6" xfId="9786" xr:uid="{00000000-0005-0000-0000-00003A260000}"/>
    <cellStyle name="Normal 12 2 3" xfId="9787" xr:uid="{00000000-0005-0000-0000-00003B260000}"/>
    <cellStyle name="Normal 12 2 3 2" xfId="9788" xr:uid="{00000000-0005-0000-0000-00003C260000}"/>
    <cellStyle name="Normal 12 2 3 2 2" xfId="9789" xr:uid="{00000000-0005-0000-0000-00003D260000}"/>
    <cellStyle name="Normal 12 2 3 3" xfId="9790" xr:uid="{00000000-0005-0000-0000-00003E260000}"/>
    <cellStyle name="Normal 12 2 3 3 2" xfId="9791" xr:uid="{00000000-0005-0000-0000-00003F260000}"/>
    <cellStyle name="Normal 12 2 3 4" xfId="9792" xr:uid="{00000000-0005-0000-0000-000040260000}"/>
    <cellStyle name="Normal 12 2 3 5" xfId="9793" xr:uid="{00000000-0005-0000-0000-000041260000}"/>
    <cellStyle name="Normal 12 2 4" xfId="9794" xr:uid="{00000000-0005-0000-0000-000042260000}"/>
    <cellStyle name="Normal 12 2 4 2" xfId="9795" xr:uid="{00000000-0005-0000-0000-000043260000}"/>
    <cellStyle name="Normal 12 2 5" xfId="9796" xr:uid="{00000000-0005-0000-0000-000044260000}"/>
    <cellStyle name="Normal 12 2 5 2" xfId="9797" xr:uid="{00000000-0005-0000-0000-000045260000}"/>
    <cellStyle name="Normal 12 2 6" xfId="9798" xr:uid="{00000000-0005-0000-0000-000046260000}"/>
    <cellStyle name="Normal 12 2 7" xfId="9799" xr:uid="{00000000-0005-0000-0000-000047260000}"/>
    <cellStyle name="Normal 12 3" xfId="9800" xr:uid="{00000000-0005-0000-0000-000048260000}"/>
    <cellStyle name="Normal 12 3 2" xfId="9801" xr:uid="{00000000-0005-0000-0000-000049260000}"/>
    <cellStyle name="Normal 12 3 2 2" xfId="9802" xr:uid="{00000000-0005-0000-0000-00004A260000}"/>
    <cellStyle name="Normal 12 3 2 2 2" xfId="9803" xr:uid="{00000000-0005-0000-0000-00004B260000}"/>
    <cellStyle name="Normal 12 3 2 3" xfId="9804" xr:uid="{00000000-0005-0000-0000-00004C260000}"/>
    <cellStyle name="Normal 12 3 2 3 2" xfId="9805" xr:uid="{00000000-0005-0000-0000-00004D260000}"/>
    <cellStyle name="Normal 12 3 2 4" xfId="9806" xr:uid="{00000000-0005-0000-0000-00004E260000}"/>
    <cellStyle name="Normal 12 3 2 5" xfId="9807" xr:uid="{00000000-0005-0000-0000-00004F260000}"/>
    <cellStyle name="Normal 12 3 3" xfId="9808" xr:uid="{00000000-0005-0000-0000-000050260000}"/>
    <cellStyle name="Normal 12 3 3 2" xfId="9809" xr:uid="{00000000-0005-0000-0000-000051260000}"/>
    <cellStyle name="Normal 12 3 4" xfId="9810" xr:uid="{00000000-0005-0000-0000-000052260000}"/>
    <cellStyle name="Normal 12 3 4 2" xfId="9811" xr:uid="{00000000-0005-0000-0000-000053260000}"/>
    <cellStyle name="Normal 12 3 5" xfId="9812" xr:uid="{00000000-0005-0000-0000-000054260000}"/>
    <cellStyle name="Normal 12 3 6" xfId="9813" xr:uid="{00000000-0005-0000-0000-000055260000}"/>
    <cellStyle name="Normal 12 4" xfId="9814" xr:uid="{00000000-0005-0000-0000-000056260000}"/>
    <cellStyle name="Normal 12 4 2" xfId="9815" xr:uid="{00000000-0005-0000-0000-000057260000}"/>
    <cellStyle name="Normal 12 4 2 2" xfId="9816" xr:uid="{00000000-0005-0000-0000-000058260000}"/>
    <cellStyle name="Normal 12 4 3" xfId="9817" xr:uid="{00000000-0005-0000-0000-000059260000}"/>
    <cellStyle name="Normal 12 4 3 2" xfId="9818" xr:uid="{00000000-0005-0000-0000-00005A260000}"/>
    <cellStyle name="Normal 12 4 4" xfId="9819" xr:uid="{00000000-0005-0000-0000-00005B260000}"/>
    <cellStyle name="Normal 12 4 5" xfId="9820" xr:uid="{00000000-0005-0000-0000-00005C260000}"/>
    <cellStyle name="Normal 12 5" xfId="9821" xr:uid="{00000000-0005-0000-0000-00005D260000}"/>
    <cellStyle name="Normal 12 5 2" xfId="9822" xr:uid="{00000000-0005-0000-0000-00005E260000}"/>
    <cellStyle name="Normal 12 6" xfId="9823" xr:uid="{00000000-0005-0000-0000-00005F260000}"/>
    <cellStyle name="Normal 12 6 2" xfId="9824" xr:uid="{00000000-0005-0000-0000-000060260000}"/>
    <cellStyle name="Normal 12 7" xfId="9825" xr:uid="{00000000-0005-0000-0000-000061260000}"/>
    <cellStyle name="Normal 12 8" xfId="9826" xr:uid="{00000000-0005-0000-0000-000062260000}"/>
    <cellStyle name="Normal 13" xfId="9827" xr:uid="{00000000-0005-0000-0000-000063260000}"/>
    <cellStyle name="Normal 14" xfId="9828" xr:uid="{00000000-0005-0000-0000-000064260000}"/>
    <cellStyle name="Normal 15" xfId="9829" xr:uid="{00000000-0005-0000-0000-000065260000}"/>
    <cellStyle name="Normal 16" xfId="9830" xr:uid="{00000000-0005-0000-0000-000066260000}"/>
    <cellStyle name="Normal 17" xfId="9831" xr:uid="{00000000-0005-0000-0000-000067260000}"/>
    <cellStyle name="Normal 18" xfId="9832" xr:uid="{00000000-0005-0000-0000-000068260000}"/>
    <cellStyle name="Normal 18 2" xfId="9833" xr:uid="{00000000-0005-0000-0000-000069260000}"/>
    <cellStyle name="Normal 18 2 2" xfId="9834" xr:uid="{00000000-0005-0000-0000-00006A260000}"/>
    <cellStyle name="Normal 18 2 2 2" xfId="9835" xr:uid="{00000000-0005-0000-0000-00006B260000}"/>
    <cellStyle name="Normal 18 2 2 2 2" xfId="9836" xr:uid="{00000000-0005-0000-0000-00006C260000}"/>
    <cellStyle name="Normal 18 2 2 2 2 2" xfId="9837" xr:uid="{00000000-0005-0000-0000-00006D260000}"/>
    <cellStyle name="Normal 18 2 2 2 3" xfId="9838" xr:uid="{00000000-0005-0000-0000-00006E260000}"/>
    <cellStyle name="Normal 18 2 2 2 3 2" xfId="9839" xr:uid="{00000000-0005-0000-0000-00006F260000}"/>
    <cellStyle name="Normal 18 2 2 2 4" xfId="9840" xr:uid="{00000000-0005-0000-0000-000070260000}"/>
    <cellStyle name="Normal 18 2 2 2 5" xfId="9841" xr:uid="{00000000-0005-0000-0000-000071260000}"/>
    <cellStyle name="Normal 18 2 2 3" xfId="9842" xr:uid="{00000000-0005-0000-0000-000072260000}"/>
    <cellStyle name="Normal 18 2 2 3 2" xfId="9843" xr:uid="{00000000-0005-0000-0000-000073260000}"/>
    <cellStyle name="Normal 18 2 2 4" xfId="9844" xr:uid="{00000000-0005-0000-0000-000074260000}"/>
    <cellStyle name="Normal 18 2 2 4 2" xfId="9845" xr:uid="{00000000-0005-0000-0000-000075260000}"/>
    <cellStyle name="Normal 18 2 2 5" xfId="9846" xr:uid="{00000000-0005-0000-0000-000076260000}"/>
    <cellStyle name="Normal 18 2 2 6" xfId="9847" xr:uid="{00000000-0005-0000-0000-000077260000}"/>
    <cellStyle name="Normal 18 2 3" xfId="9848" xr:uid="{00000000-0005-0000-0000-000078260000}"/>
    <cellStyle name="Normal 18 2 3 2" xfId="9849" xr:uid="{00000000-0005-0000-0000-000079260000}"/>
    <cellStyle name="Normal 18 2 3 2 2" xfId="9850" xr:uid="{00000000-0005-0000-0000-00007A260000}"/>
    <cellStyle name="Normal 18 2 3 3" xfId="9851" xr:uid="{00000000-0005-0000-0000-00007B260000}"/>
    <cellStyle name="Normal 18 2 3 3 2" xfId="9852" xr:uid="{00000000-0005-0000-0000-00007C260000}"/>
    <cellStyle name="Normal 18 2 3 4" xfId="9853" xr:uid="{00000000-0005-0000-0000-00007D260000}"/>
    <cellStyle name="Normal 18 2 3 5" xfId="9854" xr:uid="{00000000-0005-0000-0000-00007E260000}"/>
    <cellStyle name="Normal 18 2 4" xfId="9855" xr:uid="{00000000-0005-0000-0000-00007F260000}"/>
    <cellStyle name="Normal 18 2 4 2" xfId="9856" xr:uid="{00000000-0005-0000-0000-000080260000}"/>
    <cellStyle name="Normal 18 2 5" xfId="9857" xr:uid="{00000000-0005-0000-0000-000081260000}"/>
    <cellStyle name="Normal 18 2 5 2" xfId="9858" xr:uid="{00000000-0005-0000-0000-000082260000}"/>
    <cellStyle name="Normal 18 2 6" xfId="9859" xr:uid="{00000000-0005-0000-0000-000083260000}"/>
    <cellStyle name="Normal 18 2 7" xfId="9860" xr:uid="{00000000-0005-0000-0000-000084260000}"/>
    <cellStyle name="Normal 18 3" xfId="9861" xr:uid="{00000000-0005-0000-0000-000085260000}"/>
    <cellStyle name="Normal 18 3 2" xfId="9862" xr:uid="{00000000-0005-0000-0000-000086260000}"/>
    <cellStyle name="Normal 18 3 2 2" xfId="9863" xr:uid="{00000000-0005-0000-0000-000087260000}"/>
    <cellStyle name="Normal 18 3 2 2 2" xfId="9864" xr:uid="{00000000-0005-0000-0000-000088260000}"/>
    <cellStyle name="Normal 18 3 2 3" xfId="9865" xr:uid="{00000000-0005-0000-0000-000089260000}"/>
    <cellStyle name="Normal 18 3 2 3 2" xfId="9866" xr:uid="{00000000-0005-0000-0000-00008A260000}"/>
    <cellStyle name="Normal 18 3 2 4" xfId="9867" xr:uid="{00000000-0005-0000-0000-00008B260000}"/>
    <cellStyle name="Normal 18 3 2 5" xfId="9868" xr:uid="{00000000-0005-0000-0000-00008C260000}"/>
    <cellStyle name="Normal 18 3 3" xfId="9869" xr:uid="{00000000-0005-0000-0000-00008D260000}"/>
    <cellStyle name="Normal 18 3 3 2" xfId="9870" xr:uid="{00000000-0005-0000-0000-00008E260000}"/>
    <cellStyle name="Normal 18 3 4" xfId="9871" xr:uid="{00000000-0005-0000-0000-00008F260000}"/>
    <cellStyle name="Normal 18 3 4 2" xfId="9872" xr:uid="{00000000-0005-0000-0000-000090260000}"/>
    <cellStyle name="Normal 18 3 5" xfId="9873" xr:uid="{00000000-0005-0000-0000-000091260000}"/>
    <cellStyle name="Normal 18 3 6" xfId="9874" xr:uid="{00000000-0005-0000-0000-000092260000}"/>
    <cellStyle name="Normal 18 4" xfId="9875" xr:uid="{00000000-0005-0000-0000-000093260000}"/>
    <cellStyle name="Normal 18 4 2" xfId="9876" xr:uid="{00000000-0005-0000-0000-000094260000}"/>
    <cellStyle name="Normal 18 4 2 2" xfId="9877" xr:uid="{00000000-0005-0000-0000-000095260000}"/>
    <cellStyle name="Normal 18 4 3" xfId="9878" xr:uid="{00000000-0005-0000-0000-000096260000}"/>
    <cellStyle name="Normal 18 4 3 2" xfId="9879" xr:uid="{00000000-0005-0000-0000-000097260000}"/>
    <cellStyle name="Normal 18 4 4" xfId="9880" xr:uid="{00000000-0005-0000-0000-000098260000}"/>
    <cellStyle name="Normal 18 4 5" xfId="9881" xr:uid="{00000000-0005-0000-0000-000099260000}"/>
    <cellStyle name="Normal 18 5" xfId="9882" xr:uid="{00000000-0005-0000-0000-00009A260000}"/>
    <cellStyle name="Normal 18 5 2" xfId="9883" xr:uid="{00000000-0005-0000-0000-00009B260000}"/>
    <cellStyle name="Normal 18 6" xfId="9884" xr:uid="{00000000-0005-0000-0000-00009C260000}"/>
    <cellStyle name="Normal 18 6 2" xfId="9885" xr:uid="{00000000-0005-0000-0000-00009D260000}"/>
    <cellStyle name="Normal 18 7" xfId="9886" xr:uid="{00000000-0005-0000-0000-00009E260000}"/>
    <cellStyle name="Normal 18 8" xfId="9887" xr:uid="{00000000-0005-0000-0000-00009F260000}"/>
    <cellStyle name="Normal 19" xfId="9888" xr:uid="{00000000-0005-0000-0000-0000A0260000}"/>
    <cellStyle name="Normal 2" xfId="9889" xr:uid="{00000000-0005-0000-0000-0000A1260000}"/>
    <cellStyle name="Normal 2 2" xfId="9890" xr:uid="{00000000-0005-0000-0000-0000A2260000}"/>
    <cellStyle name="Normal 2 2 2" xfId="9891" xr:uid="{00000000-0005-0000-0000-0000A3260000}"/>
    <cellStyle name="Normal 2 2 2 2" xfId="9892" xr:uid="{00000000-0005-0000-0000-0000A4260000}"/>
    <cellStyle name="Normal 2 2 2 3" xfId="9893" xr:uid="{00000000-0005-0000-0000-0000A5260000}"/>
    <cellStyle name="Normal 2 2 2 3 2" xfId="9894" xr:uid="{00000000-0005-0000-0000-0000A6260000}"/>
    <cellStyle name="Normal 2 2 2 4" xfId="9895" xr:uid="{00000000-0005-0000-0000-0000A7260000}"/>
    <cellStyle name="Normal 2 2 2 5" xfId="9896" xr:uid="{00000000-0005-0000-0000-0000A8260000}"/>
    <cellStyle name="Normal 2 2 3" xfId="9897" xr:uid="{00000000-0005-0000-0000-0000A9260000}"/>
    <cellStyle name="Normal 2 2 4" xfId="9898" xr:uid="{00000000-0005-0000-0000-0000AA260000}"/>
    <cellStyle name="Normal 2 2 4 2" xfId="9899" xr:uid="{00000000-0005-0000-0000-0000AB260000}"/>
    <cellStyle name="Normal 2 2 4 3" xfId="9900" xr:uid="{00000000-0005-0000-0000-0000AC260000}"/>
    <cellStyle name="Normal 2 2 5" xfId="9901" xr:uid="{00000000-0005-0000-0000-0000AD260000}"/>
    <cellStyle name="Normal 2 3" xfId="9902" xr:uid="{00000000-0005-0000-0000-0000AE260000}"/>
    <cellStyle name="Normal 2 3 2" xfId="9903" xr:uid="{00000000-0005-0000-0000-0000AF260000}"/>
    <cellStyle name="Normal 2 3 3" xfId="9904" xr:uid="{00000000-0005-0000-0000-0000B0260000}"/>
    <cellStyle name="Normal 2 3 4" xfId="9905" xr:uid="{00000000-0005-0000-0000-0000B1260000}"/>
    <cellStyle name="Normal 2 4" xfId="9906" xr:uid="{00000000-0005-0000-0000-0000B2260000}"/>
    <cellStyle name="Normal 2 4 2" xfId="9907" xr:uid="{00000000-0005-0000-0000-0000B3260000}"/>
    <cellStyle name="Normal 2 4 2 2" xfId="9908" xr:uid="{00000000-0005-0000-0000-0000B4260000}"/>
    <cellStyle name="Normal 2 4 2 2 2" xfId="9909" xr:uid="{00000000-0005-0000-0000-0000B5260000}"/>
    <cellStyle name="Normal 2 4 2 2 2 2" xfId="9910" xr:uid="{00000000-0005-0000-0000-0000B6260000}"/>
    <cellStyle name="Normal 2 4 2 2 2 2 2" xfId="9911" xr:uid="{00000000-0005-0000-0000-0000B7260000}"/>
    <cellStyle name="Normal 2 4 2 2 2 3" xfId="9912" xr:uid="{00000000-0005-0000-0000-0000B8260000}"/>
    <cellStyle name="Normal 2 4 2 2 2 3 2" xfId="9913" xr:uid="{00000000-0005-0000-0000-0000B9260000}"/>
    <cellStyle name="Normal 2 4 2 2 2 4" xfId="9914" xr:uid="{00000000-0005-0000-0000-0000BA260000}"/>
    <cellStyle name="Normal 2 4 2 2 2 5" xfId="9915" xr:uid="{00000000-0005-0000-0000-0000BB260000}"/>
    <cellStyle name="Normal 2 4 2 2 2 6" xfId="9916" xr:uid="{00000000-0005-0000-0000-0000BC260000}"/>
    <cellStyle name="Normal 2 4 2 2 3" xfId="9917" xr:uid="{00000000-0005-0000-0000-0000BD260000}"/>
    <cellStyle name="Normal 2 4 2 2 3 2" xfId="9918" xr:uid="{00000000-0005-0000-0000-0000BE260000}"/>
    <cellStyle name="Normal 2 4 2 2 3 3" xfId="9919" xr:uid="{00000000-0005-0000-0000-0000BF260000}"/>
    <cellStyle name="Normal 2 4 2 2 4" xfId="9920" xr:uid="{00000000-0005-0000-0000-0000C0260000}"/>
    <cellStyle name="Normal 2 4 2 2 4 2" xfId="9921" xr:uid="{00000000-0005-0000-0000-0000C1260000}"/>
    <cellStyle name="Normal 2 4 2 2 4 3" xfId="9922" xr:uid="{00000000-0005-0000-0000-0000C2260000}"/>
    <cellStyle name="Normal 2 4 2 2 5" xfId="9923" xr:uid="{00000000-0005-0000-0000-0000C3260000}"/>
    <cellStyle name="Normal 2 4 2 2 6" xfId="9924" xr:uid="{00000000-0005-0000-0000-0000C4260000}"/>
    <cellStyle name="Normal 2 4 2 2 7" xfId="9925" xr:uid="{00000000-0005-0000-0000-0000C5260000}"/>
    <cellStyle name="Normal 2 4 2 3" xfId="9926" xr:uid="{00000000-0005-0000-0000-0000C6260000}"/>
    <cellStyle name="Normal 2 4 2 3 2" xfId="9927" xr:uid="{00000000-0005-0000-0000-0000C7260000}"/>
    <cellStyle name="Normal 2 4 2 3 2 2" xfId="9928" xr:uid="{00000000-0005-0000-0000-0000C8260000}"/>
    <cellStyle name="Normal 2 4 2 3 3" xfId="9929" xr:uid="{00000000-0005-0000-0000-0000C9260000}"/>
    <cellStyle name="Normal 2 4 2 3 3 2" xfId="9930" xr:uid="{00000000-0005-0000-0000-0000CA260000}"/>
    <cellStyle name="Normal 2 4 2 3 4" xfId="9931" xr:uid="{00000000-0005-0000-0000-0000CB260000}"/>
    <cellStyle name="Normal 2 4 2 3 5" xfId="9932" xr:uid="{00000000-0005-0000-0000-0000CC260000}"/>
    <cellStyle name="Normal 2 4 2 3 6" xfId="9933" xr:uid="{00000000-0005-0000-0000-0000CD260000}"/>
    <cellStyle name="Normal 2 4 2 4" xfId="9934" xr:uid="{00000000-0005-0000-0000-0000CE260000}"/>
    <cellStyle name="Normal 2 4 2 4 2" xfId="9935" xr:uid="{00000000-0005-0000-0000-0000CF260000}"/>
    <cellStyle name="Normal 2 4 2 4 3" xfId="9936" xr:uid="{00000000-0005-0000-0000-0000D0260000}"/>
    <cellStyle name="Normal 2 4 2 5" xfId="9937" xr:uid="{00000000-0005-0000-0000-0000D1260000}"/>
    <cellStyle name="Normal 2 4 2 5 2" xfId="9938" xr:uid="{00000000-0005-0000-0000-0000D2260000}"/>
    <cellStyle name="Normal 2 4 2 5 3" xfId="9939" xr:uid="{00000000-0005-0000-0000-0000D3260000}"/>
    <cellStyle name="Normal 2 4 2 6" xfId="9940" xr:uid="{00000000-0005-0000-0000-0000D4260000}"/>
    <cellStyle name="Normal 2 4 2 7" xfId="9941" xr:uid="{00000000-0005-0000-0000-0000D5260000}"/>
    <cellStyle name="Normal 2 4 2 8" xfId="9942" xr:uid="{00000000-0005-0000-0000-0000D6260000}"/>
    <cellStyle name="Normal 2 4 3" xfId="9943" xr:uid="{00000000-0005-0000-0000-0000D7260000}"/>
    <cellStyle name="Normal 2 4 3 2" xfId="9944" xr:uid="{00000000-0005-0000-0000-0000D8260000}"/>
    <cellStyle name="Normal 2 4 3 2 2" xfId="9945" xr:uid="{00000000-0005-0000-0000-0000D9260000}"/>
    <cellStyle name="Normal 2 4 3 2 2 2" xfId="9946" xr:uid="{00000000-0005-0000-0000-0000DA260000}"/>
    <cellStyle name="Normal 2 4 3 2 3" xfId="9947" xr:uid="{00000000-0005-0000-0000-0000DB260000}"/>
    <cellStyle name="Normal 2 4 3 2 3 2" xfId="9948" xr:uid="{00000000-0005-0000-0000-0000DC260000}"/>
    <cellStyle name="Normal 2 4 3 2 4" xfId="9949" xr:uid="{00000000-0005-0000-0000-0000DD260000}"/>
    <cellStyle name="Normal 2 4 3 2 5" xfId="9950" xr:uid="{00000000-0005-0000-0000-0000DE260000}"/>
    <cellStyle name="Normal 2 4 3 2 6" xfId="9951" xr:uid="{00000000-0005-0000-0000-0000DF260000}"/>
    <cellStyle name="Normal 2 4 3 3" xfId="9952" xr:uid="{00000000-0005-0000-0000-0000E0260000}"/>
    <cellStyle name="Normal 2 4 3 3 2" xfId="9953" xr:uid="{00000000-0005-0000-0000-0000E1260000}"/>
    <cellStyle name="Normal 2 4 3 3 3" xfId="9954" xr:uid="{00000000-0005-0000-0000-0000E2260000}"/>
    <cellStyle name="Normal 2 4 3 4" xfId="9955" xr:uid="{00000000-0005-0000-0000-0000E3260000}"/>
    <cellStyle name="Normal 2 4 3 4 2" xfId="9956" xr:uid="{00000000-0005-0000-0000-0000E4260000}"/>
    <cellStyle name="Normal 2 4 3 4 3" xfId="9957" xr:uid="{00000000-0005-0000-0000-0000E5260000}"/>
    <cellStyle name="Normal 2 4 3 5" xfId="9958" xr:uid="{00000000-0005-0000-0000-0000E6260000}"/>
    <cellStyle name="Normal 2 4 3 6" xfId="9959" xr:uid="{00000000-0005-0000-0000-0000E7260000}"/>
    <cellStyle name="Normal 2 4 3 7" xfId="9960" xr:uid="{00000000-0005-0000-0000-0000E8260000}"/>
    <cellStyle name="Normal 2 4 4" xfId="9961" xr:uid="{00000000-0005-0000-0000-0000E9260000}"/>
    <cellStyle name="Normal 2 4 4 2" xfId="9962" xr:uid="{00000000-0005-0000-0000-0000EA260000}"/>
    <cellStyle name="Normal 2 4 4 2 2" xfId="9963" xr:uid="{00000000-0005-0000-0000-0000EB260000}"/>
    <cellStyle name="Normal 2 4 4 3" xfId="9964" xr:uid="{00000000-0005-0000-0000-0000EC260000}"/>
    <cellStyle name="Normal 2 4 4 3 2" xfId="9965" xr:uid="{00000000-0005-0000-0000-0000ED260000}"/>
    <cellStyle name="Normal 2 4 4 4" xfId="9966" xr:uid="{00000000-0005-0000-0000-0000EE260000}"/>
    <cellStyle name="Normal 2 4 4 5" xfId="9967" xr:uid="{00000000-0005-0000-0000-0000EF260000}"/>
    <cellStyle name="Normal 2 4 4 6" xfId="9968" xr:uid="{00000000-0005-0000-0000-0000F0260000}"/>
    <cellStyle name="Normal 2 4 5" xfId="9969" xr:uid="{00000000-0005-0000-0000-0000F1260000}"/>
    <cellStyle name="Normal 2 4 5 2" xfId="9970" xr:uid="{00000000-0005-0000-0000-0000F2260000}"/>
    <cellStyle name="Normal 2 4 5 3" xfId="9971" xr:uid="{00000000-0005-0000-0000-0000F3260000}"/>
    <cellStyle name="Normal 2 4 6" xfId="9972" xr:uid="{00000000-0005-0000-0000-0000F4260000}"/>
    <cellStyle name="Normal 2 4 6 2" xfId="9973" xr:uid="{00000000-0005-0000-0000-0000F5260000}"/>
    <cellStyle name="Normal 2 4 6 3" xfId="9974" xr:uid="{00000000-0005-0000-0000-0000F6260000}"/>
    <cellStyle name="Normal 2 4 7" xfId="9975" xr:uid="{00000000-0005-0000-0000-0000F7260000}"/>
    <cellStyle name="Normal 2 4 8" xfId="9976" xr:uid="{00000000-0005-0000-0000-0000F8260000}"/>
    <cellStyle name="Normal 2 4 9" xfId="9977" xr:uid="{00000000-0005-0000-0000-0000F9260000}"/>
    <cellStyle name="Normal 2 5" xfId="9978" xr:uid="{00000000-0005-0000-0000-0000FA260000}"/>
    <cellStyle name="Normal 2 5 2" xfId="9979" xr:uid="{00000000-0005-0000-0000-0000FB260000}"/>
    <cellStyle name="Normal 2 5 2 2" xfId="9980" xr:uid="{00000000-0005-0000-0000-0000FC260000}"/>
    <cellStyle name="Normal 2 5 2 3" xfId="9981" xr:uid="{00000000-0005-0000-0000-0000FD260000}"/>
    <cellStyle name="Normal 2 5 2 4" xfId="9982" xr:uid="{00000000-0005-0000-0000-0000FE260000}"/>
    <cellStyle name="Normal 2 5 3" xfId="9983" xr:uid="{00000000-0005-0000-0000-0000FF260000}"/>
    <cellStyle name="Normal 2 5 4" xfId="9984" xr:uid="{00000000-0005-0000-0000-000000270000}"/>
    <cellStyle name="Normal 2 5 5" xfId="9985" xr:uid="{00000000-0005-0000-0000-000001270000}"/>
    <cellStyle name="Normal 2 5 6" xfId="9986" xr:uid="{00000000-0005-0000-0000-000002270000}"/>
    <cellStyle name="Normal 2 6" xfId="9987" xr:uid="{00000000-0005-0000-0000-000003270000}"/>
    <cellStyle name="Normal 2 7" xfId="9988" xr:uid="{00000000-0005-0000-0000-000004270000}"/>
    <cellStyle name="Normal 20" xfId="9989" xr:uid="{00000000-0005-0000-0000-000005270000}"/>
    <cellStyle name="Normal 20 2" xfId="9990" xr:uid="{00000000-0005-0000-0000-000006270000}"/>
    <cellStyle name="Normal 20 2 2" xfId="9991" xr:uid="{00000000-0005-0000-0000-000007270000}"/>
    <cellStyle name="Normal 20 2 2 2" xfId="9992" xr:uid="{00000000-0005-0000-0000-000008270000}"/>
    <cellStyle name="Normal 20 2 2 2 2" xfId="9993" xr:uid="{00000000-0005-0000-0000-000009270000}"/>
    <cellStyle name="Normal 20 2 2 2 2 2" xfId="9994" xr:uid="{00000000-0005-0000-0000-00000A270000}"/>
    <cellStyle name="Normal 20 2 2 2 3" xfId="9995" xr:uid="{00000000-0005-0000-0000-00000B270000}"/>
    <cellStyle name="Normal 20 2 2 2 3 2" xfId="9996" xr:uid="{00000000-0005-0000-0000-00000C270000}"/>
    <cellStyle name="Normal 20 2 2 2 4" xfId="9997" xr:uid="{00000000-0005-0000-0000-00000D270000}"/>
    <cellStyle name="Normal 20 2 2 2 5" xfId="9998" xr:uid="{00000000-0005-0000-0000-00000E270000}"/>
    <cellStyle name="Normal 20 2 2 3" xfId="9999" xr:uid="{00000000-0005-0000-0000-00000F270000}"/>
    <cellStyle name="Normal 20 2 2 3 2" xfId="10000" xr:uid="{00000000-0005-0000-0000-000010270000}"/>
    <cellStyle name="Normal 20 2 2 4" xfId="10001" xr:uid="{00000000-0005-0000-0000-000011270000}"/>
    <cellStyle name="Normal 20 2 2 4 2" xfId="10002" xr:uid="{00000000-0005-0000-0000-000012270000}"/>
    <cellStyle name="Normal 20 2 2 5" xfId="10003" xr:uid="{00000000-0005-0000-0000-000013270000}"/>
    <cellStyle name="Normal 20 2 2 6" xfId="10004" xr:uid="{00000000-0005-0000-0000-000014270000}"/>
    <cellStyle name="Normal 20 2 3" xfId="10005" xr:uid="{00000000-0005-0000-0000-000015270000}"/>
    <cellStyle name="Normal 20 2 3 2" xfId="10006" xr:uid="{00000000-0005-0000-0000-000016270000}"/>
    <cellStyle name="Normal 20 2 3 2 2" xfId="10007" xr:uid="{00000000-0005-0000-0000-000017270000}"/>
    <cellStyle name="Normal 20 2 3 3" xfId="10008" xr:uid="{00000000-0005-0000-0000-000018270000}"/>
    <cellStyle name="Normal 20 2 3 3 2" xfId="10009" xr:uid="{00000000-0005-0000-0000-000019270000}"/>
    <cellStyle name="Normal 20 2 3 4" xfId="10010" xr:uid="{00000000-0005-0000-0000-00001A270000}"/>
    <cellStyle name="Normal 20 2 3 5" xfId="10011" xr:uid="{00000000-0005-0000-0000-00001B270000}"/>
    <cellStyle name="Normal 20 2 4" xfId="10012" xr:uid="{00000000-0005-0000-0000-00001C270000}"/>
    <cellStyle name="Normal 20 2 4 2" xfId="10013" xr:uid="{00000000-0005-0000-0000-00001D270000}"/>
    <cellStyle name="Normal 20 2 5" xfId="10014" xr:uid="{00000000-0005-0000-0000-00001E270000}"/>
    <cellStyle name="Normal 20 2 5 2" xfId="10015" xr:uid="{00000000-0005-0000-0000-00001F270000}"/>
    <cellStyle name="Normal 20 2 6" xfId="10016" xr:uid="{00000000-0005-0000-0000-000020270000}"/>
    <cellStyle name="Normal 20 2 7" xfId="10017" xr:uid="{00000000-0005-0000-0000-000021270000}"/>
    <cellStyle name="Normal 20 3" xfId="10018" xr:uid="{00000000-0005-0000-0000-000022270000}"/>
    <cellStyle name="Normal 20 3 2" xfId="10019" xr:uid="{00000000-0005-0000-0000-000023270000}"/>
    <cellStyle name="Normal 20 3 2 2" xfId="10020" xr:uid="{00000000-0005-0000-0000-000024270000}"/>
    <cellStyle name="Normal 20 3 2 2 2" xfId="10021" xr:uid="{00000000-0005-0000-0000-000025270000}"/>
    <cellStyle name="Normal 20 3 2 3" xfId="10022" xr:uid="{00000000-0005-0000-0000-000026270000}"/>
    <cellStyle name="Normal 20 3 2 3 2" xfId="10023" xr:uid="{00000000-0005-0000-0000-000027270000}"/>
    <cellStyle name="Normal 20 3 2 4" xfId="10024" xr:uid="{00000000-0005-0000-0000-000028270000}"/>
    <cellStyle name="Normal 20 3 2 5" xfId="10025" xr:uid="{00000000-0005-0000-0000-000029270000}"/>
    <cellStyle name="Normal 20 3 3" xfId="10026" xr:uid="{00000000-0005-0000-0000-00002A270000}"/>
    <cellStyle name="Normal 20 3 3 2" xfId="10027" xr:uid="{00000000-0005-0000-0000-00002B270000}"/>
    <cellStyle name="Normal 20 3 4" xfId="10028" xr:uid="{00000000-0005-0000-0000-00002C270000}"/>
    <cellStyle name="Normal 20 3 4 2" xfId="10029" xr:uid="{00000000-0005-0000-0000-00002D270000}"/>
    <cellStyle name="Normal 20 3 5" xfId="10030" xr:uid="{00000000-0005-0000-0000-00002E270000}"/>
    <cellStyle name="Normal 20 3 6" xfId="10031" xr:uid="{00000000-0005-0000-0000-00002F270000}"/>
    <cellStyle name="Normal 20 4" xfId="10032" xr:uid="{00000000-0005-0000-0000-000030270000}"/>
    <cellStyle name="Normal 20 4 2" xfId="10033" xr:uid="{00000000-0005-0000-0000-000031270000}"/>
    <cellStyle name="Normal 20 4 2 2" xfId="10034" xr:uid="{00000000-0005-0000-0000-000032270000}"/>
    <cellStyle name="Normal 20 4 3" xfId="10035" xr:uid="{00000000-0005-0000-0000-000033270000}"/>
    <cellStyle name="Normal 20 4 3 2" xfId="10036" xr:uid="{00000000-0005-0000-0000-000034270000}"/>
    <cellStyle name="Normal 20 4 4" xfId="10037" xr:uid="{00000000-0005-0000-0000-000035270000}"/>
    <cellStyle name="Normal 20 4 5" xfId="10038" xr:uid="{00000000-0005-0000-0000-000036270000}"/>
    <cellStyle name="Normal 20 5" xfId="10039" xr:uid="{00000000-0005-0000-0000-000037270000}"/>
    <cellStyle name="Normal 20 5 2" xfId="10040" xr:uid="{00000000-0005-0000-0000-000038270000}"/>
    <cellStyle name="Normal 20 6" xfId="10041" xr:uid="{00000000-0005-0000-0000-000039270000}"/>
    <cellStyle name="Normal 20 6 2" xfId="10042" xr:uid="{00000000-0005-0000-0000-00003A270000}"/>
    <cellStyle name="Normal 20 7" xfId="10043" xr:uid="{00000000-0005-0000-0000-00003B270000}"/>
    <cellStyle name="Normal 20 8" xfId="10044" xr:uid="{00000000-0005-0000-0000-00003C270000}"/>
    <cellStyle name="Normal 21" xfId="10045" xr:uid="{00000000-0005-0000-0000-00003D270000}"/>
    <cellStyle name="Normal 21 2" xfId="10046" xr:uid="{00000000-0005-0000-0000-00003E270000}"/>
    <cellStyle name="Normal 21 2 2" xfId="10047" xr:uid="{00000000-0005-0000-0000-00003F270000}"/>
    <cellStyle name="Normal 21 2 2 2" xfId="10048" xr:uid="{00000000-0005-0000-0000-000040270000}"/>
    <cellStyle name="Normal 21 2 2 2 2" xfId="10049" xr:uid="{00000000-0005-0000-0000-000041270000}"/>
    <cellStyle name="Normal 21 2 2 2 2 2" xfId="10050" xr:uid="{00000000-0005-0000-0000-000042270000}"/>
    <cellStyle name="Normal 21 2 2 2 3" xfId="10051" xr:uid="{00000000-0005-0000-0000-000043270000}"/>
    <cellStyle name="Normal 21 2 2 2 3 2" xfId="10052" xr:uid="{00000000-0005-0000-0000-000044270000}"/>
    <cellStyle name="Normal 21 2 2 2 4" xfId="10053" xr:uid="{00000000-0005-0000-0000-000045270000}"/>
    <cellStyle name="Normal 21 2 2 2 5" xfId="10054" xr:uid="{00000000-0005-0000-0000-000046270000}"/>
    <cellStyle name="Normal 21 2 2 3" xfId="10055" xr:uid="{00000000-0005-0000-0000-000047270000}"/>
    <cellStyle name="Normal 21 2 2 3 2" xfId="10056" xr:uid="{00000000-0005-0000-0000-000048270000}"/>
    <cellStyle name="Normal 21 2 2 4" xfId="10057" xr:uid="{00000000-0005-0000-0000-000049270000}"/>
    <cellStyle name="Normal 21 2 2 4 2" xfId="10058" xr:uid="{00000000-0005-0000-0000-00004A270000}"/>
    <cellStyle name="Normal 21 2 2 5" xfId="10059" xr:uid="{00000000-0005-0000-0000-00004B270000}"/>
    <cellStyle name="Normal 21 2 2 6" xfId="10060" xr:uid="{00000000-0005-0000-0000-00004C270000}"/>
    <cellStyle name="Normal 21 2 3" xfId="10061" xr:uid="{00000000-0005-0000-0000-00004D270000}"/>
    <cellStyle name="Normal 21 2 3 2" xfId="10062" xr:uid="{00000000-0005-0000-0000-00004E270000}"/>
    <cellStyle name="Normal 21 2 3 2 2" xfId="10063" xr:uid="{00000000-0005-0000-0000-00004F270000}"/>
    <cellStyle name="Normal 21 2 3 3" xfId="10064" xr:uid="{00000000-0005-0000-0000-000050270000}"/>
    <cellStyle name="Normal 21 2 3 3 2" xfId="10065" xr:uid="{00000000-0005-0000-0000-000051270000}"/>
    <cellStyle name="Normal 21 2 3 4" xfId="10066" xr:uid="{00000000-0005-0000-0000-000052270000}"/>
    <cellStyle name="Normal 21 2 3 5" xfId="10067" xr:uid="{00000000-0005-0000-0000-000053270000}"/>
    <cellStyle name="Normal 21 2 4" xfId="10068" xr:uid="{00000000-0005-0000-0000-000054270000}"/>
    <cellStyle name="Normal 21 2 4 2" xfId="10069" xr:uid="{00000000-0005-0000-0000-000055270000}"/>
    <cellStyle name="Normal 21 2 5" xfId="10070" xr:uid="{00000000-0005-0000-0000-000056270000}"/>
    <cellStyle name="Normal 21 2 5 2" xfId="10071" xr:uid="{00000000-0005-0000-0000-000057270000}"/>
    <cellStyle name="Normal 21 2 6" xfId="10072" xr:uid="{00000000-0005-0000-0000-000058270000}"/>
    <cellStyle name="Normal 21 2 7" xfId="10073" xr:uid="{00000000-0005-0000-0000-000059270000}"/>
    <cellStyle name="Normal 21 3" xfId="10074" xr:uid="{00000000-0005-0000-0000-00005A270000}"/>
    <cellStyle name="Normal 21 3 2" xfId="10075" xr:uid="{00000000-0005-0000-0000-00005B270000}"/>
    <cellStyle name="Normal 21 3 2 2" xfId="10076" xr:uid="{00000000-0005-0000-0000-00005C270000}"/>
    <cellStyle name="Normal 21 3 2 2 2" xfId="10077" xr:uid="{00000000-0005-0000-0000-00005D270000}"/>
    <cellStyle name="Normal 21 3 2 3" xfId="10078" xr:uid="{00000000-0005-0000-0000-00005E270000}"/>
    <cellStyle name="Normal 21 3 2 3 2" xfId="10079" xr:uid="{00000000-0005-0000-0000-00005F270000}"/>
    <cellStyle name="Normal 21 3 2 4" xfId="10080" xr:uid="{00000000-0005-0000-0000-000060270000}"/>
    <cellStyle name="Normal 21 3 2 5" xfId="10081" xr:uid="{00000000-0005-0000-0000-000061270000}"/>
    <cellStyle name="Normal 21 3 3" xfId="10082" xr:uid="{00000000-0005-0000-0000-000062270000}"/>
    <cellStyle name="Normal 21 3 3 2" xfId="10083" xr:uid="{00000000-0005-0000-0000-000063270000}"/>
    <cellStyle name="Normal 21 3 4" xfId="10084" xr:uid="{00000000-0005-0000-0000-000064270000}"/>
    <cellStyle name="Normal 21 3 4 2" xfId="10085" xr:uid="{00000000-0005-0000-0000-000065270000}"/>
    <cellStyle name="Normal 21 3 5" xfId="10086" xr:uid="{00000000-0005-0000-0000-000066270000}"/>
    <cellStyle name="Normal 21 3 6" xfId="10087" xr:uid="{00000000-0005-0000-0000-000067270000}"/>
    <cellStyle name="Normal 21 4" xfId="10088" xr:uid="{00000000-0005-0000-0000-000068270000}"/>
    <cellStyle name="Normal 21 4 2" xfId="10089" xr:uid="{00000000-0005-0000-0000-000069270000}"/>
    <cellStyle name="Normal 21 4 2 2" xfId="10090" xr:uid="{00000000-0005-0000-0000-00006A270000}"/>
    <cellStyle name="Normal 21 4 3" xfId="10091" xr:uid="{00000000-0005-0000-0000-00006B270000}"/>
    <cellStyle name="Normal 21 4 3 2" xfId="10092" xr:uid="{00000000-0005-0000-0000-00006C270000}"/>
    <cellStyle name="Normal 21 4 4" xfId="10093" xr:uid="{00000000-0005-0000-0000-00006D270000}"/>
    <cellStyle name="Normal 21 4 5" xfId="10094" xr:uid="{00000000-0005-0000-0000-00006E270000}"/>
    <cellStyle name="Normal 21 5" xfId="10095" xr:uid="{00000000-0005-0000-0000-00006F270000}"/>
    <cellStyle name="Normal 21 5 2" xfId="10096" xr:uid="{00000000-0005-0000-0000-000070270000}"/>
    <cellStyle name="Normal 21 6" xfId="10097" xr:uid="{00000000-0005-0000-0000-000071270000}"/>
    <cellStyle name="Normal 21 6 2" xfId="10098" xr:uid="{00000000-0005-0000-0000-000072270000}"/>
    <cellStyle name="Normal 21 7" xfId="10099" xr:uid="{00000000-0005-0000-0000-000073270000}"/>
    <cellStyle name="Normal 21 8" xfId="10100" xr:uid="{00000000-0005-0000-0000-000074270000}"/>
    <cellStyle name="Normal 22" xfId="10101" xr:uid="{00000000-0005-0000-0000-000075270000}"/>
    <cellStyle name="Normal 22 2" xfId="10102" xr:uid="{00000000-0005-0000-0000-000076270000}"/>
    <cellStyle name="Normal 22 2 2" xfId="10103" xr:uid="{00000000-0005-0000-0000-000077270000}"/>
    <cellStyle name="Normal 22 2 2 2" xfId="10104" xr:uid="{00000000-0005-0000-0000-000078270000}"/>
    <cellStyle name="Normal 22 2 2 2 2" xfId="10105" xr:uid="{00000000-0005-0000-0000-000079270000}"/>
    <cellStyle name="Normal 22 2 2 2 2 2" xfId="10106" xr:uid="{00000000-0005-0000-0000-00007A270000}"/>
    <cellStyle name="Normal 22 2 2 2 3" xfId="10107" xr:uid="{00000000-0005-0000-0000-00007B270000}"/>
    <cellStyle name="Normal 22 2 2 2 3 2" xfId="10108" xr:uid="{00000000-0005-0000-0000-00007C270000}"/>
    <cellStyle name="Normal 22 2 2 2 4" xfId="10109" xr:uid="{00000000-0005-0000-0000-00007D270000}"/>
    <cellStyle name="Normal 22 2 2 2 5" xfId="10110" xr:uid="{00000000-0005-0000-0000-00007E270000}"/>
    <cellStyle name="Normal 22 2 2 3" xfId="10111" xr:uid="{00000000-0005-0000-0000-00007F270000}"/>
    <cellStyle name="Normal 22 2 2 3 2" xfId="10112" xr:uid="{00000000-0005-0000-0000-000080270000}"/>
    <cellStyle name="Normal 22 2 2 4" xfId="10113" xr:uid="{00000000-0005-0000-0000-000081270000}"/>
    <cellStyle name="Normal 22 2 2 4 2" xfId="10114" xr:uid="{00000000-0005-0000-0000-000082270000}"/>
    <cellStyle name="Normal 22 2 2 5" xfId="10115" xr:uid="{00000000-0005-0000-0000-000083270000}"/>
    <cellStyle name="Normal 22 2 2 6" xfId="10116" xr:uid="{00000000-0005-0000-0000-000084270000}"/>
    <cellStyle name="Normal 22 2 3" xfId="10117" xr:uid="{00000000-0005-0000-0000-000085270000}"/>
    <cellStyle name="Normal 22 2 3 2" xfId="10118" xr:uid="{00000000-0005-0000-0000-000086270000}"/>
    <cellStyle name="Normal 22 2 3 2 2" xfId="10119" xr:uid="{00000000-0005-0000-0000-000087270000}"/>
    <cellStyle name="Normal 22 2 3 3" xfId="10120" xr:uid="{00000000-0005-0000-0000-000088270000}"/>
    <cellStyle name="Normal 22 2 3 3 2" xfId="10121" xr:uid="{00000000-0005-0000-0000-000089270000}"/>
    <cellStyle name="Normal 22 2 3 4" xfId="10122" xr:uid="{00000000-0005-0000-0000-00008A270000}"/>
    <cellStyle name="Normal 22 2 3 5" xfId="10123" xr:uid="{00000000-0005-0000-0000-00008B270000}"/>
    <cellStyle name="Normal 22 2 4" xfId="10124" xr:uid="{00000000-0005-0000-0000-00008C270000}"/>
    <cellStyle name="Normal 22 2 4 2" xfId="10125" xr:uid="{00000000-0005-0000-0000-00008D270000}"/>
    <cellStyle name="Normal 22 2 5" xfId="10126" xr:uid="{00000000-0005-0000-0000-00008E270000}"/>
    <cellStyle name="Normal 22 2 5 2" xfId="10127" xr:uid="{00000000-0005-0000-0000-00008F270000}"/>
    <cellStyle name="Normal 22 2 6" xfId="10128" xr:uid="{00000000-0005-0000-0000-000090270000}"/>
    <cellStyle name="Normal 22 2 7" xfId="10129" xr:uid="{00000000-0005-0000-0000-000091270000}"/>
    <cellStyle name="Normal 22 3" xfId="10130" xr:uid="{00000000-0005-0000-0000-000092270000}"/>
    <cellStyle name="Normal 22 3 2" xfId="10131" xr:uid="{00000000-0005-0000-0000-000093270000}"/>
    <cellStyle name="Normal 22 3 2 2" xfId="10132" xr:uid="{00000000-0005-0000-0000-000094270000}"/>
    <cellStyle name="Normal 22 3 2 2 2" xfId="10133" xr:uid="{00000000-0005-0000-0000-000095270000}"/>
    <cellStyle name="Normal 22 3 2 3" xfId="10134" xr:uid="{00000000-0005-0000-0000-000096270000}"/>
    <cellStyle name="Normal 22 3 2 3 2" xfId="10135" xr:uid="{00000000-0005-0000-0000-000097270000}"/>
    <cellStyle name="Normal 22 3 2 4" xfId="10136" xr:uid="{00000000-0005-0000-0000-000098270000}"/>
    <cellStyle name="Normal 22 3 2 5" xfId="10137" xr:uid="{00000000-0005-0000-0000-000099270000}"/>
    <cellStyle name="Normal 22 3 3" xfId="10138" xr:uid="{00000000-0005-0000-0000-00009A270000}"/>
    <cellStyle name="Normal 22 3 3 2" xfId="10139" xr:uid="{00000000-0005-0000-0000-00009B270000}"/>
    <cellStyle name="Normal 22 3 4" xfId="10140" xr:uid="{00000000-0005-0000-0000-00009C270000}"/>
    <cellStyle name="Normal 22 3 4 2" xfId="10141" xr:uid="{00000000-0005-0000-0000-00009D270000}"/>
    <cellStyle name="Normal 22 3 5" xfId="10142" xr:uid="{00000000-0005-0000-0000-00009E270000}"/>
    <cellStyle name="Normal 22 3 6" xfId="10143" xr:uid="{00000000-0005-0000-0000-00009F270000}"/>
    <cellStyle name="Normal 22 4" xfId="10144" xr:uid="{00000000-0005-0000-0000-0000A0270000}"/>
    <cellStyle name="Normal 22 4 2" xfId="10145" xr:uid="{00000000-0005-0000-0000-0000A1270000}"/>
    <cellStyle name="Normal 22 4 2 2" xfId="10146" xr:uid="{00000000-0005-0000-0000-0000A2270000}"/>
    <cellStyle name="Normal 22 4 3" xfId="10147" xr:uid="{00000000-0005-0000-0000-0000A3270000}"/>
    <cellStyle name="Normal 22 4 3 2" xfId="10148" xr:uid="{00000000-0005-0000-0000-0000A4270000}"/>
    <cellStyle name="Normal 22 4 4" xfId="10149" xr:uid="{00000000-0005-0000-0000-0000A5270000}"/>
    <cellStyle name="Normal 22 4 5" xfId="10150" xr:uid="{00000000-0005-0000-0000-0000A6270000}"/>
    <cellStyle name="Normal 22 5" xfId="10151" xr:uid="{00000000-0005-0000-0000-0000A7270000}"/>
    <cellStyle name="Normal 22 5 2" xfId="10152" xr:uid="{00000000-0005-0000-0000-0000A8270000}"/>
    <cellStyle name="Normal 22 6" xfId="10153" xr:uid="{00000000-0005-0000-0000-0000A9270000}"/>
    <cellStyle name="Normal 22 6 2" xfId="10154" xr:uid="{00000000-0005-0000-0000-0000AA270000}"/>
    <cellStyle name="Normal 22 7" xfId="10155" xr:uid="{00000000-0005-0000-0000-0000AB270000}"/>
    <cellStyle name="Normal 22 8" xfId="10156" xr:uid="{00000000-0005-0000-0000-0000AC270000}"/>
    <cellStyle name="Normal 23" xfId="10157" xr:uid="{00000000-0005-0000-0000-0000AD270000}"/>
    <cellStyle name="Normal 24" xfId="10158" xr:uid="{00000000-0005-0000-0000-0000AE270000}"/>
    <cellStyle name="Normal 24 2" xfId="10159" xr:uid="{00000000-0005-0000-0000-0000AF270000}"/>
    <cellStyle name="Normal 24 2 2" xfId="10160" xr:uid="{00000000-0005-0000-0000-0000B0270000}"/>
    <cellStyle name="Normal 24 2 2 2" xfId="10161" xr:uid="{00000000-0005-0000-0000-0000B1270000}"/>
    <cellStyle name="Normal 24 2 2 2 2" xfId="10162" xr:uid="{00000000-0005-0000-0000-0000B2270000}"/>
    <cellStyle name="Normal 24 2 2 3" xfId="10163" xr:uid="{00000000-0005-0000-0000-0000B3270000}"/>
    <cellStyle name="Normal 24 2 2 3 2" xfId="10164" xr:uid="{00000000-0005-0000-0000-0000B4270000}"/>
    <cellStyle name="Normal 24 2 2 4" xfId="10165" xr:uid="{00000000-0005-0000-0000-0000B5270000}"/>
    <cellStyle name="Normal 24 2 2 5" xfId="10166" xr:uid="{00000000-0005-0000-0000-0000B6270000}"/>
    <cellStyle name="Normal 24 2 3" xfId="10167" xr:uid="{00000000-0005-0000-0000-0000B7270000}"/>
    <cellStyle name="Normal 24 2 3 2" xfId="10168" xr:uid="{00000000-0005-0000-0000-0000B8270000}"/>
    <cellStyle name="Normal 24 2 4" xfId="10169" xr:uid="{00000000-0005-0000-0000-0000B9270000}"/>
    <cellStyle name="Normal 24 2 4 2" xfId="10170" xr:uid="{00000000-0005-0000-0000-0000BA270000}"/>
    <cellStyle name="Normal 24 2 5" xfId="10171" xr:uid="{00000000-0005-0000-0000-0000BB270000}"/>
    <cellStyle name="Normal 24 2 6" xfId="10172" xr:uid="{00000000-0005-0000-0000-0000BC270000}"/>
    <cellStyle name="Normal 24 3" xfId="10173" xr:uid="{00000000-0005-0000-0000-0000BD270000}"/>
    <cellStyle name="Normal 24 3 2" xfId="10174" xr:uid="{00000000-0005-0000-0000-0000BE270000}"/>
    <cellStyle name="Normal 24 3 2 2" xfId="10175" xr:uid="{00000000-0005-0000-0000-0000BF270000}"/>
    <cellStyle name="Normal 24 3 3" xfId="10176" xr:uid="{00000000-0005-0000-0000-0000C0270000}"/>
    <cellStyle name="Normal 24 3 3 2" xfId="10177" xr:uid="{00000000-0005-0000-0000-0000C1270000}"/>
    <cellStyle name="Normal 24 3 4" xfId="10178" xr:uid="{00000000-0005-0000-0000-0000C2270000}"/>
    <cellStyle name="Normal 24 3 5" xfId="10179" xr:uid="{00000000-0005-0000-0000-0000C3270000}"/>
    <cellStyle name="Normal 24 4" xfId="10180" xr:uid="{00000000-0005-0000-0000-0000C4270000}"/>
    <cellStyle name="Normal 24 4 2" xfId="10181" xr:uid="{00000000-0005-0000-0000-0000C5270000}"/>
    <cellStyle name="Normal 24 5" xfId="10182" xr:uid="{00000000-0005-0000-0000-0000C6270000}"/>
    <cellStyle name="Normal 24 5 2" xfId="10183" xr:uid="{00000000-0005-0000-0000-0000C7270000}"/>
    <cellStyle name="Normal 24 6" xfId="10184" xr:uid="{00000000-0005-0000-0000-0000C8270000}"/>
    <cellStyle name="Normal 24 7" xfId="10185" xr:uid="{00000000-0005-0000-0000-0000C9270000}"/>
    <cellStyle name="Normal 25" xfId="10186" xr:uid="{00000000-0005-0000-0000-0000CA270000}"/>
    <cellStyle name="Normal 25 2" xfId="10187" xr:uid="{00000000-0005-0000-0000-0000CB270000}"/>
    <cellStyle name="Normal 25 2 2" xfId="10188" xr:uid="{00000000-0005-0000-0000-0000CC270000}"/>
    <cellStyle name="Normal 25 2 2 2" xfId="10189" xr:uid="{00000000-0005-0000-0000-0000CD270000}"/>
    <cellStyle name="Normal 25 2 2 2 2" xfId="10190" xr:uid="{00000000-0005-0000-0000-0000CE270000}"/>
    <cellStyle name="Normal 25 2 2 3" xfId="10191" xr:uid="{00000000-0005-0000-0000-0000CF270000}"/>
    <cellStyle name="Normal 25 2 2 3 2" xfId="10192" xr:uid="{00000000-0005-0000-0000-0000D0270000}"/>
    <cellStyle name="Normal 25 2 2 4" xfId="10193" xr:uid="{00000000-0005-0000-0000-0000D1270000}"/>
    <cellStyle name="Normal 25 2 2 5" xfId="10194" xr:uid="{00000000-0005-0000-0000-0000D2270000}"/>
    <cellStyle name="Normal 25 2 3" xfId="10195" xr:uid="{00000000-0005-0000-0000-0000D3270000}"/>
    <cellStyle name="Normal 25 2 3 2" xfId="10196" xr:uid="{00000000-0005-0000-0000-0000D4270000}"/>
    <cellStyle name="Normal 25 2 4" xfId="10197" xr:uid="{00000000-0005-0000-0000-0000D5270000}"/>
    <cellStyle name="Normal 25 2 4 2" xfId="10198" xr:uid="{00000000-0005-0000-0000-0000D6270000}"/>
    <cellStyle name="Normal 25 2 5" xfId="10199" xr:uid="{00000000-0005-0000-0000-0000D7270000}"/>
    <cellStyle name="Normal 25 2 6" xfId="10200" xr:uid="{00000000-0005-0000-0000-0000D8270000}"/>
    <cellStyle name="Normal 25 3" xfId="10201" xr:uid="{00000000-0005-0000-0000-0000D9270000}"/>
    <cellStyle name="Normal 25 3 2" xfId="10202" xr:uid="{00000000-0005-0000-0000-0000DA270000}"/>
    <cellStyle name="Normal 25 3 2 2" xfId="10203" xr:uid="{00000000-0005-0000-0000-0000DB270000}"/>
    <cellStyle name="Normal 25 3 3" xfId="10204" xr:uid="{00000000-0005-0000-0000-0000DC270000}"/>
    <cellStyle name="Normal 25 3 3 2" xfId="10205" xr:uid="{00000000-0005-0000-0000-0000DD270000}"/>
    <cellStyle name="Normal 25 3 4" xfId="10206" xr:uid="{00000000-0005-0000-0000-0000DE270000}"/>
    <cellStyle name="Normal 25 3 5" xfId="10207" xr:uid="{00000000-0005-0000-0000-0000DF270000}"/>
    <cellStyle name="Normal 25 4" xfId="10208" xr:uid="{00000000-0005-0000-0000-0000E0270000}"/>
    <cellStyle name="Normal 25 4 2" xfId="10209" xr:uid="{00000000-0005-0000-0000-0000E1270000}"/>
    <cellStyle name="Normal 25 5" xfId="10210" xr:uid="{00000000-0005-0000-0000-0000E2270000}"/>
    <cellStyle name="Normal 25 5 2" xfId="10211" xr:uid="{00000000-0005-0000-0000-0000E3270000}"/>
    <cellStyle name="Normal 25 6" xfId="10212" xr:uid="{00000000-0005-0000-0000-0000E4270000}"/>
    <cellStyle name="Normal 25 7" xfId="10213" xr:uid="{00000000-0005-0000-0000-0000E5270000}"/>
    <cellStyle name="Normal 26" xfId="10214" xr:uid="{00000000-0005-0000-0000-0000E6270000}"/>
    <cellStyle name="Normal 26 2" xfId="10215" xr:uid="{00000000-0005-0000-0000-0000E7270000}"/>
    <cellStyle name="Normal 26 2 2" xfId="10216" xr:uid="{00000000-0005-0000-0000-0000E8270000}"/>
    <cellStyle name="Normal 26 2 2 2" xfId="10217" xr:uid="{00000000-0005-0000-0000-0000E9270000}"/>
    <cellStyle name="Normal 26 2 3" xfId="10218" xr:uid="{00000000-0005-0000-0000-0000EA270000}"/>
    <cellStyle name="Normal 26 2 3 2" xfId="10219" xr:uid="{00000000-0005-0000-0000-0000EB270000}"/>
    <cellStyle name="Normal 26 2 4" xfId="10220" xr:uid="{00000000-0005-0000-0000-0000EC270000}"/>
    <cellStyle name="Normal 26 2 5" xfId="10221" xr:uid="{00000000-0005-0000-0000-0000ED270000}"/>
    <cellStyle name="Normal 26 3" xfId="10222" xr:uid="{00000000-0005-0000-0000-0000EE270000}"/>
    <cellStyle name="Normal 26 3 2" xfId="10223" xr:uid="{00000000-0005-0000-0000-0000EF270000}"/>
    <cellStyle name="Normal 26 4" xfId="10224" xr:uid="{00000000-0005-0000-0000-0000F0270000}"/>
    <cellStyle name="Normal 26 4 2" xfId="10225" xr:uid="{00000000-0005-0000-0000-0000F1270000}"/>
    <cellStyle name="Normal 26 5" xfId="10226" xr:uid="{00000000-0005-0000-0000-0000F2270000}"/>
    <cellStyle name="Normal 26 6" xfId="10227" xr:uid="{00000000-0005-0000-0000-0000F3270000}"/>
    <cellStyle name="Normal 27" xfId="10228" xr:uid="{00000000-0005-0000-0000-0000F4270000}"/>
    <cellStyle name="Normal 27 2" xfId="10229" xr:uid="{00000000-0005-0000-0000-0000F5270000}"/>
    <cellStyle name="Normal 27 2 2" xfId="10230" xr:uid="{00000000-0005-0000-0000-0000F6270000}"/>
    <cellStyle name="Normal 27 2 2 2" xfId="10231" xr:uid="{00000000-0005-0000-0000-0000F7270000}"/>
    <cellStyle name="Normal 27 2 3" xfId="10232" xr:uid="{00000000-0005-0000-0000-0000F8270000}"/>
    <cellStyle name="Normal 27 2 3 2" xfId="10233" xr:uid="{00000000-0005-0000-0000-0000F9270000}"/>
    <cellStyle name="Normal 27 2 4" xfId="10234" xr:uid="{00000000-0005-0000-0000-0000FA270000}"/>
    <cellStyle name="Normal 27 2 5" xfId="10235" xr:uid="{00000000-0005-0000-0000-0000FB270000}"/>
    <cellStyle name="Normal 27 3" xfId="10236" xr:uid="{00000000-0005-0000-0000-0000FC270000}"/>
    <cellStyle name="Normal 27 3 2" xfId="10237" xr:uid="{00000000-0005-0000-0000-0000FD270000}"/>
    <cellStyle name="Normal 27 4" xfId="10238" xr:uid="{00000000-0005-0000-0000-0000FE270000}"/>
    <cellStyle name="Normal 27 4 2" xfId="10239" xr:uid="{00000000-0005-0000-0000-0000FF270000}"/>
    <cellStyle name="Normal 27 5" xfId="10240" xr:uid="{00000000-0005-0000-0000-000000280000}"/>
    <cellStyle name="Normal 27 6" xfId="10241" xr:uid="{00000000-0005-0000-0000-000001280000}"/>
    <cellStyle name="Normal 28" xfId="10242" xr:uid="{00000000-0005-0000-0000-000002280000}"/>
    <cellStyle name="Normal 28 2" xfId="10243" xr:uid="{00000000-0005-0000-0000-000003280000}"/>
    <cellStyle name="Normal 28 2 2" xfId="10244" xr:uid="{00000000-0005-0000-0000-000004280000}"/>
    <cellStyle name="Normal 28 2 2 2" xfId="10245" xr:uid="{00000000-0005-0000-0000-000005280000}"/>
    <cellStyle name="Normal 28 2 3" xfId="10246" xr:uid="{00000000-0005-0000-0000-000006280000}"/>
    <cellStyle name="Normal 28 2 3 2" xfId="10247" xr:uid="{00000000-0005-0000-0000-000007280000}"/>
    <cellStyle name="Normal 28 2 4" xfId="10248" xr:uid="{00000000-0005-0000-0000-000008280000}"/>
    <cellStyle name="Normal 28 2 5" xfId="10249" xr:uid="{00000000-0005-0000-0000-000009280000}"/>
    <cellStyle name="Normal 28 3" xfId="10250" xr:uid="{00000000-0005-0000-0000-00000A280000}"/>
    <cellStyle name="Normal 28 3 2" xfId="10251" xr:uid="{00000000-0005-0000-0000-00000B280000}"/>
    <cellStyle name="Normal 28 4" xfId="10252" xr:uid="{00000000-0005-0000-0000-00000C280000}"/>
    <cellStyle name="Normal 28 4 2" xfId="10253" xr:uid="{00000000-0005-0000-0000-00000D280000}"/>
    <cellStyle name="Normal 28 5" xfId="10254" xr:uid="{00000000-0005-0000-0000-00000E280000}"/>
    <cellStyle name="Normal 28 6" xfId="10255" xr:uid="{00000000-0005-0000-0000-00000F280000}"/>
    <cellStyle name="Normal 29" xfId="10256" xr:uid="{00000000-0005-0000-0000-000010280000}"/>
    <cellStyle name="Normal 29 2" xfId="10257" xr:uid="{00000000-0005-0000-0000-000011280000}"/>
    <cellStyle name="Normal 29 2 2" xfId="10258" xr:uid="{00000000-0005-0000-0000-000012280000}"/>
    <cellStyle name="Normal 29 2 2 2" xfId="10259" xr:uid="{00000000-0005-0000-0000-000013280000}"/>
    <cellStyle name="Normal 29 2 3" xfId="10260" xr:uid="{00000000-0005-0000-0000-000014280000}"/>
    <cellStyle name="Normal 29 2 3 2" xfId="10261" xr:uid="{00000000-0005-0000-0000-000015280000}"/>
    <cellStyle name="Normal 29 2 4" xfId="10262" xr:uid="{00000000-0005-0000-0000-000016280000}"/>
    <cellStyle name="Normal 29 2 5" xfId="10263" xr:uid="{00000000-0005-0000-0000-000017280000}"/>
    <cellStyle name="Normal 29 3" xfId="10264" xr:uid="{00000000-0005-0000-0000-000018280000}"/>
    <cellStyle name="Normal 29 3 2" xfId="10265" xr:uid="{00000000-0005-0000-0000-000019280000}"/>
    <cellStyle name="Normal 29 4" xfId="10266" xr:uid="{00000000-0005-0000-0000-00001A280000}"/>
    <cellStyle name="Normal 29 4 2" xfId="10267" xr:uid="{00000000-0005-0000-0000-00001B280000}"/>
    <cellStyle name="Normal 29 5" xfId="10268" xr:uid="{00000000-0005-0000-0000-00001C280000}"/>
    <cellStyle name="Normal 29 6" xfId="10269" xr:uid="{00000000-0005-0000-0000-00001D280000}"/>
    <cellStyle name="Normal 3" xfId="10270" xr:uid="{00000000-0005-0000-0000-00001E280000}"/>
    <cellStyle name="Normal 3 2" xfId="10271" xr:uid="{00000000-0005-0000-0000-00001F280000}"/>
    <cellStyle name="Normal 3 2 2" xfId="10272" xr:uid="{00000000-0005-0000-0000-000020280000}"/>
    <cellStyle name="Normal 3 3" xfId="10273" xr:uid="{00000000-0005-0000-0000-000021280000}"/>
    <cellStyle name="Normal 3 3 2" xfId="10274" xr:uid="{00000000-0005-0000-0000-000022280000}"/>
    <cellStyle name="Normal 3 4" xfId="10275" xr:uid="{00000000-0005-0000-0000-000023280000}"/>
    <cellStyle name="Normal 3 4 2" xfId="10276" xr:uid="{00000000-0005-0000-0000-000024280000}"/>
    <cellStyle name="Normal 3 4 3" xfId="10277" xr:uid="{00000000-0005-0000-0000-000025280000}"/>
    <cellStyle name="Normal 3 5" xfId="10278" xr:uid="{00000000-0005-0000-0000-000026280000}"/>
    <cellStyle name="Normal 3 6" xfId="10279" xr:uid="{00000000-0005-0000-0000-000027280000}"/>
    <cellStyle name="Normal 3 7" xfId="10280" xr:uid="{00000000-0005-0000-0000-000028280000}"/>
    <cellStyle name="Normal 3 8" xfId="10281" xr:uid="{00000000-0005-0000-0000-000029280000}"/>
    <cellStyle name="Normal 3 9" xfId="10282" xr:uid="{00000000-0005-0000-0000-00002A280000}"/>
    <cellStyle name="Normal 30" xfId="10283" xr:uid="{00000000-0005-0000-0000-00002B280000}"/>
    <cellStyle name="Normal 30 2" xfId="10284" xr:uid="{00000000-0005-0000-0000-00002C280000}"/>
    <cellStyle name="Normal 30 2 2" xfId="10285" xr:uid="{00000000-0005-0000-0000-00002D280000}"/>
    <cellStyle name="Normal 30 2 2 2" xfId="10286" xr:uid="{00000000-0005-0000-0000-00002E280000}"/>
    <cellStyle name="Normal 30 2 3" xfId="10287" xr:uid="{00000000-0005-0000-0000-00002F280000}"/>
    <cellStyle name="Normal 30 2 3 2" xfId="10288" xr:uid="{00000000-0005-0000-0000-000030280000}"/>
    <cellStyle name="Normal 30 2 4" xfId="10289" xr:uid="{00000000-0005-0000-0000-000031280000}"/>
    <cellStyle name="Normal 30 2 5" xfId="10290" xr:uid="{00000000-0005-0000-0000-000032280000}"/>
    <cellStyle name="Normal 30 3" xfId="10291" xr:uid="{00000000-0005-0000-0000-000033280000}"/>
    <cellStyle name="Normal 30 3 2" xfId="10292" xr:uid="{00000000-0005-0000-0000-000034280000}"/>
    <cellStyle name="Normal 30 4" xfId="10293" xr:uid="{00000000-0005-0000-0000-000035280000}"/>
    <cellStyle name="Normal 30 4 2" xfId="10294" xr:uid="{00000000-0005-0000-0000-000036280000}"/>
    <cellStyle name="Normal 30 5" xfId="10295" xr:uid="{00000000-0005-0000-0000-000037280000}"/>
    <cellStyle name="Normal 30 6" xfId="10296" xr:uid="{00000000-0005-0000-0000-000038280000}"/>
    <cellStyle name="Normal 31" xfId="10297" xr:uid="{00000000-0005-0000-0000-000039280000}"/>
    <cellStyle name="Normal 31 2" xfId="10298" xr:uid="{00000000-0005-0000-0000-00003A280000}"/>
    <cellStyle name="Normal 31 2 2" xfId="10299" xr:uid="{00000000-0005-0000-0000-00003B280000}"/>
    <cellStyle name="Normal 31 2 3" xfId="10300" xr:uid="{00000000-0005-0000-0000-00003C280000}"/>
    <cellStyle name="Normal 31 3" xfId="10301" xr:uid="{00000000-0005-0000-0000-00003D280000}"/>
    <cellStyle name="Normal 31 3 2" xfId="10302" xr:uid="{00000000-0005-0000-0000-00003E280000}"/>
    <cellStyle name="Normal 31 4" xfId="10303" xr:uid="{00000000-0005-0000-0000-00003F280000}"/>
    <cellStyle name="Normal 32" xfId="10304" xr:uid="{00000000-0005-0000-0000-000040280000}"/>
    <cellStyle name="Normal 32 2" xfId="10305" xr:uid="{00000000-0005-0000-0000-000041280000}"/>
    <cellStyle name="Normal 32 2 2" xfId="10306" xr:uid="{00000000-0005-0000-0000-000042280000}"/>
    <cellStyle name="Normal 32 2 3" xfId="10307" xr:uid="{00000000-0005-0000-0000-000043280000}"/>
    <cellStyle name="Normal 32 3" xfId="10308" xr:uid="{00000000-0005-0000-0000-000044280000}"/>
    <cellStyle name="Normal 32 4" xfId="10309" xr:uid="{00000000-0005-0000-0000-000045280000}"/>
    <cellStyle name="Normal 33" xfId="10310" xr:uid="{00000000-0005-0000-0000-000046280000}"/>
    <cellStyle name="Normal 33 2" xfId="10311" xr:uid="{00000000-0005-0000-0000-000047280000}"/>
    <cellStyle name="Normal 33 2 2" xfId="10312" xr:uid="{00000000-0005-0000-0000-000048280000}"/>
    <cellStyle name="Normal 33 2 3" xfId="10313" xr:uid="{00000000-0005-0000-0000-000049280000}"/>
    <cellStyle name="Normal 33 3" xfId="10314" xr:uid="{00000000-0005-0000-0000-00004A280000}"/>
    <cellStyle name="Normal 33 4" xfId="10315" xr:uid="{00000000-0005-0000-0000-00004B280000}"/>
    <cellStyle name="Normal 34" xfId="10316" xr:uid="{00000000-0005-0000-0000-00004C280000}"/>
    <cellStyle name="Normal 34 2" xfId="10317" xr:uid="{00000000-0005-0000-0000-00004D280000}"/>
    <cellStyle name="Normal 34 2 2" xfId="10318" xr:uid="{00000000-0005-0000-0000-00004E280000}"/>
    <cellStyle name="Normal 34 2 3" xfId="10319" xr:uid="{00000000-0005-0000-0000-00004F280000}"/>
    <cellStyle name="Normal 34 3" xfId="10320" xr:uid="{00000000-0005-0000-0000-000050280000}"/>
    <cellStyle name="Normal 34 4" xfId="10321" xr:uid="{00000000-0005-0000-0000-000051280000}"/>
    <cellStyle name="Normal 35" xfId="10322" xr:uid="{00000000-0005-0000-0000-000052280000}"/>
    <cellStyle name="Normal 35 2" xfId="10323" xr:uid="{00000000-0005-0000-0000-000053280000}"/>
    <cellStyle name="Normal 35 2 2" xfId="10324" xr:uid="{00000000-0005-0000-0000-000054280000}"/>
    <cellStyle name="Normal 35 2 3" xfId="10325" xr:uid="{00000000-0005-0000-0000-000055280000}"/>
    <cellStyle name="Normal 35 3" xfId="10326" xr:uid="{00000000-0005-0000-0000-000056280000}"/>
    <cellStyle name="Normal 36" xfId="10327" xr:uid="{00000000-0005-0000-0000-000057280000}"/>
    <cellStyle name="Normal 36 2" xfId="10328" xr:uid="{00000000-0005-0000-0000-000058280000}"/>
    <cellStyle name="Normal 36 2 2" xfId="10329" xr:uid="{00000000-0005-0000-0000-000059280000}"/>
    <cellStyle name="Normal 36 2 3" xfId="10330" xr:uid="{00000000-0005-0000-0000-00005A280000}"/>
    <cellStyle name="Normal 36 3" xfId="10331" xr:uid="{00000000-0005-0000-0000-00005B280000}"/>
    <cellStyle name="Normal 36 4" xfId="10332" xr:uid="{00000000-0005-0000-0000-00005C280000}"/>
    <cellStyle name="Normal 37" xfId="10333" xr:uid="{00000000-0005-0000-0000-00005D280000}"/>
    <cellStyle name="Normal 37 2" xfId="10334" xr:uid="{00000000-0005-0000-0000-00005E280000}"/>
    <cellStyle name="Normal 37 2 2" xfId="10335" xr:uid="{00000000-0005-0000-0000-00005F280000}"/>
    <cellStyle name="Normal 37 2 3" xfId="10336" xr:uid="{00000000-0005-0000-0000-000060280000}"/>
    <cellStyle name="Normal 37 3" xfId="10337" xr:uid="{00000000-0005-0000-0000-000061280000}"/>
    <cellStyle name="Normal 37 4" xfId="10338" xr:uid="{00000000-0005-0000-0000-000062280000}"/>
    <cellStyle name="Normal 38" xfId="10339" xr:uid="{00000000-0005-0000-0000-000063280000}"/>
    <cellStyle name="Normal 38 2" xfId="10340" xr:uid="{00000000-0005-0000-0000-000064280000}"/>
    <cellStyle name="Normal 38 2 2" xfId="10341" xr:uid="{00000000-0005-0000-0000-000065280000}"/>
    <cellStyle name="Normal 38 2 3" xfId="10342" xr:uid="{00000000-0005-0000-0000-000066280000}"/>
    <cellStyle name="Normal 38 3" xfId="10343" xr:uid="{00000000-0005-0000-0000-000067280000}"/>
    <cellStyle name="Normal 38 4" xfId="10344" xr:uid="{00000000-0005-0000-0000-000068280000}"/>
    <cellStyle name="Normal 39" xfId="10345" xr:uid="{00000000-0005-0000-0000-000069280000}"/>
    <cellStyle name="Normal 39 2" xfId="10346" xr:uid="{00000000-0005-0000-0000-00006A280000}"/>
    <cellStyle name="Normal 4" xfId="10347" xr:uid="{00000000-0005-0000-0000-00006B280000}"/>
    <cellStyle name="Normal 4 2" xfId="10348" xr:uid="{00000000-0005-0000-0000-00006C280000}"/>
    <cellStyle name="Normal 4 2 2" xfId="10349" xr:uid="{00000000-0005-0000-0000-00006D280000}"/>
    <cellStyle name="Normal 4 2 2 2" xfId="10350" xr:uid="{00000000-0005-0000-0000-00006E280000}"/>
    <cellStyle name="Normal 4 2 2 2 2" xfId="10351" xr:uid="{00000000-0005-0000-0000-00006F280000}"/>
    <cellStyle name="Normal 4 2 2 2 2 2" xfId="10352" xr:uid="{00000000-0005-0000-0000-000070280000}"/>
    <cellStyle name="Normal 4 2 2 2 2 2 2" xfId="10353" xr:uid="{00000000-0005-0000-0000-000071280000}"/>
    <cellStyle name="Normal 4 2 2 2 2 3" xfId="10354" xr:uid="{00000000-0005-0000-0000-000072280000}"/>
    <cellStyle name="Normal 4 2 2 2 2 3 2" xfId="10355" xr:uid="{00000000-0005-0000-0000-000073280000}"/>
    <cellStyle name="Normal 4 2 2 2 2 4" xfId="10356" xr:uid="{00000000-0005-0000-0000-000074280000}"/>
    <cellStyle name="Normal 4 2 2 2 2 5" xfId="10357" xr:uid="{00000000-0005-0000-0000-000075280000}"/>
    <cellStyle name="Normal 4 2 2 2 3" xfId="10358" xr:uid="{00000000-0005-0000-0000-000076280000}"/>
    <cellStyle name="Normal 4 2 2 2 3 2" xfId="10359" xr:uid="{00000000-0005-0000-0000-000077280000}"/>
    <cellStyle name="Normal 4 2 2 2 4" xfId="10360" xr:uid="{00000000-0005-0000-0000-000078280000}"/>
    <cellStyle name="Normal 4 2 2 2 4 2" xfId="10361" xr:uid="{00000000-0005-0000-0000-000079280000}"/>
    <cellStyle name="Normal 4 2 2 2 5" xfId="10362" xr:uid="{00000000-0005-0000-0000-00007A280000}"/>
    <cellStyle name="Normal 4 2 2 2 6" xfId="10363" xr:uid="{00000000-0005-0000-0000-00007B280000}"/>
    <cellStyle name="Normal 4 2 2 3" xfId="10364" xr:uid="{00000000-0005-0000-0000-00007C280000}"/>
    <cellStyle name="Normal 4 2 2 3 2" xfId="10365" xr:uid="{00000000-0005-0000-0000-00007D280000}"/>
    <cellStyle name="Normal 4 2 2 3 2 2" xfId="10366" xr:uid="{00000000-0005-0000-0000-00007E280000}"/>
    <cellStyle name="Normal 4 2 2 3 3" xfId="10367" xr:uid="{00000000-0005-0000-0000-00007F280000}"/>
    <cellStyle name="Normal 4 2 2 3 3 2" xfId="10368" xr:uid="{00000000-0005-0000-0000-000080280000}"/>
    <cellStyle name="Normal 4 2 2 3 4" xfId="10369" xr:uid="{00000000-0005-0000-0000-000081280000}"/>
    <cellStyle name="Normal 4 2 2 3 5" xfId="10370" xr:uid="{00000000-0005-0000-0000-000082280000}"/>
    <cellStyle name="Normal 4 2 2 4" xfId="10371" xr:uid="{00000000-0005-0000-0000-000083280000}"/>
    <cellStyle name="Normal 4 2 2 4 2" xfId="10372" xr:uid="{00000000-0005-0000-0000-000084280000}"/>
    <cellStyle name="Normal 4 2 2 5" xfId="10373" xr:uid="{00000000-0005-0000-0000-000085280000}"/>
    <cellStyle name="Normal 4 2 2 5 2" xfId="10374" xr:uid="{00000000-0005-0000-0000-000086280000}"/>
    <cellStyle name="Normal 4 2 2 6" xfId="10375" xr:uid="{00000000-0005-0000-0000-000087280000}"/>
    <cellStyle name="Normal 4 2 2 7" xfId="10376" xr:uid="{00000000-0005-0000-0000-000088280000}"/>
    <cellStyle name="Normal 4 2 3" xfId="10377" xr:uid="{00000000-0005-0000-0000-000089280000}"/>
    <cellStyle name="Normal 4 2 3 2" xfId="10378" xr:uid="{00000000-0005-0000-0000-00008A280000}"/>
    <cellStyle name="Normal 4 2 3 2 2" xfId="10379" xr:uid="{00000000-0005-0000-0000-00008B280000}"/>
    <cellStyle name="Normal 4 2 3 2 2 2" xfId="10380" xr:uid="{00000000-0005-0000-0000-00008C280000}"/>
    <cellStyle name="Normal 4 2 3 2 3" xfId="10381" xr:uid="{00000000-0005-0000-0000-00008D280000}"/>
    <cellStyle name="Normal 4 2 3 2 3 2" xfId="10382" xr:uid="{00000000-0005-0000-0000-00008E280000}"/>
    <cellStyle name="Normal 4 2 3 2 4" xfId="10383" xr:uid="{00000000-0005-0000-0000-00008F280000}"/>
    <cellStyle name="Normal 4 2 3 2 5" xfId="10384" xr:uid="{00000000-0005-0000-0000-000090280000}"/>
    <cellStyle name="Normal 4 2 3 3" xfId="10385" xr:uid="{00000000-0005-0000-0000-000091280000}"/>
    <cellStyle name="Normal 4 2 3 3 2" xfId="10386" xr:uid="{00000000-0005-0000-0000-000092280000}"/>
    <cellStyle name="Normal 4 2 3 4" xfId="10387" xr:uid="{00000000-0005-0000-0000-000093280000}"/>
    <cellStyle name="Normal 4 2 3 4 2" xfId="10388" xr:uid="{00000000-0005-0000-0000-000094280000}"/>
    <cellStyle name="Normal 4 2 3 5" xfId="10389" xr:uid="{00000000-0005-0000-0000-000095280000}"/>
    <cellStyle name="Normal 4 2 3 6" xfId="10390" xr:uid="{00000000-0005-0000-0000-000096280000}"/>
    <cellStyle name="Normal 4 2 4" xfId="10391" xr:uid="{00000000-0005-0000-0000-000097280000}"/>
    <cellStyle name="Normal 4 2 4 2" xfId="10392" xr:uid="{00000000-0005-0000-0000-000098280000}"/>
    <cellStyle name="Normal 4 2 4 2 2" xfId="10393" xr:uid="{00000000-0005-0000-0000-000099280000}"/>
    <cellStyle name="Normal 4 2 4 2 2 2" xfId="10394" xr:uid="{00000000-0005-0000-0000-00009A280000}"/>
    <cellStyle name="Normal 4 2 4 2 3" xfId="10395" xr:uid="{00000000-0005-0000-0000-00009B280000}"/>
    <cellStyle name="Normal 4 2 4 3" xfId="10396" xr:uid="{00000000-0005-0000-0000-00009C280000}"/>
    <cellStyle name="Normal 4 2 4 4" xfId="10397" xr:uid="{00000000-0005-0000-0000-00009D280000}"/>
    <cellStyle name="Normal 4 2 4 4 2" xfId="10398" xr:uid="{00000000-0005-0000-0000-00009E280000}"/>
    <cellStyle name="Normal 4 2 4 5" xfId="10399" xr:uid="{00000000-0005-0000-0000-00009F280000}"/>
    <cellStyle name="Normal 4 2 5" xfId="10400" xr:uid="{00000000-0005-0000-0000-0000A0280000}"/>
    <cellStyle name="Normal 4 2 5 2" xfId="10401" xr:uid="{00000000-0005-0000-0000-0000A1280000}"/>
    <cellStyle name="Normal 4 2 5 3" xfId="10402" xr:uid="{00000000-0005-0000-0000-0000A2280000}"/>
    <cellStyle name="Normal 4 2 6" xfId="10403" xr:uid="{00000000-0005-0000-0000-0000A3280000}"/>
    <cellStyle name="Normal 4 2 6 2" xfId="10404" xr:uid="{00000000-0005-0000-0000-0000A4280000}"/>
    <cellStyle name="Normal 4 2 6 3" xfId="10405" xr:uid="{00000000-0005-0000-0000-0000A5280000}"/>
    <cellStyle name="Normal 4 2 7" xfId="10406" xr:uid="{00000000-0005-0000-0000-0000A6280000}"/>
    <cellStyle name="Normal 4 2 8" xfId="10407" xr:uid="{00000000-0005-0000-0000-0000A7280000}"/>
    <cellStyle name="Normal 4 3" xfId="10408" xr:uid="{00000000-0005-0000-0000-0000A8280000}"/>
    <cellStyle name="Normal 4 3 2" xfId="10409" xr:uid="{00000000-0005-0000-0000-0000A9280000}"/>
    <cellStyle name="Normal 4 3 2 2" xfId="10410" xr:uid="{00000000-0005-0000-0000-0000AA280000}"/>
    <cellStyle name="Normal 4 3 2 2 2" xfId="10411" xr:uid="{00000000-0005-0000-0000-0000AB280000}"/>
    <cellStyle name="Normal 4 3 2 2 2 2" xfId="10412" xr:uid="{00000000-0005-0000-0000-0000AC280000}"/>
    <cellStyle name="Normal 4 3 2 2 3" xfId="10413" xr:uid="{00000000-0005-0000-0000-0000AD280000}"/>
    <cellStyle name="Normal 4 3 2 2 3 2" xfId="10414" xr:uid="{00000000-0005-0000-0000-0000AE280000}"/>
    <cellStyle name="Normal 4 3 2 2 4" xfId="10415" xr:uid="{00000000-0005-0000-0000-0000AF280000}"/>
    <cellStyle name="Normal 4 3 2 2 5" xfId="10416" xr:uid="{00000000-0005-0000-0000-0000B0280000}"/>
    <cellStyle name="Normal 4 3 2 3" xfId="10417" xr:uid="{00000000-0005-0000-0000-0000B1280000}"/>
    <cellStyle name="Normal 4 3 2 3 2" xfId="10418" xr:uid="{00000000-0005-0000-0000-0000B2280000}"/>
    <cellStyle name="Normal 4 3 2 4" xfId="10419" xr:uid="{00000000-0005-0000-0000-0000B3280000}"/>
    <cellStyle name="Normal 4 3 2 4 2" xfId="10420" xr:uid="{00000000-0005-0000-0000-0000B4280000}"/>
    <cellStyle name="Normal 4 3 2 5" xfId="10421" xr:uid="{00000000-0005-0000-0000-0000B5280000}"/>
    <cellStyle name="Normal 4 3 2 6" xfId="10422" xr:uid="{00000000-0005-0000-0000-0000B6280000}"/>
    <cellStyle name="Normal 4 3 3" xfId="10423" xr:uid="{00000000-0005-0000-0000-0000B7280000}"/>
    <cellStyle name="Normal 4 3 3 2" xfId="10424" xr:uid="{00000000-0005-0000-0000-0000B8280000}"/>
    <cellStyle name="Normal 4 3 3 2 2" xfId="10425" xr:uid="{00000000-0005-0000-0000-0000B9280000}"/>
    <cellStyle name="Normal 4 3 3 3" xfId="10426" xr:uid="{00000000-0005-0000-0000-0000BA280000}"/>
    <cellStyle name="Normal 4 3 3 3 2" xfId="10427" xr:uid="{00000000-0005-0000-0000-0000BB280000}"/>
    <cellStyle name="Normal 4 3 3 4" xfId="10428" xr:uid="{00000000-0005-0000-0000-0000BC280000}"/>
    <cellStyle name="Normal 4 3 3 5" xfId="10429" xr:uid="{00000000-0005-0000-0000-0000BD280000}"/>
    <cellStyle name="Normal 4 3 4" xfId="10430" xr:uid="{00000000-0005-0000-0000-0000BE280000}"/>
    <cellStyle name="Normal 4 3 4 2" xfId="10431" xr:uid="{00000000-0005-0000-0000-0000BF280000}"/>
    <cellStyle name="Normal 4 3 5" xfId="10432" xr:uid="{00000000-0005-0000-0000-0000C0280000}"/>
    <cellStyle name="Normal 4 3 5 2" xfId="10433" xr:uid="{00000000-0005-0000-0000-0000C1280000}"/>
    <cellStyle name="Normal 4 3 6" xfId="10434" xr:uid="{00000000-0005-0000-0000-0000C2280000}"/>
    <cellStyle name="Normal 4 3 7" xfId="10435" xr:uid="{00000000-0005-0000-0000-0000C3280000}"/>
    <cellStyle name="Normal 4 3 8" xfId="10436" xr:uid="{00000000-0005-0000-0000-0000C4280000}"/>
    <cellStyle name="Normal 4 4" xfId="10437" xr:uid="{00000000-0005-0000-0000-0000C5280000}"/>
    <cellStyle name="Normal 4 5" xfId="10438" xr:uid="{00000000-0005-0000-0000-0000C6280000}"/>
    <cellStyle name="Normal 4 5 2" xfId="10439" xr:uid="{00000000-0005-0000-0000-0000C7280000}"/>
    <cellStyle name="Normal 4 5 2 2" xfId="10440" xr:uid="{00000000-0005-0000-0000-0000C8280000}"/>
    <cellStyle name="Normal 4 5 2 2 2" xfId="10441" xr:uid="{00000000-0005-0000-0000-0000C9280000}"/>
    <cellStyle name="Normal 4 5 2 3" xfId="10442" xr:uid="{00000000-0005-0000-0000-0000CA280000}"/>
    <cellStyle name="Normal 4 5 2 3 2" xfId="10443" xr:uid="{00000000-0005-0000-0000-0000CB280000}"/>
    <cellStyle name="Normal 4 5 2 4" xfId="10444" xr:uid="{00000000-0005-0000-0000-0000CC280000}"/>
    <cellStyle name="Normal 4 5 2 5" xfId="10445" xr:uid="{00000000-0005-0000-0000-0000CD280000}"/>
    <cellStyle name="Normal 4 5 3" xfId="10446" xr:uid="{00000000-0005-0000-0000-0000CE280000}"/>
    <cellStyle name="Normal 4 5 3 2" xfId="10447" xr:uid="{00000000-0005-0000-0000-0000CF280000}"/>
    <cellStyle name="Normal 4 5 4" xfId="10448" xr:uid="{00000000-0005-0000-0000-0000D0280000}"/>
    <cellStyle name="Normal 4 5 4 2" xfId="10449" xr:uid="{00000000-0005-0000-0000-0000D1280000}"/>
    <cellStyle name="Normal 4 5 5" xfId="10450" xr:uid="{00000000-0005-0000-0000-0000D2280000}"/>
    <cellStyle name="Normal 4 5 6" xfId="10451" xr:uid="{00000000-0005-0000-0000-0000D3280000}"/>
    <cellStyle name="Normal 4 6" xfId="10452" xr:uid="{00000000-0005-0000-0000-0000D4280000}"/>
    <cellStyle name="Normal 4 6 2" xfId="10453" xr:uid="{00000000-0005-0000-0000-0000D5280000}"/>
    <cellStyle name="Normal 4 6 2 2" xfId="10454" xr:uid="{00000000-0005-0000-0000-0000D6280000}"/>
    <cellStyle name="Normal 4 6 2 2 2" xfId="10455" xr:uid="{00000000-0005-0000-0000-0000D7280000}"/>
    <cellStyle name="Normal 4 6 2 3" xfId="10456" xr:uid="{00000000-0005-0000-0000-0000D8280000}"/>
    <cellStyle name="Normal 4 6 3" xfId="10457" xr:uid="{00000000-0005-0000-0000-0000D9280000}"/>
    <cellStyle name="Normal 4 6 3 2" xfId="10458" xr:uid="{00000000-0005-0000-0000-0000DA280000}"/>
    <cellStyle name="Normal 4 6 4" xfId="10459" xr:uid="{00000000-0005-0000-0000-0000DB280000}"/>
    <cellStyle name="Normal 4 6 4 2" xfId="10460" xr:uid="{00000000-0005-0000-0000-0000DC280000}"/>
    <cellStyle name="Normal 4 6 5" xfId="10461" xr:uid="{00000000-0005-0000-0000-0000DD280000}"/>
    <cellStyle name="Normal 4 6 6" xfId="10462" xr:uid="{00000000-0005-0000-0000-0000DE280000}"/>
    <cellStyle name="Normal 4 7" xfId="10463" xr:uid="{00000000-0005-0000-0000-0000DF280000}"/>
    <cellStyle name="Normal 4 7 2" xfId="10464" xr:uid="{00000000-0005-0000-0000-0000E0280000}"/>
    <cellStyle name="Normal 4 7 2 2" xfId="10465" xr:uid="{00000000-0005-0000-0000-0000E1280000}"/>
    <cellStyle name="Normal 4 7 3" xfId="10466" xr:uid="{00000000-0005-0000-0000-0000E2280000}"/>
    <cellStyle name="Normal 4 8" xfId="10467" xr:uid="{00000000-0005-0000-0000-0000E3280000}"/>
    <cellStyle name="Normal 40" xfId="10468" xr:uid="{00000000-0005-0000-0000-0000E4280000}"/>
    <cellStyle name="Normal 40 2" xfId="10469" xr:uid="{00000000-0005-0000-0000-0000E5280000}"/>
    <cellStyle name="Normal 40 3" xfId="10470" xr:uid="{00000000-0005-0000-0000-0000E6280000}"/>
    <cellStyle name="Normal 5" xfId="10471" xr:uid="{00000000-0005-0000-0000-0000E7280000}"/>
    <cellStyle name="Normal 5 2" xfId="10472" xr:uid="{00000000-0005-0000-0000-0000E8280000}"/>
    <cellStyle name="Normal 5 2 2" xfId="10473" xr:uid="{00000000-0005-0000-0000-0000E9280000}"/>
    <cellStyle name="Normal 5 2 2 2" xfId="10474" xr:uid="{00000000-0005-0000-0000-0000EA280000}"/>
    <cellStyle name="Normal 5 2 2 2 2" xfId="10475" xr:uid="{00000000-0005-0000-0000-0000EB280000}"/>
    <cellStyle name="Normal 5 2 2 2 2 2" xfId="10476" xr:uid="{00000000-0005-0000-0000-0000EC280000}"/>
    <cellStyle name="Normal 5 2 2 2 2 2 2" xfId="10477" xr:uid="{00000000-0005-0000-0000-0000ED280000}"/>
    <cellStyle name="Normal 5 2 2 2 2 3" xfId="10478" xr:uid="{00000000-0005-0000-0000-0000EE280000}"/>
    <cellStyle name="Normal 5 2 2 2 2 3 2" xfId="10479" xr:uid="{00000000-0005-0000-0000-0000EF280000}"/>
    <cellStyle name="Normal 5 2 2 2 2 4" xfId="10480" xr:uid="{00000000-0005-0000-0000-0000F0280000}"/>
    <cellStyle name="Normal 5 2 2 2 2 5" xfId="10481" xr:uid="{00000000-0005-0000-0000-0000F1280000}"/>
    <cellStyle name="Normal 5 2 2 2 3" xfId="10482" xr:uid="{00000000-0005-0000-0000-0000F2280000}"/>
    <cellStyle name="Normal 5 2 2 2 3 2" xfId="10483" xr:uid="{00000000-0005-0000-0000-0000F3280000}"/>
    <cellStyle name="Normal 5 2 2 2 4" xfId="10484" xr:uid="{00000000-0005-0000-0000-0000F4280000}"/>
    <cellStyle name="Normal 5 2 2 2 4 2" xfId="10485" xr:uid="{00000000-0005-0000-0000-0000F5280000}"/>
    <cellStyle name="Normal 5 2 2 2 5" xfId="10486" xr:uid="{00000000-0005-0000-0000-0000F6280000}"/>
    <cellStyle name="Normal 5 2 2 2 6" xfId="10487" xr:uid="{00000000-0005-0000-0000-0000F7280000}"/>
    <cellStyle name="Normal 5 2 2 3" xfId="10488" xr:uid="{00000000-0005-0000-0000-0000F8280000}"/>
    <cellStyle name="Normal 5 2 2 3 2" xfId="10489" xr:uid="{00000000-0005-0000-0000-0000F9280000}"/>
    <cellStyle name="Normal 5 2 2 3 2 2" xfId="10490" xr:uid="{00000000-0005-0000-0000-0000FA280000}"/>
    <cellStyle name="Normal 5 2 2 3 3" xfId="10491" xr:uid="{00000000-0005-0000-0000-0000FB280000}"/>
    <cellStyle name="Normal 5 2 2 3 3 2" xfId="10492" xr:uid="{00000000-0005-0000-0000-0000FC280000}"/>
    <cellStyle name="Normal 5 2 2 3 4" xfId="10493" xr:uid="{00000000-0005-0000-0000-0000FD280000}"/>
    <cellStyle name="Normal 5 2 2 3 5" xfId="10494" xr:uid="{00000000-0005-0000-0000-0000FE280000}"/>
    <cellStyle name="Normal 5 2 2 4" xfId="10495" xr:uid="{00000000-0005-0000-0000-0000FF280000}"/>
    <cellStyle name="Normal 5 2 2 4 2" xfId="10496" xr:uid="{00000000-0005-0000-0000-000000290000}"/>
    <cellStyle name="Normal 5 2 2 5" xfId="10497" xr:uid="{00000000-0005-0000-0000-000001290000}"/>
    <cellStyle name="Normal 5 2 2 5 2" xfId="10498" xr:uid="{00000000-0005-0000-0000-000002290000}"/>
    <cellStyle name="Normal 5 2 2 6" xfId="10499" xr:uid="{00000000-0005-0000-0000-000003290000}"/>
    <cellStyle name="Normal 5 2 2 7" xfId="10500" xr:uid="{00000000-0005-0000-0000-000004290000}"/>
    <cellStyle name="Normal 5 2 3" xfId="10501" xr:uid="{00000000-0005-0000-0000-000005290000}"/>
    <cellStyle name="Normal 5 2 3 2" xfId="10502" xr:uid="{00000000-0005-0000-0000-000006290000}"/>
    <cellStyle name="Normal 5 2 3 2 2" xfId="10503" xr:uid="{00000000-0005-0000-0000-000007290000}"/>
    <cellStyle name="Normal 5 2 3 2 2 2" xfId="10504" xr:uid="{00000000-0005-0000-0000-000008290000}"/>
    <cellStyle name="Normal 5 2 3 2 3" xfId="10505" xr:uid="{00000000-0005-0000-0000-000009290000}"/>
    <cellStyle name="Normal 5 2 3 2 3 2" xfId="10506" xr:uid="{00000000-0005-0000-0000-00000A290000}"/>
    <cellStyle name="Normal 5 2 3 2 4" xfId="10507" xr:uid="{00000000-0005-0000-0000-00000B290000}"/>
    <cellStyle name="Normal 5 2 3 2 5" xfId="10508" xr:uid="{00000000-0005-0000-0000-00000C290000}"/>
    <cellStyle name="Normal 5 2 3 3" xfId="10509" xr:uid="{00000000-0005-0000-0000-00000D290000}"/>
    <cellStyle name="Normal 5 2 3 3 2" xfId="10510" xr:uid="{00000000-0005-0000-0000-00000E290000}"/>
    <cellStyle name="Normal 5 2 3 4" xfId="10511" xr:uid="{00000000-0005-0000-0000-00000F290000}"/>
    <cellStyle name="Normal 5 2 3 4 2" xfId="10512" xr:uid="{00000000-0005-0000-0000-000010290000}"/>
    <cellStyle name="Normal 5 2 3 5" xfId="10513" xr:uid="{00000000-0005-0000-0000-000011290000}"/>
    <cellStyle name="Normal 5 2 3 6" xfId="10514" xr:uid="{00000000-0005-0000-0000-000012290000}"/>
    <cellStyle name="Normal 5 2 4" xfId="10515" xr:uid="{00000000-0005-0000-0000-000013290000}"/>
    <cellStyle name="Normal 5 2 4 2" xfId="10516" xr:uid="{00000000-0005-0000-0000-000014290000}"/>
    <cellStyle name="Normal 5 2 4 2 2" xfId="10517" xr:uid="{00000000-0005-0000-0000-000015290000}"/>
    <cellStyle name="Normal 5 2 4 2 2 2" xfId="10518" xr:uid="{00000000-0005-0000-0000-000016290000}"/>
    <cellStyle name="Normal 5 2 4 2 3" xfId="10519" xr:uid="{00000000-0005-0000-0000-000017290000}"/>
    <cellStyle name="Normal 5 2 4 3" xfId="10520" xr:uid="{00000000-0005-0000-0000-000018290000}"/>
    <cellStyle name="Normal 5 2 4 4" xfId="10521" xr:uid="{00000000-0005-0000-0000-000019290000}"/>
    <cellStyle name="Normal 5 2 4 4 2" xfId="10522" xr:uid="{00000000-0005-0000-0000-00001A290000}"/>
    <cellStyle name="Normal 5 2 4 5" xfId="10523" xr:uid="{00000000-0005-0000-0000-00001B290000}"/>
    <cellStyle name="Normal 5 2 5" xfId="10524" xr:uid="{00000000-0005-0000-0000-00001C290000}"/>
    <cellStyle name="Normal 5 2 5 2" xfId="10525" xr:uid="{00000000-0005-0000-0000-00001D290000}"/>
    <cellStyle name="Normal 5 2 5 3" xfId="10526" xr:uid="{00000000-0005-0000-0000-00001E290000}"/>
    <cellStyle name="Normal 5 2 6" xfId="10527" xr:uid="{00000000-0005-0000-0000-00001F290000}"/>
    <cellStyle name="Normal 5 2 6 2" xfId="10528" xr:uid="{00000000-0005-0000-0000-000020290000}"/>
    <cellStyle name="Normal 5 2 6 3" xfId="10529" xr:uid="{00000000-0005-0000-0000-000021290000}"/>
    <cellStyle name="Normal 5 2 7" xfId="10530" xr:uid="{00000000-0005-0000-0000-000022290000}"/>
    <cellStyle name="Normal 5 3" xfId="10531" xr:uid="{00000000-0005-0000-0000-000023290000}"/>
    <cellStyle name="Normal 5 3 2" xfId="10532" xr:uid="{00000000-0005-0000-0000-000024290000}"/>
    <cellStyle name="Normal 5 3 2 2" xfId="10533" xr:uid="{00000000-0005-0000-0000-000025290000}"/>
    <cellStyle name="Normal 5 3 2 2 2" xfId="10534" xr:uid="{00000000-0005-0000-0000-000026290000}"/>
    <cellStyle name="Normal 5 3 2 2 2 2" xfId="10535" xr:uid="{00000000-0005-0000-0000-000027290000}"/>
    <cellStyle name="Normal 5 3 2 2 3" xfId="10536" xr:uid="{00000000-0005-0000-0000-000028290000}"/>
    <cellStyle name="Normal 5 3 2 2 3 2" xfId="10537" xr:uid="{00000000-0005-0000-0000-000029290000}"/>
    <cellStyle name="Normal 5 3 2 2 4" xfId="10538" xr:uid="{00000000-0005-0000-0000-00002A290000}"/>
    <cellStyle name="Normal 5 3 2 2 5" xfId="10539" xr:uid="{00000000-0005-0000-0000-00002B290000}"/>
    <cellStyle name="Normal 5 3 2 3" xfId="10540" xr:uid="{00000000-0005-0000-0000-00002C290000}"/>
    <cellStyle name="Normal 5 3 2 3 2" xfId="10541" xr:uid="{00000000-0005-0000-0000-00002D290000}"/>
    <cellStyle name="Normal 5 3 2 4" xfId="10542" xr:uid="{00000000-0005-0000-0000-00002E290000}"/>
    <cellStyle name="Normal 5 3 2 4 2" xfId="10543" xr:uid="{00000000-0005-0000-0000-00002F290000}"/>
    <cellStyle name="Normal 5 3 2 5" xfId="10544" xr:uid="{00000000-0005-0000-0000-000030290000}"/>
    <cellStyle name="Normal 5 3 2 6" xfId="10545" xr:uid="{00000000-0005-0000-0000-000031290000}"/>
    <cellStyle name="Normal 5 3 3" xfId="10546" xr:uid="{00000000-0005-0000-0000-000032290000}"/>
    <cellStyle name="Normal 5 3 3 2" xfId="10547" xr:uid="{00000000-0005-0000-0000-000033290000}"/>
    <cellStyle name="Normal 5 3 3 2 2" xfId="10548" xr:uid="{00000000-0005-0000-0000-000034290000}"/>
    <cellStyle name="Normal 5 3 3 3" xfId="10549" xr:uid="{00000000-0005-0000-0000-000035290000}"/>
    <cellStyle name="Normal 5 3 3 3 2" xfId="10550" xr:uid="{00000000-0005-0000-0000-000036290000}"/>
    <cellStyle name="Normal 5 3 3 4" xfId="10551" xr:uid="{00000000-0005-0000-0000-000037290000}"/>
    <cellStyle name="Normal 5 3 3 5" xfId="10552" xr:uid="{00000000-0005-0000-0000-000038290000}"/>
    <cellStyle name="Normal 5 3 4" xfId="10553" xr:uid="{00000000-0005-0000-0000-000039290000}"/>
    <cellStyle name="Normal 5 3 4 2" xfId="10554" xr:uid="{00000000-0005-0000-0000-00003A290000}"/>
    <cellStyle name="Normal 5 3 5" xfId="10555" xr:uid="{00000000-0005-0000-0000-00003B290000}"/>
    <cellStyle name="Normal 5 3 5 2" xfId="10556" xr:uid="{00000000-0005-0000-0000-00003C290000}"/>
    <cellStyle name="Normal 5 3 6" xfId="10557" xr:uid="{00000000-0005-0000-0000-00003D290000}"/>
    <cellStyle name="Normal 5 3 7" xfId="10558" xr:uid="{00000000-0005-0000-0000-00003E290000}"/>
    <cellStyle name="Normal 5 4" xfId="10559" xr:uid="{00000000-0005-0000-0000-00003F290000}"/>
    <cellStyle name="Normal 5 5" xfId="10560" xr:uid="{00000000-0005-0000-0000-000040290000}"/>
    <cellStyle name="Normal 5 5 2" xfId="10561" xr:uid="{00000000-0005-0000-0000-000041290000}"/>
    <cellStyle name="Normal 5 5 2 2" xfId="10562" xr:uid="{00000000-0005-0000-0000-000042290000}"/>
    <cellStyle name="Normal 5 5 2 2 2" xfId="10563" xr:uid="{00000000-0005-0000-0000-000043290000}"/>
    <cellStyle name="Normal 5 5 2 3" xfId="10564" xr:uid="{00000000-0005-0000-0000-000044290000}"/>
    <cellStyle name="Normal 5 5 2 3 2" xfId="10565" xr:uid="{00000000-0005-0000-0000-000045290000}"/>
    <cellStyle name="Normal 5 5 2 4" xfId="10566" xr:uid="{00000000-0005-0000-0000-000046290000}"/>
    <cellStyle name="Normal 5 5 2 5" xfId="10567" xr:uid="{00000000-0005-0000-0000-000047290000}"/>
    <cellStyle name="Normal 5 5 3" xfId="10568" xr:uid="{00000000-0005-0000-0000-000048290000}"/>
    <cellStyle name="Normal 5 5 3 2" xfId="10569" xr:uid="{00000000-0005-0000-0000-000049290000}"/>
    <cellStyle name="Normal 5 5 4" xfId="10570" xr:uid="{00000000-0005-0000-0000-00004A290000}"/>
    <cellStyle name="Normal 5 5 4 2" xfId="10571" xr:uid="{00000000-0005-0000-0000-00004B290000}"/>
    <cellStyle name="Normal 5 5 5" xfId="10572" xr:uid="{00000000-0005-0000-0000-00004C290000}"/>
    <cellStyle name="Normal 5 5 6" xfId="10573" xr:uid="{00000000-0005-0000-0000-00004D290000}"/>
    <cellStyle name="Normal 5 6" xfId="10574" xr:uid="{00000000-0005-0000-0000-00004E290000}"/>
    <cellStyle name="Normal 5 6 2" xfId="10575" xr:uid="{00000000-0005-0000-0000-00004F290000}"/>
    <cellStyle name="Normal 5 6 2 2" xfId="10576" xr:uid="{00000000-0005-0000-0000-000050290000}"/>
    <cellStyle name="Normal 5 6 2 2 2" xfId="10577" xr:uid="{00000000-0005-0000-0000-000051290000}"/>
    <cellStyle name="Normal 5 6 2 3" xfId="10578" xr:uid="{00000000-0005-0000-0000-000052290000}"/>
    <cellStyle name="Normal 5 6 3" xfId="10579" xr:uid="{00000000-0005-0000-0000-000053290000}"/>
    <cellStyle name="Normal 5 6 3 2" xfId="10580" xr:uid="{00000000-0005-0000-0000-000054290000}"/>
    <cellStyle name="Normal 5 6 4" xfId="10581" xr:uid="{00000000-0005-0000-0000-000055290000}"/>
    <cellStyle name="Normal 5 6 4 2" xfId="10582" xr:uid="{00000000-0005-0000-0000-000056290000}"/>
    <cellStyle name="Normal 5 6 5" xfId="10583" xr:uid="{00000000-0005-0000-0000-000057290000}"/>
    <cellStyle name="Normal 5 6 6" xfId="10584" xr:uid="{00000000-0005-0000-0000-000058290000}"/>
    <cellStyle name="Normal 5 7" xfId="10585" xr:uid="{00000000-0005-0000-0000-000059290000}"/>
    <cellStyle name="Normal 5 8" xfId="10586" xr:uid="{00000000-0005-0000-0000-00005A290000}"/>
    <cellStyle name="Normal 6" xfId="10587" xr:uid="{00000000-0005-0000-0000-00005B290000}"/>
    <cellStyle name="Normal 6 2" xfId="10588" xr:uid="{00000000-0005-0000-0000-00005C290000}"/>
    <cellStyle name="Normal 6 2 2" xfId="10589" xr:uid="{00000000-0005-0000-0000-00005D290000}"/>
    <cellStyle name="Normal 6 2 2 2" xfId="10590" xr:uid="{00000000-0005-0000-0000-00005E290000}"/>
    <cellStyle name="Normal 6 2 2 2 2" xfId="10591" xr:uid="{00000000-0005-0000-0000-00005F290000}"/>
    <cellStyle name="Normal 6 2 2 2 2 2" xfId="10592" xr:uid="{00000000-0005-0000-0000-000060290000}"/>
    <cellStyle name="Normal 6 2 2 2 2 2 2" xfId="10593" xr:uid="{00000000-0005-0000-0000-000061290000}"/>
    <cellStyle name="Normal 6 2 2 2 2 3" xfId="10594" xr:uid="{00000000-0005-0000-0000-000062290000}"/>
    <cellStyle name="Normal 6 2 2 2 2 3 2" xfId="10595" xr:uid="{00000000-0005-0000-0000-000063290000}"/>
    <cellStyle name="Normal 6 2 2 2 2 4" xfId="10596" xr:uid="{00000000-0005-0000-0000-000064290000}"/>
    <cellStyle name="Normal 6 2 2 2 2 5" xfId="10597" xr:uid="{00000000-0005-0000-0000-000065290000}"/>
    <cellStyle name="Normal 6 2 2 2 3" xfId="10598" xr:uid="{00000000-0005-0000-0000-000066290000}"/>
    <cellStyle name="Normal 6 2 2 2 3 2" xfId="10599" xr:uid="{00000000-0005-0000-0000-000067290000}"/>
    <cellStyle name="Normal 6 2 2 2 4" xfId="10600" xr:uid="{00000000-0005-0000-0000-000068290000}"/>
    <cellStyle name="Normal 6 2 2 2 4 2" xfId="10601" xr:uid="{00000000-0005-0000-0000-000069290000}"/>
    <cellStyle name="Normal 6 2 2 2 5" xfId="10602" xr:uid="{00000000-0005-0000-0000-00006A290000}"/>
    <cellStyle name="Normal 6 2 2 2 6" xfId="10603" xr:uid="{00000000-0005-0000-0000-00006B290000}"/>
    <cellStyle name="Normal 6 2 2 3" xfId="10604" xr:uid="{00000000-0005-0000-0000-00006C290000}"/>
    <cellStyle name="Normal 6 2 2 3 2" xfId="10605" xr:uid="{00000000-0005-0000-0000-00006D290000}"/>
    <cellStyle name="Normal 6 2 2 3 2 2" xfId="10606" xr:uid="{00000000-0005-0000-0000-00006E290000}"/>
    <cellStyle name="Normal 6 2 2 3 3" xfId="10607" xr:uid="{00000000-0005-0000-0000-00006F290000}"/>
    <cellStyle name="Normal 6 2 2 3 3 2" xfId="10608" xr:uid="{00000000-0005-0000-0000-000070290000}"/>
    <cellStyle name="Normal 6 2 2 3 4" xfId="10609" xr:uid="{00000000-0005-0000-0000-000071290000}"/>
    <cellStyle name="Normal 6 2 2 3 5" xfId="10610" xr:uid="{00000000-0005-0000-0000-000072290000}"/>
    <cellStyle name="Normal 6 2 2 4" xfId="10611" xr:uid="{00000000-0005-0000-0000-000073290000}"/>
    <cellStyle name="Normal 6 2 2 4 2" xfId="10612" xr:uid="{00000000-0005-0000-0000-000074290000}"/>
    <cellStyle name="Normal 6 2 2 5" xfId="10613" xr:uid="{00000000-0005-0000-0000-000075290000}"/>
    <cellStyle name="Normal 6 2 2 5 2" xfId="10614" xr:uid="{00000000-0005-0000-0000-000076290000}"/>
    <cellStyle name="Normal 6 2 2 6" xfId="10615" xr:uid="{00000000-0005-0000-0000-000077290000}"/>
    <cellStyle name="Normal 6 2 2 7" xfId="10616" xr:uid="{00000000-0005-0000-0000-000078290000}"/>
    <cellStyle name="Normal 6 2 3" xfId="10617" xr:uid="{00000000-0005-0000-0000-000079290000}"/>
    <cellStyle name="Normal 6 2 4" xfId="10618" xr:uid="{00000000-0005-0000-0000-00007A290000}"/>
    <cellStyle name="Normal 6 2 4 2" xfId="10619" xr:uid="{00000000-0005-0000-0000-00007B290000}"/>
    <cellStyle name="Normal 6 2 4 2 2" xfId="10620" xr:uid="{00000000-0005-0000-0000-00007C290000}"/>
    <cellStyle name="Normal 6 2 4 2 2 2" xfId="10621" xr:uid="{00000000-0005-0000-0000-00007D290000}"/>
    <cellStyle name="Normal 6 2 4 2 3" xfId="10622" xr:uid="{00000000-0005-0000-0000-00007E290000}"/>
    <cellStyle name="Normal 6 2 4 2 3 2" xfId="10623" xr:uid="{00000000-0005-0000-0000-00007F290000}"/>
    <cellStyle name="Normal 6 2 4 2 4" xfId="10624" xr:uid="{00000000-0005-0000-0000-000080290000}"/>
    <cellStyle name="Normal 6 2 4 2 5" xfId="10625" xr:uid="{00000000-0005-0000-0000-000081290000}"/>
    <cellStyle name="Normal 6 2 4 3" xfId="10626" xr:uid="{00000000-0005-0000-0000-000082290000}"/>
    <cellStyle name="Normal 6 2 4 3 2" xfId="10627" xr:uid="{00000000-0005-0000-0000-000083290000}"/>
    <cellStyle name="Normal 6 2 4 4" xfId="10628" xr:uid="{00000000-0005-0000-0000-000084290000}"/>
    <cellStyle name="Normal 6 2 4 4 2" xfId="10629" xr:uid="{00000000-0005-0000-0000-000085290000}"/>
    <cellStyle name="Normal 6 2 4 5" xfId="10630" xr:uid="{00000000-0005-0000-0000-000086290000}"/>
    <cellStyle name="Normal 6 2 4 6" xfId="10631" xr:uid="{00000000-0005-0000-0000-000087290000}"/>
    <cellStyle name="Normal 6 2 5" xfId="10632" xr:uid="{00000000-0005-0000-0000-000088290000}"/>
    <cellStyle name="Normal 6 2 5 2" xfId="10633" xr:uid="{00000000-0005-0000-0000-000089290000}"/>
    <cellStyle name="Normal 6 2 5 2 2" xfId="10634" xr:uid="{00000000-0005-0000-0000-00008A290000}"/>
    <cellStyle name="Normal 6 2 5 2 2 2" xfId="10635" xr:uid="{00000000-0005-0000-0000-00008B290000}"/>
    <cellStyle name="Normal 6 2 5 2 3" xfId="10636" xr:uid="{00000000-0005-0000-0000-00008C290000}"/>
    <cellStyle name="Normal 6 2 5 3" xfId="10637" xr:uid="{00000000-0005-0000-0000-00008D290000}"/>
    <cellStyle name="Normal 6 2 5 3 2" xfId="10638" xr:uid="{00000000-0005-0000-0000-00008E290000}"/>
    <cellStyle name="Normal 6 2 5 4" xfId="10639" xr:uid="{00000000-0005-0000-0000-00008F290000}"/>
    <cellStyle name="Normal 6 2 5 4 2" xfId="10640" xr:uid="{00000000-0005-0000-0000-000090290000}"/>
    <cellStyle name="Normal 6 2 5 5" xfId="10641" xr:uid="{00000000-0005-0000-0000-000091290000}"/>
    <cellStyle name="Normal 6 2 5 6" xfId="10642" xr:uid="{00000000-0005-0000-0000-000092290000}"/>
    <cellStyle name="Normal 6 2 6" xfId="10643" xr:uid="{00000000-0005-0000-0000-000093290000}"/>
    <cellStyle name="Normal 6 2 6 2" xfId="10644" xr:uid="{00000000-0005-0000-0000-000094290000}"/>
    <cellStyle name="Normal 6 2 6 3" xfId="10645" xr:uid="{00000000-0005-0000-0000-000095290000}"/>
    <cellStyle name="Normal 6 3" xfId="10646" xr:uid="{00000000-0005-0000-0000-000096290000}"/>
    <cellStyle name="Normal 6 3 2" xfId="10647" xr:uid="{00000000-0005-0000-0000-000097290000}"/>
    <cellStyle name="Normal 6 3 2 2" xfId="10648" xr:uid="{00000000-0005-0000-0000-000098290000}"/>
    <cellStyle name="Normal 6 3 2 2 2" xfId="10649" xr:uid="{00000000-0005-0000-0000-000099290000}"/>
    <cellStyle name="Normal 6 3 2 2 2 2" xfId="10650" xr:uid="{00000000-0005-0000-0000-00009A290000}"/>
    <cellStyle name="Normal 6 3 2 2 3" xfId="10651" xr:uid="{00000000-0005-0000-0000-00009B290000}"/>
    <cellStyle name="Normal 6 3 2 2 3 2" xfId="10652" xr:uid="{00000000-0005-0000-0000-00009C290000}"/>
    <cellStyle name="Normal 6 3 2 2 4" xfId="10653" xr:uid="{00000000-0005-0000-0000-00009D290000}"/>
    <cellStyle name="Normal 6 3 2 2 5" xfId="10654" xr:uid="{00000000-0005-0000-0000-00009E290000}"/>
    <cellStyle name="Normal 6 3 2 3" xfId="10655" xr:uid="{00000000-0005-0000-0000-00009F290000}"/>
    <cellStyle name="Normal 6 3 2 3 2" xfId="10656" xr:uid="{00000000-0005-0000-0000-0000A0290000}"/>
    <cellStyle name="Normal 6 3 2 4" xfId="10657" xr:uid="{00000000-0005-0000-0000-0000A1290000}"/>
    <cellStyle name="Normal 6 3 2 4 2" xfId="10658" xr:uid="{00000000-0005-0000-0000-0000A2290000}"/>
    <cellStyle name="Normal 6 3 2 5" xfId="10659" xr:uid="{00000000-0005-0000-0000-0000A3290000}"/>
    <cellStyle name="Normal 6 3 2 6" xfId="10660" xr:uid="{00000000-0005-0000-0000-0000A4290000}"/>
    <cellStyle name="Normal 6 3 3" xfId="10661" xr:uid="{00000000-0005-0000-0000-0000A5290000}"/>
    <cellStyle name="Normal 6 3 3 2" xfId="10662" xr:uid="{00000000-0005-0000-0000-0000A6290000}"/>
    <cellStyle name="Normal 6 3 3 2 2" xfId="10663" xr:uid="{00000000-0005-0000-0000-0000A7290000}"/>
    <cellStyle name="Normal 6 3 3 3" xfId="10664" xr:uid="{00000000-0005-0000-0000-0000A8290000}"/>
    <cellStyle name="Normal 6 3 3 3 2" xfId="10665" xr:uid="{00000000-0005-0000-0000-0000A9290000}"/>
    <cellStyle name="Normal 6 3 3 4" xfId="10666" xr:uid="{00000000-0005-0000-0000-0000AA290000}"/>
    <cellStyle name="Normal 6 3 3 5" xfId="10667" xr:uid="{00000000-0005-0000-0000-0000AB290000}"/>
    <cellStyle name="Normal 6 3 4" xfId="10668" xr:uid="{00000000-0005-0000-0000-0000AC290000}"/>
    <cellStyle name="Normal 6 3 4 2" xfId="10669" xr:uid="{00000000-0005-0000-0000-0000AD290000}"/>
    <cellStyle name="Normal 6 3 5" xfId="10670" xr:uid="{00000000-0005-0000-0000-0000AE290000}"/>
    <cellStyle name="Normal 6 3 5 2" xfId="10671" xr:uid="{00000000-0005-0000-0000-0000AF290000}"/>
    <cellStyle name="Normal 6 3 6" xfId="10672" xr:uid="{00000000-0005-0000-0000-0000B0290000}"/>
    <cellStyle name="Normal 6 3 7" xfId="10673" xr:uid="{00000000-0005-0000-0000-0000B1290000}"/>
    <cellStyle name="Normal 6 4" xfId="10674" xr:uid="{00000000-0005-0000-0000-0000B2290000}"/>
    <cellStyle name="Normal 6 5" xfId="10675" xr:uid="{00000000-0005-0000-0000-0000B3290000}"/>
    <cellStyle name="Normal 6 5 2" xfId="10676" xr:uid="{00000000-0005-0000-0000-0000B4290000}"/>
    <cellStyle name="Normal 6 5 2 2" xfId="10677" xr:uid="{00000000-0005-0000-0000-0000B5290000}"/>
    <cellStyle name="Normal 6 5 2 2 2" xfId="10678" xr:uid="{00000000-0005-0000-0000-0000B6290000}"/>
    <cellStyle name="Normal 6 5 2 3" xfId="10679" xr:uid="{00000000-0005-0000-0000-0000B7290000}"/>
    <cellStyle name="Normal 6 5 2 3 2" xfId="10680" xr:uid="{00000000-0005-0000-0000-0000B8290000}"/>
    <cellStyle name="Normal 6 5 2 4" xfId="10681" xr:uid="{00000000-0005-0000-0000-0000B9290000}"/>
    <cellStyle name="Normal 6 5 2 5" xfId="10682" xr:uid="{00000000-0005-0000-0000-0000BA290000}"/>
    <cellStyle name="Normal 6 5 3" xfId="10683" xr:uid="{00000000-0005-0000-0000-0000BB290000}"/>
    <cellStyle name="Normal 6 5 3 2" xfId="10684" xr:uid="{00000000-0005-0000-0000-0000BC290000}"/>
    <cellStyle name="Normal 6 5 4" xfId="10685" xr:uid="{00000000-0005-0000-0000-0000BD290000}"/>
    <cellStyle name="Normal 6 5 4 2" xfId="10686" xr:uid="{00000000-0005-0000-0000-0000BE290000}"/>
    <cellStyle name="Normal 6 5 5" xfId="10687" xr:uid="{00000000-0005-0000-0000-0000BF290000}"/>
    <cellStyle name="Normal 6 5 6" xfId="10688" xr:uid="{00000000-0005-0000-0000-0000C0290000}"/>
    <cellStyle name="Normal 6 6" xfId="10689" xr:uid="{00000000-0005-0000-0000-0000C1290000}"/>
    <cellStyle name="Normal 6 6 2" xfId="10690" xr:uid="{00000000-0005-0000-0000-0000C2290000}"/>
    <cellStyle name="Normal 6 6 2 2" xfId="10691" xr:uid="{00000000-0005-0000-0000-0000C3290000}"/>
    <cellStyle name="Normal 6 6 2 2 2" xfId="10692" xr:uid="{00000000-0005-0000-0000-0000C4290000}"/>
    <cellStyle name="Normal 6 6 2 3" xfId="10693" xr:uid="{00000000-0005-0000-0000-0000C5290000}"/>
    <cellStyle name="Normal 6 6 3" xfId="10694" xr:uid="{00000000-0005-0000-0000-0000C6290000}"/>
    <cellStyle name="Normal 6 6 3 2" xfId="10695" xr:uid="{00000000-0005-0000-0000-0000C7290000}"/>
    <cellStyle name="Normal 6 6 4" xfId="10696" xr:uid="{00000000-0005-0000-0000-0000C8290000}"/>
    <cellStyle name="Normal 6 6 4 2" xfId="10697" xr:uid="{00000000-0005-0000-0000-0000C9290000}"/>
    <cellStyle name="Normal 6 6 5" xfId="10698" xr:uid="{00000000-0005-0000-0000-0000CA290000}"/>
    <cellStyle name="Normal 6 6 6" xfId="10699" xr:uid="{00000000-0005-0000-0000-0000CB290000}"/>
    <cellStyle name="Normal 6 7" xfId="10700" xr:uid="{00000000-0005-0000-0000-0000CC290000}"/>
    <cellStyle name="Normal 6 7 2" xfId="10701" xr:uid="{00000000-0005-0000-0000-0000CD290000}"/>
    <cellStyle name="Normal 6 7 3" xfId="10702" xr:uid="{00000000-0005-0000-0000-0000CE290000}"/>
    <cellStyle name="Normal 6 8" xfId="10703" xr:uid="{00000000-0005-0000-0000-0000CF290000}"/>
    <cellStyle name="Normal 7" xfId="10704" xr:uid="{00000000-0005-0000-0000-0000D0290000}"/>
    <cellStyle name="Normal 7 2" xfId="10705" xr:uid="{00000000-0005-0000-0000-0000D1290000}"/>
    <cellStyle name="Normal 7 2 2" xfId="10706" xr:uid="{00000000-0005-0000-0000-0000D2290000}"/>
    <cellStyle name="Normal 7 3" xfId="10707" xr:uid="{00000000-0005-0000-0000-0000D3290000}"/>
    <cellStyle name="Normal 7 4" xfId="10708" xr:uid="{00000000-0005-0000-0000-0000D4290000}"/>
    <cellStyle name="Normal 8" xfId="10709" xr:uid="{00000000-0005-0000-0000-0000D5290000}"/>
    <cellStyle name="Normal 8 10" xfId="10710" xr:uid="{00000000-0005-0000-0000-0000D6290000}"/>
    <cellStyle name="Normal 8 11" xfId="10711" xr:uid="{00000000-0005-0000-0000-0000D7290000}"/>
    <cellStyle name="Normal 8 2" xfId="10712" xr:uid="{00000000-0005-0000-0000-0000D8290000}"/>
    <cellStyle name="Normal 8 2 10" xfId="10713" xr:uid="{00000000-0005-0000-0000-0000D9290000}"/>
    <cellStyle name="Normal 8 2 11" xfId="10714" xr:uid="{00000000-0005-0000-0000-0000DA290000}"/>
    <cellStyle name="Normal 8 2 2" xfId="10715" xr:uid="{00000000-0005-0000-0000-0000DB290000}"/>
    <cellStyle name="Normal 8 2 2 2" xfId="10716" xr:uid="{00000000-0005-0000-0000-0000DC290000}"/>
    <cellStyle name="Normal 8 2 2 2 2" xfId="10717" xr:uid="{00000000-0005-0000-0000-0000DD290000}"/>
    <cellStyle name="Normal 8 2 2 2 2 2" xfId="10718" xr:uid="{00000000-0005-0000-0000-0000DE290000}"/>
    <cellStyle name="Normal 8 2 2 2 2 2 2" xfId="10719" xr:uid="{00000000-0005-0000-0000-0000DF290000}"/>
    <cellStyle name="Normal 8 2 2 2 2 3" xfId="10720" xr:uid="{00000000-0005-0000-0000-0000E0290000}"/>
    <cellStyle name="Normal 8 2 2 2 2 3 2" xfId="10721" xr:uid="{00000000-0005-0000-0000-0000E1290000}"/>
    <cellStyle name="Normal 8 2 2 2 2 4" xfId="10722" xr:uid="{00000000-0005-0000-0000-0000E2290000}"/>
    <cellStyle name="Normal 8 2 2 2 2 5" xfId="10723" xr:uid="{00000000-0005-0000-0000-0000E3290000}"/>
    <cellStyle name="Normal 8 2 2 2 3" xfId="10724" xr:uid="{00000000-0005-0000-0000-0000E4290000}"/>
    <cellStyle name="Normal 8 2 2 2 3 2" xfId="10725" xr:uid="{00000000-0005-0000-0000-0000E5290000}"/>
    <cellStyle name="Normal 8 2 2 2 4" xfId="10726" xr:uid="{00000000-0005-0000-0000-0000E6290000}"/>
    <cellStyle name="Normal 8 2 2 2 4 2" xfId="10727" xr:uid="{00000000-0005-0000-0000-0000E7290000}"/>
    <cellStyle name="Normal 8 2 2 2 5" xfId="10728" xr:uid="{00000000-0005-0000-0000-0000E8290000}"/>
    <cellStyle name="Normal 8 2 2 2 6" xfId="10729" xr:uid="{00000000-0005-0000-0000-0000E9290000}"/>
    <cellStyle name="Normal 8 2 2 3" xfId="10730" xr:uid="{00000000-0005-0000-0000-0000EA290000}"/>
    <cellStyle name="Normal 8 2 2 3 2" xfId="10731" xr:uid="{00000000-0005-0000-0000-0000EB290000}"/>
    <cellStyle name="Normal 8 2 2 3 2 2" xfId="10732" xr:uid="{00000000-0005-0000-0000-0000EC290000}"/>
    <cellStyle name="Normal 8 2 2 3 3" xfId="10733" xr:uid="{00000000-0005-0000-0000-0000ED290000}"/>
    <cellStyle name="Normal 8 2 2 3 3 2" xfId="10734" xr:uid="{00000000-0005-0000-0000-0000EE290000}"/>
    <cellStyle name="Normal 8 2 2 3 4" xfId="10735" xr:uid="{00000000-0005-0000-0000-0000EF290000}"/>
    <cellStyle name="Normal 8 2 2 3 5" xfId="10736" xr:uid="{00000000-0005-0000-0000-0000F0290000}"/>
    <cellStyle name="Normal 8 2 2 4" xfId="10737" xr:uid="{00000000-0005-0000-0000-0000F1290000}"/>
    <cellStyle name="Normal 8 2 2 4 2" xfId="10738" xr:uid="{00000000-0005-0000-0000-0000F2290000}"/>
    <cellStyle name="Normal 8 2 2 5" xfId="10739" xr:uid="{00000000-0005-0000-0000-0000F3290000}"/>
    <cellStyle name="Normal 8 2 2 5 2" xfId="10740" xr:uid="{00000000-0005-0000-0000-0000F4290000}"/>
    <cellStyle name="Normal 8 2 2 6" xfId="10741" xr:uid="{00000000-0005-0000-0000-0000F5290000}"/>
    <cellStyle name="Normal 8 2 2 7" xfId="10742" xr:uid="{00000000-0005-0000-0000-0000F6290000}"/>
    <cellStyle name="Normal 8 2 3" xfId="10743" xr:uid="{00000000-0005-0000-0000-0000F7290000}"/>
    <cellStyle name="Normal 8 2 3 2" xfId="10744" xr:uid="{00000000-0005-0000-0000-0000F8290000}"/>
    <cellStyle name="Normal 8 2 3 2 2" xfId="10745" xr:uid="{00000000-0005-0000-0000-0000F9290000}"/>
    <cellStyle name="Normal 8 2 3 2 2 2" xfId="10746" xr:uid="{00000000-0005-0000-0000-0000FA290000}"/>
    <cellStyle name="Normal 8 2 3 2 3" xfId="10747" xr:uid="{00000000-0005-0000-0000-0000FB290000}"/>
    <cellStyle name="Normal 8 2 3 2 3 2" xfId="10748" xr:uid="{00000000-0005-0000-0000-0000FC290000}"/>
    <cellStyle name="Normal 8 2 3 2 4" xfId="10749" xr:uid="{00000000-0005-0000-0000-0000FD290000}"/>
    <cellStyle name="Normal 8 2 3 2 5" xfId="10750" xr:uid="{00000000-0005-0000-0000-0000FE290000}"/>
    <cellStyle name="Normal 8 2 3 3" xfId="10751" xr:uid="{00000000-0005-0000-0000-0000FF290000}"/>
    <cellStyle name="Normal 8 2 3 3 2" xfId="10752" xr:uid="{00000000-0005-0000-0000-0000002A0000}"/>
    <cellStyle name="Normal 8 2 3 4" xfId="10753" xr:uid="{00000000-0005-0000-0000-0000012A0000}"/>
    <cellStyle name="Normal 8 2 3 4 2" xfId="10754" xr:uid="{00000000-0005-0000-0000-0000022A0000}"/>
    <cellStyle name="Normal 8 2 3 5" xfId="10755" xr:uid="{00000000-0005-0000-0000-0000032A0000}"/>
    <cellStyle name="Normal 8 2 3 6" xfId="10756" xr:uid="{00000000-0005-0000-0000-0000042A0000}"/>
    <cellStyle name="Normal 8 2 4" xfId="10757" xr:uid="{00000000-0005-0000-0000-0000052A0000}"/>
    <cellStyle name="Normal 8 2 4 2" xfId="10758" xr:uid="{00000000-0005-0000-0000-0000062A0000}"/>
    <cellStyle name="Normal 8 2 4 2 2" xfId="10759" xr:uid="{00000000-0005-0000-0000-0000072A0000}"/>
    <cellStyle name="Normal 8 2 4 2 3" xfId="10760" xr:uid="{00000000-0005-0000-0000-0000082A0000}"/>
    <cellStyle name="Normal 8 2 4 3" xfId="10761" xr:uid="{00000000-0005-0000-0000-0000092A0000}"/>
    <cellStyle name="Normal 8 2 4 3 2" xfId="10762" xr:uid="{00000000-0005-0000-0000-00000A2A0000}"/>
    <cellStyle name="Normal 8 2 4 4" xfId="10763" xr:uid="{00000000-0005-0000-0000-00000B2A0000}"/>
    <cellStyle name="Normal 8 2 4 4 2" xfId="10764" xr:uid="{00000000-0005-0000-0000-00000C2A0000}"/>
    <cellStyle name="Normal 8 2 4 5" xfId="10765" xr:uid="{00000000-0005-0000-0000-00000D2A0000}"/>
    <cellStyle name="Normal 8 2 4 6" xfId="10766" xr:uid="{00000000-0005-0000-0000-00000E2A0000}"/>
    <cellStyle name="Normal 8 2 5" xfId="10767" xr:uid="{00000000-0005-0000-0000-00000F2A0000}"/>
    <cellStyle name="Normal 8 2 5 2" xfId="10768" xr:uid="{00000000-0005-0000-0000-0000102A0000}"/>
    <cellStyle name="Normal 8 2 5 2 2" xfId="10769" xr:uid="{00000000-0005-0000-0000-0000112A0000}"/>
    <cellStyle name="Normal 8 2 5 2 3" xfId="10770" xr:uid="{00000000-0005-0000-0000-0000122A0000}"/>
    <cellStyle name="Normal 8 2 5 3" xfId="10771" xr:uid="{00000000-0005-0000-0000-0000132A0000}"/>
    <cellStyle name="Normal 8 2 5 4" xfId="10772" xr:uid="{00000000-0005-0000-0000-0000142A0000}"/>
    <cellStyle name="Normal 8 2 6" xfId="10773" xr:uid="{00000000-0005-0000-0000-0000152A0000}"/>
    <cellStyle name="Normal 8 2 6 2" xfId="10774" xr:uid="{00000000-0005-0000-0000-0000162A0000}"/>
    <cellStyle name="Normal 8 2 6 3" xfId="10775" xr:uid="{00000000-0005-0000-0000-0000172A0000}"/>
    <cellStyle name="Normal 8 2 7" xfId="10776" xr:uid="{00000000-0005-0000-0000-0000182A0000}"/>
    <cellStyle name="Normal 8 2 7 2" xfId="10777" xr:uid="{00000000-0005-0000-0000-0000192A0000}"/>
    <cellStyle name="Normal 8 2 8" xfId="10778" xr:uid="{00000000-0005-0000-0000-00001A2A0000}"/>
    <cellStyle name="Normal 8 2 8 2" xfId="10779" xr:uid="{00000000-0005-0000-0000-00001B2A0000}"/>
    <cellStyle name="Normal 8 2 9" xfId="10780" xr:uid="{00000000-0005-0000-0000-00001C2A0000}"/>
    <cellStyle name="Normal 8 3" xfId="10781" xr:uid="{00000000-0005-0000-0000-00001D2A0000}"/>
    <cellStyle name="Normal 8 3 2" xfId="10782" xr:uid="{00000000-0005-0000-0000-00001E2A0000}"/>
    <cellStyle name="Normal 8 3 2 2" xfId="10783" xr:uid="{00000000-0005-0000-0000-00001F2A0000}"/>
    <cellStyle name="Normal 8 3 2 2 2" xfId="10784" xr:uid="{00000000-0005-0000-0000-0000202A0000}"/>
    <cellStyle name="Normal 8 3 2 2 2 2" xfId="10785" xr:uid="{00000000-0005-0000-0000-0000212A0000}"/>
    <cellStyle name="Normal 8 3 2 2 3" xfId="10786" xr:uid="{00000000-0005-0000-0000-0000222A0000}"/>
    <cellStyle name="Normal 8 3 2 2 3 2" xfId="10787" xr:uid="{00000000-0005-0000-0000-0000232A0000}"/>
    <cellStyle name="Normal 8 3 2 2 4" xfId="10788" xr:uid="{00000000-0005-0000-0000-0000242A0000}"/>
    <cellStyle name="Normal 8 3 2 2 5" xfId="10789" xr:uid="{00000000-0005-0000-0000-0000252A0000}"/>
    <cellStyle name="Normal 8 3 2 3" xfId="10790" xr:uid="{00000000-0005-0000-0000-0000262A0000}"/>
    <cellStyle name="Normal 8 3 2 3 2" xfId="10791" xr:uid="{00000000-0005-0000-0000-0000272A0000}"/>
    <cellStyle name="Normal 8 3 2 4" xfId="10792" xr:uid="{00000000-0005-0000-0000-0000282A0000}"/>
    <cellStyle name="Normal 8 3 2 4 2" xfId="10793" xr:uid="{00000000-0005-0000-0000-0000292A0000}"/>
    <cellStyle name="Normal 8 3 2 5" xfId="10794" xr:uid="{00000000-0005-0000-0000-00002A2A0000}"/>
    <cellStyle name="Normal 8 3 2 6" xfId="10795" xr:uid="{00000000-0005-0000-0000-00002B2A0000}"/>
    <cellStyle name="Normal 8 3 3" xfId="10796" xr:uid="{00000000-0005-0000-0000-00002C2A0000}"/>
    <cellStyle name="Normal 8 3 3 2" xfId="10797" xr:uid="{00000000-0005-0000-0000-00002D2A0000}"/>
    <cellStyle name="Normal 8 3 3 3" xfId="10798" xr:uid="{00000000-0005-0000-0000-00002E2A0000}"/>
    <cellStyle name="Normal 8 3 3 3 2" xfId="10799" xr:uid="{00000000-0005-0000-0000-00002F2A0000}"/>
    <cellStyle name="Normal 8 3 3 4" xfId="10800" xr:uid="{00000000-0005-0000-0000-0000302A0000}"/>
    <cellStyle name="Normal 8 3 4" xfId="10801" xr:uid="{00000000-0005-0000-0000-0000312A0000}"/>
    <cellStyle name="Normal 8 3 4 2" xfId="10802" xr:uid="{00000000-0005-0000-0000-0000322A0000}"/>
    <cellStyle name="Normal 8 3 4 3" xfId="10803" xr:uid="{00000000-0005-0000-0000-0000332A0000}"/>
    <cellStyle name="Normal 8 3 5" xfId="10804" xr:uid="{00000000-0005-0000-0000-0000342A0000}"/>
    <cellStyle name="Normal 8 3 5 2" xfId="10805" xr:uid="{00000000-0005-0000-0000-0000352A0000}"/>
    <cellStyle name="Normal 8 3 6" xfId="10806" xr:uid="{00000000-0005-0000-0000-0000362A0000}"/>
    <cellStyle name="Normal 8 3 6 2" xfId="10807" xr:uid="{00000000-0005-0000-0000-0000372A0000}"/>
    <cellStyle name="Normal 8 3 7" xfId="10808" xr:uid="{00000000-0005-0000-0000-0000382A0000}"/>
    <cellStyle name="Normal 8 3 8" xfId="10809" xr:uid="{00000000-0005-0000-0000-0000392A0000}"/>
    <cellStyle name="Normal 8 4" xfId="10810" xr:uid="{00000000-0005-0000-0000-00003A2A0000}"/>
    <cellStyle name="Normal 8 4 2" xfId="10811" xr:uid="{00000000-0005-0000-0000-00003B2A0000}"/>
    <cellStyle name="Normal 8 4 2 2" xfId="10812" xr:uid="{00000000-0005-0000-0000-00003C2A0000}"/>
    <cellStyle name="Normal 8 4 2 3" xfId="10813" xr:uid="{00000000-0005-0000-0000-00003D2A0000}"/>
    <cellStyle name="Normal 8 4 2 3 2" xfId="10814" xr:uid="{00000000-0005-0000-0000-00003E2A0000}"/>
    <cellStyle name="Normal 8 4 2 4" xfId="10815" xr:uid="{00000000-0005-0000-0000-00003F2A0000}"/>
    <cellStyle name="Normal 8 4 3" xfId="10816" xr:uid="{00000000-0005-0000-0000-0000402A0000}"/>
    <cellStyle name="Normal 8 4 3 2" xfId="10817" xr:uid="{00000000-0005-0000-0000-0000412A0000}"/>
    <cellStyle name="Normal 8 4 3 3" xfId="10818" xr:uid="{00000000-0005-0000-0000-0000422A0000}"/>
    <cellStyle name="Normal 8 4 4" xfId="10819" xr:uid="{00000000-0005-0000-0000-0000432A0000}"/>
    <cellStyle name="Normal 8 4 4 2" xfId="10820" xr:uid="{00000000-0005-0000-0000-0000442A0000}"/>
    <cellStyle name="Normal 8 4 5" xfId="10821" xr:uid="{00000000-0005-0000-0000-0000452A0000}"/>
    <cellStyle name="Normal 8 4 5 2" xfId="10822" xr:uid="{00000000-0005-0000-0000-0000462A0000}"/>
    <cellStyle name="Normal 8 4 6" xfId="10823" xr:uid="{00000000-0005-0000-0000-0000472A0000}"/>
    <cellStyle name="Normal 8 4 7" xfId="10824" xr:uid="{00000000-0005-0000-0000-0000482A0000}"/>
    <cellStyle name="Normal 8 5" xfId="10825" xr:uid="{00000000-0005-0000-0000-0000492A0000}"/>
    <cellStyle name="Normal 8 6" xfId="10826" xr:uid="{00000000-0005-0000-0000-00004A2A0000}"/>
    <cellStyle name="Normal 8 6 2" xfId="10827" xr:uid="{00000000-0005-0000-0000-00004B2A0000}"/>
    <cellStyle name="Normal 8 6 2 2" xfId="10828" xr:uid="{00000000-0005-0000-0000-00004C2A0000}"/>
    <cellStyle name="Normal 8 6 2 2 2" xfId="10829" xr:uid="{00000000-0005-0000-0000-00004D2A0000}"/>
    <cellStyle name="Normal 8 6 2 3" xfId="10830" xr:uid="{00000000-0005-0000-0000-00004E2A0000}"/>
    <cellStyle name="Normal 8 6 3" xfId="10831" xr:uid="{00000000-0005-0000-0000-00004F2A0000}"/>
    <cellStyle name="Normal 8 6 3 2" xfId="10832" xr:uid="{00000000-0005-0000-0000-0000502A0000}"/>
    <cellStyle name="Normal 8 6 4" xfId="10833" xr:uid="{00000000-0005-0000-0000-0000512A0000}"/>
    <cellStyle name="Normal 8 6 4 2" xfId="10834" xr:uid="{00000000-0005-0000-0000-0000522A0000}"/>
    <cellStyle name="Normal 8 6 5" xfId="10835" xr:uid="{00000000-0005-0000-0000-0000532A0000}"/>
    <cellStyle name="Normal 8 6 6" xfId="10836" xr:uid="{00000000-0005-0000-0000-0000542A0000}"/>
    <cellStyle name="Normal 8 7" xfId="10837" xr:uid="{00000000-0005-0000-0000-0000552A0000}"/>
    <cellStyle name="Normal 8 7 2" xfId="10838" xr:uid="{00000000-0005-0000-0000-0000562A0000}"/>
    <cellStyle name="Normal 8 7 3" xfId="10839" xr:uid="{00000000-0005-0000-0000-0000572A0000}"/>
    <cellStyle name="Normal 8 7 3 2" xfId="10840" xr:uid="{00000000-0005-0000-0000-0000582A0000}"/>
    <cellStyle name="Normal 8 7 4" xfId="10841" xr:uid="{00000000-0005-0000-0000-0000592A0000}"/>
    <cellStyle name="Normal 8 8" xfId="10842" xr:uid="{00000000-0005-0000-0000-00005A2A0000}"/>
    <cellStyle name="Normal 8 8 2" xfId="10843" xr:uid="{00000000-0005-0000-0000-00005B2A0000}"/>
    <cellStyle name="Normal 8 9" xfId="10844" xr:uid="{00000000-0005-0000-0000-00005C2A0000}"/>
    <cellStyle name="Normal 8 9 2" xfId="10845" xr:uid="{00000000-0005-0000-0000-00005D2A0000}"/>
    <cellStyle name="Normal 9" xfId="10846" xr:uid="{00000000-0005-0000-0000-00005E2A0000}"/>
    <cellStyle name="Normal 9 2" xfId="10847" xr:uid="{00000000-0005-0000-0000-00005F2A0000}"/>
    <cellStyle name="Normal 9 3" xfId="10848" xr:uid="{00000000-0005-0000-0000-0000602A0000}"/>
    <cellStyle name="Normal 9 4" xfId="10849" xr:uid="{00000000-0005-0000-0000-0000612A0000}"/>
    <cellStyle name="Normal 9 5" xfId="10850" xr:uid="{00000000-0005-0000-0000-0000622A0000}"/>
    <cellStyle name="Note 10" xfId="10851" xr:uid="{00000000-0005-0000-0000-0000632A0000}"/>
    <cellStyle name="Note 10 2" xfId="10852" xr:uid="{00000000-0005-0000-0000-0000642A0000}"/>
    <cellStyle name="Note 10 2 2" xfId="10853" xr:uid="{00000000-0005-0000-0000-0000652A0000}"/>
    <cellStyle name="Note 10 2 2 2" xfId="10854" xr:uid="{00000000-0005-0000-0000-0000662A0000}"/>
    <cellStyle name="Note 10 2 3" xfId="10855" xr:uid="{00000000-0005-0000-0000-0000672A0000}"/>
    <cellStyle name="Note 10 2 3 2" xfId="10856" xr:uid="{00000000-0005-0000-0000-0000682A0000}"/>
    <cellStyle name="Note 10 2 4" xfId="10857" xr:uid="{00000000-0005-0000-0000-0000692A0000}"/>
    <cellStyle name="Note 10 2 5" xfId="10858" xr:uid="{00000000-0005-0000-0000-00006A2A0000}"/>
    <cellStyle name="Note 10 3" xfId="10859" xr:uid="{00000000-0005-0000-0000-00006B2A0000}"/>
    <cellStyle name="Note 10 3 2" xfId="10860" xr:uid="{00000000-0005-0000-0000-00006C2A0000}"/>
    <cellStyle name="Note 10 4" xfId="10861" xr:uid="{00000000-0005-0000-0000-00006D2A0000}"/>
    <cellStyle name="Note 10 4 2" xfId="10862" xr:uid="{00000000-0005-0000-0000-00006E2A0000}"/>
    <cellStyle name="Note 10 5" xfId="10863" xr:uid="{00000000-0005-0000-0000-00006F2A0000}"/>
    <cellStyle name="Note 10 6" xfId="10864" xr:uid="{00000000-0005-0000-0000-0000702A0000}"/>
    <cellStyle name="Note 11" xfId="10865" xr:uid="{00000000-0005-0000-0000-0000712A0000}"/>
    <cellStyle name="Note 11 2" xfId="10866" xr:uid="{00000000-0005-0000-0000-0000722A0000}"/>
    <cellStyle name="Note 11 2 2" xfId="10867" xr:uid="{00000000-0005-0000-0000-0000732A0000}"/>
    <cellStyle name="Note 11 2 2 2" xfId="10868" xr:uid="{00000000-0005-0000-0000-0000742A0000}"/>
    <cellStyle name="Note 11 2 3" xfId="10869" xr:uid="{00000000-0005-0000-0000-0000752A0000}"/>
    <cellStyle name="Note 11 2 3 2" xfId="10870" xr:uid="{00000000-0005-0000-0000-0000762A0000}"/>
    <cellStyle name="Note 11 2 4" xfId="10871" xr:uid="{00000000-0005-0000-0000-0000772A0000}"/>
    <cellStyle name="Note 11 2 5" xfId="10872" xr:uid="{00000000-0005-0000-0000-0000782A0000}"/>
    <cellStyle name="Note 11 3" xfId="10873" xr:uid="{00000000-0005-0000-0000-0000792A0000}"/>
    <cellStyle name="Note 11 3 2" xfId="10874" xr:uid="{00000000-0005-0000-0000-00007A2A0000}"/>
    <cellStyle name="Note 11 4" xfId="10875" xr:uid="{00000000-0005-0000-0000-00007B2A0000}"/>
    <cellStyle name="Note 11 4 2" xfId="10876" xr:uid="{00000000-0005-0000-0000-00007C2A0000}"/>
    <cellStyle name="Note 11 5" xfId="10877" xr:uid="{00000000-0005-0000-0000-00007D2A0000}"/>
    <cellStyle name="Note 11 6" xfId="10878" xr:uid="{00000000-0005-0000-0000-00007E2A0000}"/>
    <cellStyle name="Note 12" xfId="10879" xr:uid="{00000000-0005-0000-0000-00007F2A0000}"/>
    <cellStyle name="Note 12 2" xfId="10880" xr:uid="{00000000-0005-0000-0000-0000802A0000}"/>
    <cellStyle name="Note 12 2 2" xfId="10881" xr:uid="{00000000-0005-0000-0000-0000812A0000}"/>
    <cellStyle name="Note 12 2 3" xfId="10882" xr:uid="{00000000-0005-0000-0000-0000822A0000}"/>
    <cellStyle name="Note 12 3" xfId="10883" xr:uid="{00000000-0005-0000-0000-0000832A0000}"/>
    <cellStyle name="Note 12 4" xfId="10884" xr:uid="{00000000-0005-0000-0000-0000842A0000}"/>
    <cellStyle name="Note 13" xfId="10885" xr:uid="{00000000-0005-0000-0000-0000852A0000}"/>
    <cellStyle name="Note 13 2" xfId="10886" xr:uid="{00000000-0005-0000-0000-0000862A0000}"/>
    <cellStyle name="Note 13 2 2" xfId="10887" xr:uid="{00000000-0005-0000-0000-0000872A0000}"/>
    <cellStyle name="Note 13 2 3" xfId="10888" xr:uid="{00000000-0005-0000-0000-0000882A0000}"/>
    <cellStyle name="Note 13 3" xfId="10889" xr:uid="{00000000-0005-0000-0000-0000892A0000}"/>
    <cellStyle name="Note 13 4" xfId="10890" xr:uid="{00000000-0005-0000-0000-00008A2A0000}"/>
    <cellStyle name="Note 14" xfId="10891" xr:uid="{00000000-0005-0000-0000-00008B2A0000}"/>
    <cellStyle name="Note 14 2" xfId="10892" xr:uid="{00000000-0005-0000-0000-00008C2A0000}"/>
    <cellStyle name="Note 14 2 2" xfId="10893" xr:uid="{00000000-0005-0000-0000-00008D2A0000}"/>
    <cellStyle name="Note 14 2 3" xfId="10894" xr:uid="{00000000-0005-0000-0000-00008E2A0000}"/>
    <cellStyle name="Note 14 3" xfId="10895" xr:uid="{00000000-0005-0000-0000-00008F2A0000}"/>
    <cellStyle name="Note 14 4" xfId="10896" xr:uid="{00000000-0005-0000-0000-0000902A0000}"/>
    <cellStyle name="Note 15" xfId="10897" xr:uid="{00000000-0005-0000-0000-0000912A0000}"/>
    <cellStyle name="Note 15 2" xfId="10898" xr:uid="{00000000-0005-0000-0000-0000922A0000}"/>
    <cellStyle name="Note 15 2 2" xfId="10899" xr:uid="{00000000-0005-0000-0000-0000932A0000}"/>
    <cellStyle name="Note 15 2 3" xfId="10900" xr:uid="{00000000-0005-0000-0000-0000942A0000}"/>
    <cellStyle name="Note 15 3" xfId="10901" xr:uid="{00000000-0005-0000-0000-0000952A0000}"/>
    <cellStyle name="Note 15 4" xfId="10902" xr:uid="{00000000-0005-0000-0000-0000962A0000}"/>
    <cellStyle name="Note 16" xfId="10903" xr:uid="{00000000-0005-0000-0000-0000972A0000}"/>
    <cellStyle name="Note 16 2" xfId="10904" xr:uid="{00000000-0005-0000-0000-0000982A0000}"/>
    <cellStyle name="Note 16 2 2" xfId="10905" xr:uid="{00000000-0005-0000-0000-0000992A0000}"/>
    <cellStyle name="Note 16 2 3" xfId="10906" xr:uid="{00000000-0005-0000-0000-00009A2A0000}"/>
    <cellStyle name="Note 16 3" xfId="10907" xr:uid="{00000000-0005-0000-0000-00009B2A0000}"/>
    <cellStyle name="Note 16 4" xfId="10908" xr:uid="{00000000-0005-0000-0000-00009C2A0000}"/>
    <cellStyle name="Note 2" xfId="10909" xr:uid="{00000000-0005-0000-0000-00009D2A0000}"/>
    <cellStyle name="Note 2 2" xfId="10910" xr:uid="{00000000-0005-0000-0000-00009E2A0000}"/>
    <cellStyle name="Note 2 2 2" xfId="10911" xr:uid="{00000000-0005-0000-0000-00009F2A0000}"/>
    <cellStyle name="Note 2 2 2 2" xfId="10912" xr:uid="{00000000-0005-0000-0000-0000A02A0000}"/>
    <cellStyle name="Note 2 2 2 2 2" xfId="10913" xr:uid="{00000000-0005-0000-0000-0000A12A0000}"/>
    <cellStyle name="Note 2 2 2 2 3" xfId="10914" xr:uid="{00000000-0005-0000-0000-0000A22A0000}"/>
    <cellStyle name="Note 2 2 2 3" xfId="10915" xr:uid="{00000000-0005-0000-0000-0000A32A0000}"/>
    <cellStyle name="Note 2 2 2 3 2" xfId="10916" xr:uid="{00000000-0005-0000-0000-0000A42A0000}"/>
    <cellStyle name="Note 2 2 2 4" xfId="10917" xr:uid="{00000000-0005-0000-0000-0000A52A0000}"/>
    <cellStyle name="Note 2 2 2 5" xfId="10918" xr:uid="{00000000-0005-0000-0000-0000A62A0000}"/>
    <cellStyle name="Note 2 2 3" xfId="10919" xr:uid="{00000000-0005-0000-0000-0000A72A0000}"/>
    <cellStyle name="Note 2 2 3 2" xfId="10920" xr:uid="{00000000-0005-0000-0000-0000A82A0000}"/>
    <cellStyle name="Note 2 2 4" xfId="10921" xr:uid="{00000000-0005-0000-0000-0000A92A0000}"/>
    <cellStyle name="Note 2 2 4 2" xfId="10922" xr:uid="{00000000-0005-0000-0000-0000AA2A0000}"/>
    <cellStyle name="Note 2 2 4 3" xfId="10923" xr:uid="{00000000-0005-0000-0000-0000AB2A0000}"/>
    <cellStyle name="Note 2 2 5" xfId="10924" xr:uid="{00000000-0005-0000-0000-0000AC2A0000}"/>
    <cellStyle name="Note 2 2 5 2" xfId="10925" xr:uid="{00000000-0005-0000-0000-0000AD2A0000}"/>
    <cellStyle name="Note 2 2 6" xfId="10926" xr:uid="{00000000-0005-0000-0000-0000AE2A0000}"/>
    <cellStyle name="Note 2 3" xfId="10927" xr:uid="{00000000-0005-0000-0000-0000AF2A0000}"/>
    <cellStyle name="Note 2 3 2" xfId="10928" xr:uid="{00000000-0005-0000-0000-0000B02A0000}"/>
    <cellStyle name="Note 2 3 2 2" xfId="10929" xr:uid="{00000000-0005-0000-0000-0000B12A0000}"/>
    <cellStyle name="Note 2 3 2 3" xfId="10930" xr:uid="{00000000-0005-0000-0000-0000B22A0000}"/>
    <cellStyle name="Note 2 3 2 4" xfId="10931" xr:uid="{00000000-0005-0000-0000-0000B32A0000}"/>
    <cellStyle name="Note 2 3 3" xfId="10932" xr:uid="{00000000-0005-0000-0000-0000B42A0000}"/>
    <cellStyle name="Note 2 3 4" xfId="10933" xr:uid="{00000000-0005-0000-0000-0000B52A0000}"/>
    <cellStyle name="Note 2 3 5" xfId="10934" xr:uid="{00000000-0005-0000-0000-0000B62A0000}"/>
    <cellStyle name="Note 2 3 6" xfId="10935" xr:uid="{00000000-0005-0000-0000-0000B72A0000}"/>
    <cellStyle name="Note 2 4" xfId="10936" xr:uid="{00000000-0005-0000-0000-0000B82A0000}"/>
    <cellStyle name="Note 2 4 2" xfId="10937" xr:uid="{00000000-0005-0000-0000-0000B92A0000}"/>
    <cellStyle name="Note 2 4 2 2" xfId="10938" xr:uid="{00000000-0005-0000-0000-0000BA2A0000}"/>
    <cellStyle name="Note 2 4 2 2 2" xfId="10939" xr:uid="{00000000-0005-0000-0000-0000BB2A0000}"/>
    <cellStyle name="Note 2 4 2 2 2 2" xfId="10940" xr:uid="{00000000-0005-0000-0000-0000BC2A0000}"/>
    <cellStyle name="Note 2 4 2 2 2 2 2" xfId="10941" xr:uid="{00000000-0005-0000-0000-0000BD2A0000}"/>
    <cellStyle name="Note 2 4 2 2 2 3" xfId="10942" xr:uid="{00000000-0005-0000-0000-0000BE2A0000}"/>
    <cellStyle name="Note 2 4 2 2 2 3 2" xfId="10943" xr:uid="{00000000-0005-0000-0000-0000BF2A0000}"/>
    <cellStyle name="Note 2 4 2 2 2 4" xfId="10944" xr:uid="{00000000-0005-0000-0000-0000C02A0000}"/>
    <cellStyle name="Note 2 4 2 2 2 5" xfId="10945" xr:uid="{00000000-0005-0000-0000-0000C12A0000}"/>
    <cellStyle name="Note 2 4 2 2 3" xfId="10946" xr:uid="{00000000-0005-0000-0000-0000C22A0000}"/>
    <cellStyle name="Note 2 4 2 2 3 2" xfId="10947" xr:uid="{00000000-0005-0000-0000-0000C32A0000}"/>
    <cellStyle name="Note 2 4 2 2 4" xfId="10948" xr:uid="{00000000-0005-0000-0000-0000C42A0000}"/>
    <cellStyle name="Note 2 4 2 2 4 2" xfId="10949" xr:uid="{00000000-0005-0000-0000-0000C52A0000}"/>
    <cellStyle name="Note 2 4 2 2 5" xfId="10950" xr:uid="{00000000-0005-0000-0000-0000C62A0000}"/>
    <cellStyle name="Note 2 4 2 2 6" xfId="10951" xr:uid="{00000000-0005-0000-0000-0000C72A0000}"/>
    <cellStyle name="Note 2 4 2 3" xfId="10952" xr:uid="{00000000-0005-0000-0000-0000C82A0000}"/>
    <cellStyle name="Note 2 4 2 3 2" xfId="10953" xr:uid="{00000000-0005-0000-0000-0000C92A0000}"/>
    <cellStyle name="Note 2 4 2 3 2 2" xfId="10954" xr:uid="{00000000-0005-0000-0000-0000CA2A0000}"/>
    <cellStyle name="Note 2 4 2 3 3" xfId="10955" xr:uid="{00000000-0005-0000-0000-0000CB2A0000}"/>
    <cellStyle name="Note 2 4 2 3 3 2" xfId="10956" xr:uid="{00000000-0005-0000-0000-0000CC2A0000}"/>
    <cellStyle name="Note 2 4 2 3 4" xfId="10957" xr:uid="{00000000-0005-0000-0000-0000CD2A0000}"/>
    <cellStyle name="Note 2 4 2 3 5" xfId="10958" xr:uid="{00000000-0005-0000-0000-0000CE2A0000}"/>
    <cellStyle name="Note 2 4 2 4" xfId="10959" xr:uid="{00000000-0005-0000-0000-0000CF2A0000}"/>
    <cellStyle name="Note 2 4 2 4 2" xfId="10960" xr:uid="{00000000-0005-0000-0000-0000D02A0000}"/>
    <cellStyle name="Note 2 4 2 5" xfId="10961" xr:uid="{00000000-0005-0000-0000-0000D12A0000}"/>
    <cellStyle name="Note 2 4 2 5 2" xfId="10962" xr:uid="{00000000-0005-0000-0000-0000D22A0000}"/>
    <cellStyle name="Note 2 4 2 6" xfId="10963" xr:uid="{00000000-0005-0000-0000-0000D32A0000}"/>
    <cellStyle name="Note 2 4 2 7" xfId="10964" xr:uid="{00000000-0005-0000-0000-0000D42A0000}"/>
    <cellStyle name="Note 2 4 2 8" xfId="10965" xr:uid="{00000000-0005-0000-0000-0000D52A0000}"/>
    <cellStyle name="Note 2 4 3" xfId="10966" xr:uid="{00000000-0005-0000-0000-0000D62A0000}"/>
    <cellStyle name="Note 2 4 3 2" xfId="10967" xr:uid="{00000000-0005-0000-0000-0000D72A0000}"/>
    <cellStyle name="Note 2 4 3 2 2" xfId="10968" xr:uid="{00000000-0005-0000-0000-0000D82A0000}"/>
    <cellStyle name="Note 2 4 3 2 2 2" xfId="10969" xr:uid="{00000000-0005-0000-0000-0000D92A0000}"/>
    <cellStyle name="Note 2 4 3 2 3" xfId="10970" xr:uid="{00000000-0005-0000-0000-0000DA2A0000}"/>
    <cellStyle name="Note 2 4 3 2 3 2" xfId="10971" xr:uid="{00000000-0005-0000-0000-0000DB2A0000}"/>
    <cellStyle name="Note 2 4 3 2 4" xfId="10972" xr:uid="{00000000-0005-0000-0000-0000DC2A0000}"/>
    <cellStyle name="Note 2 4 3 2 5" xfId="10973" xr:uid="{00000000-0005-0000-0000-0000DD2A0000}"/>
    <cellStyle name="Note 2 4 3 3" xfId="10974" xr:uid="{00000000-0005-0000-0000-0000DE2A0000}"/>
    <cellStyle name="Note 2 4 3 3 2" xfId="10975" xr:uid="{00000000-0005-0000-0000-0000DF2A0000}"/>
    <cellStyle name="Note 2 4 3 4" xfId="10976" xr:uid="{00000000-0005-0000-0000-0000E02A0000}"/>
    <cellStyle name="Note 2 4 3 4 2" xfId="10977" xr:uid="{00000000-0005-0000-0000-0000E12A0000}"/>
    <cellStyle name="Note 2 4 3 5" xfId="10978" xr:uid="{00000000-0005-0000-0000-0000E22A0000}"/>
    <cellStyle name="Note 2 4 3 6" xfId="10979" xr:uid="{00000000-0005-0000-0000-0000E32A0000}"/>
    <cellStyle name="Note 2 4 3 7" xfId="10980" xr:uid="{00000000-0005-0000-0000-0000E42A0000}"/>
    <cellStyle name="Note 2 4 4" xfId="10981" xr:uid="{00000000-0005-0000-0000-0000E52A0000}"/>
    <cellStyle name="Note 2 4 4 2" xfId="10982" xr:uid="{00000000-0005-0000-0000-0000E62A0000}"/>
    <cellStyle name="Note 2 4 4 2 2" xfId="10983" xr:uid="{00000000-0005-0000-0000-0000E72A0000}"/>
    <cellStyle name="Note 2 4 4 3" xfId="10984" xr:uid="{00000000-0005-0000-0000-0000E82A0000}"/>
    <cellStyle name="Note 2 4 4 3 2" xfId="10985" xr:uid="{00000000-0005-0000-0000-0000E92A0000}"/>
    <cellStyle name="Note 2 4 4 4" xfId="10986" xr:uid="{00000000-0005-0000-0000-0000EA2A0000}"/>
    <cellStyle name="Note 2 4 4 5" xfId="10987" xr:uid="{00000000-0005-0000-0000-0000EB2A0000}"/>
    <cellStyle name="Note 2 4 4 6" xfId="10988" xr:uid="{00000000-0005-0000-0000-0000EC2A0000}"/>
    <cellStyle name="Note 2 4 5" xfId="10989" xr:uid="{00000000-0005-0000-0000-0000ED2A0000}"/>
    <cellStyle name="Note 2 4 5 2" xfId="10990" xr:uid="{00000000-0005-0000-0000-0000EE2A0000}"/>
    <cellStyle name="Note 2 4 6" xfId="10991" xr:uid="{00000000-0005-0000-0000-0000EF2A0000}"/>
    <cellStyle name="Note 2 4 6 2" xfId="10992" xr:uid="{00000000-0005-0000-0000-0000F02A0000}"/>
    <cellStyle name="Note 2 4 7" xfId="10993" xr:uid="{00000000-0005-0000-0000-0000F12A0000}"/>
    <cellStyle name="Note 2 4 8" xfId="10994" xr:uid="{00000000-0005-0000-0000-0000F22A0000}"/>
    <cellStyle name="Note 2 4 9" xfId="10995" xr:uid="{00000000-0005-0000-0000-0000F32A0000}"/>
    <cellStyle name="Note 2 5" xfId="10996" xr:uid="{00000000-0005-0000-0000-0000F42A0000}"/>
    <cellStyle name="Note 2 5 2" xfId="10997" xr:uid="{00000000-0005-0000-0000-0000F52A0000}"/>
    <cellStyle name="Note 2 6" xfId="10998" xr:uid="{00000000-0005-0000-0000-0000F62A0000}"/>
    <cellStyle name="Note 2 6 2" xfId="10999" xr:uid="{00000000-0005-0000-0000-0000F72A0000}"/>
    <cellStyle name="Note 2 6 2 2" xfId="11000" xr:uid="{00000000-0005-0000-0000-0000F82A0000}"/>
    <cellStyle name="Note 2 6 3" xfId="11001" xr:uid="{00000000-0005-0000-0000-0000F92A0000}"/>
    <cellStyle name="Note 2 6 4" xfId="11002" xr:uid="{00000000-0005-0000-0000-0000FA2A0000}"/>
    <cellStyle name="Note 2 7" xfId="11003" xr:uid="{00000000-0005-0000-0000-0000FB2A0000}"/>
    <cellStyle name="Note 2 7 2" xfId="11004" xr:uid="{00000000-0005-0000-0000-0000FC2A0000}"/>
    <cellStyle name="Note 2 7 3" xfId="11005" xr:uid="{00000000-0005-0000-0000-0000FD2A0000}"/>
    <cellStyle name="Note 2 8" xfId="11006" xr:uid="{00000000-0005-0000-0000-0000FE2A0000}"/>
    <cellStyle name="Note 2 9" xfId="11007" xr:uid="{00000000-0005-0000-0000-0000FF2A0000}"/>
    <cellStyle name="Note 3" xfId="11008" xr:uid="{00000000-0005-0000-0000-0000002B0000}"/>
    <cellStyle name="Note 3 10" xfId="11009" xr:uid="{00000000-0005-0000-0000-0000012B0000}"/>
    <cellStyle name="Note 3 2" xfId="11010" xr:uid="{00000000-0005-0000-0000-0000022B0000}"/>
    <cellStyle name="Note 3 2 2" xfId="11011" xr:uid="{00000000-0005-0000-0000-0000032B0000}"/>
    <cellStyle name="Note 3 2 2 2" xfId="11012" xr:uid="{00000000-0005-0000-0000-0000042B0000}"/>
    <cellStyle name="Note 3 2 2 2 2" xfId="11013" xr:uid="{00000000-0005-0000-0000-0000052B0000}"/>
    <cellStyle name="Note 3 2 2 2 2 2" xfId="11014" xr:uid="{00000000-0005-0000-0000-0000062B0000}"/>
    <cellStyle name="Note 3 2 2 2 2 2 2" xfId="11015" xr:uid="{00000000-0005-0000-0000-0000072B0000}"/>
    <cellStyle name="Note 3 2 2 2 2 3" xfId="11016" xr:uid="{00000000-0005-0000-0000-0000082B0000}"/>
    <cellStyle name="Note 3 2 2 2 2 3 2" xfId="11017" xr:uid="{00000000-0005-0000-0000-0000092B0000}"/>
    <cellStyle name="Note 3 2 2 2 2 4" xfId="11018" xr:uid="{00000000-0005-0000-0000-00000A2B0000}"/>
    <cellStyle name="Note 3 2 2 2 2 5" xfId="11019" xr:uid="{00000000-0005-0000-0000-00000B2B0000}"/>
    <cellStyle name="Note 3 2 2 2 3" xfId="11020" xr:uid="{00000000-0005-0000-0000-00000C2B0000}"/>
    <cellStyle name="Note 3 2 2 2 3 2" xfId="11021" xr:uid="{00000000-0005-0000-0000-00000D2B0000}"/>
    <cellStyle name="Note 3 2 2 2 4" xfId="11022" xr:uid="{00000000-0005-0000-0000-00000E2B0000}"/>
    <cellStyle name="Note 3 2 2 2 4 2" xfId="11023" xr:uid="{00000000-0005-0000-0000-00000F2B0000}"/>
    <cellStyle name="Note 3 2 2 2 5" xfId="11024" xr:uid="{00000000-0005-0000-0000-0000102B0000}"/>
    <cellStyle name="Note 3 2 2 2 6" xfId="11025" xr:uid="{00000000-0005-0000-0000-0000112B0000}"/>
    <cellStyle name="Note 3 2 2 3" xfId="11026" xr:uid="{00000000-0005-0000-0000-0000122B0000}"/>
    <cellStyle name="Note 3 2 2 3 2" xfId="11027" xr:uid="{00000000-0005-0000-0000-0000132B0000}"/>
    <cellStyle name="Note 3 2 2 3 2 2" xfId="11028" xr:uid="{00000000-0005-0000-0000-0000142B0000}"/>
    <cellStyle name="Note 3 2 2 3 3" xfId="11029" xr:uid="{00000000-0005-0000-0000-0000152B0000}"/>
    <cellStyle name="Note 3 2 2 3 3 2" xfId="11030" xr:uid="{00000000-0005-0000-0000-0000162B0000}"/>
    <cellStyle name="Note 3 2 2 3 4" xfId="11031" xr:uid="{00000000-0005-0000-0000-0000172B0000}"/>
    <cellStyle name="Note 3 2 2 3 5" xfId="11032" xr:uid="{00000000-0005-0000-0000-0000182B0000}"/>
    <cellStyle name="Note 3 2 2 4" xfId="11033" xr:uid="{00000000-0005-0000-0000-0000192B0000}"/>
    <cellStyle name="Note 3 2 2 4 2" xfId="11034" xr:uid="{00000000-0005-0000-0000-00001A2B0000}"/>
    <cellStyle name="Note 3 2 2 5" xfId="11035" xr:uid="{00000000-0005-0000-0000-00001B2B0000}"/>
    <cellStyle name="Note 3 2 2 5 2" xfId="11036" xr:uid="{00000000-0005-0000-0000-00001C2B0000}"/>
    <cellStyle name="Note 3 2 2 6" xfId="11037" xr:uid="{00000000-0005-0000-0000-00001D2B0000}"/>
    <cellStyle name="Note 3 2 2 7" xfId="11038" xr:uid="{00000000-0005-0000-0000-00001E2B0000}"/>
    <cellStyle name="Note 3 2 3" xfId="11039" xr:uid="{00000000-0005-0000-0000-00001F2B0000}"/>
    <cellStyle name="Note 3 2 3 2" xfId="11040" xr:uid="{00000000-0005-0000-0000-0000202B0000}"/>
    <cellStyle name="Note 3 2 3 2 2" xfId="11041" xr:uid="{00000000-0005-0000-0000-0000212B0000}"/>
    <cellStyle name="Note 3 2 3 2 2 2" xfId="11042" xr:uid="{00000000-0005-0000-0000-0000222B0000}"/>
    <cellStyle name="Note 3 2 3 2 3" xfId="11043" xr:uid="{00000000-0005-0000-0000-0000232B0000}"/>
    <cellStyle name="Note 3 2 3 2 3 2" xfId="11044" xr:uid="{00000000-0005-0000-0000-0000242B0000}"/>
    <cellStyle name="Note 3 2 3 2 4" xfId="11045" xr:uid="{00000000-0005-0000-0000-0000252B0000}"/>
    <cellStyle name="Note 3 2 3 2 5" xfId="11046" xr:uid="{00000000-0005-0000-0000-0000262B0000}"/>
    <cellStyle name="Note 3 2 3 3" xfId="11047" xr:uid="{00000000-0005-0000-0000-0000272B0000}"/>
    <cellStyle name="Note 3 2 3 3 2" xfId="11048" xr:uid="{00000000-0005-0000-0000-0000282B0000}"/>
    <cellStyle name="Note 3 2 3 4" xfId="11049" xr:uid="{00000000-0005-0000-0000-0000292B0000}"/>
    <cellStyle name="Note 3 2 3 4 2" xfId="11050" xr:uid="{00000000-0005-0000-0000-00002A2B0000}"/>
    <cellStyle name="Note 3 2 3 5" xfId="11051" xr:uid="{00000000-0005-0000-0000-00002B2B0000}"/>
    <cellStyle name="Note 3 2 3 6" xfId="11052" xr:uid="{00000000-0005-0000-0000-00002C2B0000}"/>
    <cellStyle name="Note 3 2 4" xfId="11053" xr:uid="{00000000-0005-0000-0000-00002D2B0000}"/>
    <cellStyle name="Note 3 2 4 2" xfId="11054" xr:uid="{00000000-0005-0000-0000-00002E2B0000}"/>
    <cellStyle name="Note 3 2 4 2 2" xfId="11055" xr:uid="{00000000-0005-0000-0000-00002F2B0000}"/>
    <cellStyle name="Note 3 2 4 3" xfId="11056" xr:uid="{00000000-0005-0000-0000-0000302B0000}"/>
    <cellStyle name="Note 3 2 4 3 2" xfId="11057" xr:uid="{00000000-0005-0000-0000-0000312B0000}"/>
    <cellStyle name="Note 3 2 4 4" xfId="11058" xr:uid="{00000000-0005-0000-0000-0000322B0000}"/>
    <cellStyle name="Note 3 2 4 5" xfId="11059" xr:uid="{00000000-0005-0000-0000-0000332B0000}"/>
    <cellStyle name="Note 3 2 5" xfId="11060" xr:uid="{00000000-0005-0000-0000-0000342B0000}"/>
    <cellStyle name="Note 3 2 5 2" xfId="11061" xr:uid="{00000000-0005-0000-0000-0000352B0000}"/>
    <cellStyle name="Note 3 2 6" xfId="11062" xr:uid="{00000000-0005-0000-0000-0000362B0000}"/>
    <cellStyle name="Note 3 2 6 2" xfId="11063" xr:uid="{00000000-0005-0000-0000-0000372B0000}"/>
    <cellStyle name="Note 3 2 7" xfId="11064" xr:uid="{00000000-0005-0000-0000-0000382B0000}"/>
    <cellStyle name="Note 3 2 8" xfId="11065" xr:uid="{00000000-0005-0000-0000-0000392B0000}"/>
    <cellStyle name="Note 3 3" xfId="11066" xr:uid="{00000000-0005-0000-0000-00003A2B0000}"/>
    <cellStyle name="Note 3 3 2" xfId="11067" xr:uid="{00000000-0005-0000-0000-00003B2B0000}"/>
    <cellStyle name="Note 3 3 2 2" xfId="11068" xr:uid="{00000000-0005-0000-0000-00003C2B0000}"/>
    <cellStyle name="Note 3 3 2 2 2" xfId="11069" xr:uid="{00000000-0005-0000-0000-00003D2B0000}"/>
    <cellStyle name="Note 3 3 2 2 2 2" xfId="11070" xr:uid="{00000000-0005-0000-0000-00003E2B0000}"/>
    <cellStyle name="Note 3 3 2 2 3" xfId="11071" xr:uid="{00000000-0005-0000-0000-00003F2B0000}"/>
    <cellStyle name="Note 3 3 2 2 3 2" xfId="11072" xr:uid="{00000000-0005-0000-0000-0000402B0000}"/>
    <cellStyle name="Note 3 3 2 2 4" xfId="11073" xr:uid="{00000000-0005-0000-0000-0000412B0000}"/>
    <cellStyle name="Note 3 3 2 2 5" xfId="11074" xr:uid="{00000000-0005-0000-0000-0000422B0000}"/>
    <cellStyle name="Note 3 3 2 3" xfId="11075" xr:uid="{00000000-0005-0000-0000-0000432B0000}"/>
    <cellStyle name="Note 3 3 2 3 2" xfId="11076" xr:uid="{00000000-0005-0000-0000-0000442B0000}"/>
    <cellStyle name="Note 3 3 2 4" xfId="11077" xr:uid="{00000000-0005-0000-0000-0000452B0000}"/>
    <cellStyle name="Note 3 3 2 4 2" xfId="11078" xr:uid="{00000000-0005-0000-0000-0000462B0000}"/>
    <cellStyle name="Note 3 3 2 5" xfId="11079" xr:uid="{00000000-0005-0000-0000-0000472B0000}"/>
    <cellStyle name="Note 3 3 2 6" xfId="11080" xr:uid="{00000000-0005-0000-0000-0000482B0000}"/>
    <cellStyle name="Note 3 3 3" xfId="11081" xr:uid="{00000000-0005-0000-0000-0000492B0000}"/>
    <cellStyle name="Note 3 3 3 2" xfId="11082" xr:uid="{00000000-0005-0000-0000-00004A2B0000}"/>
    <cellStyle name="Note 3 3 3 2 2" xfId="11083" xr:uid="{00000000-0005-0000-0000-00004B2B0000}"/>
    <cellStyle name="Note 3 3 3 3" xfId="11084" xr:uid="{00000000-0005-0000-0000-00004C2B0000}"/>
    <cellStyle name="Note 3 3 3 3 2" xfId="11085" xr:uid="{00000000-0005-0000-0000-00004D2B0000}"/>
    <cellStyle name="Note 3 3 3 4" xfId="11086" xr:uid="{00000000-0005-0000-0000-00004E2B0000}"/>
    <cellStyle name="Note 3 3 3 5" xfId="11087" xr:uid="{00000000-0005-0000-0000-00004F2B0000}"/>
    <cellStyle name="Note 3 3 4" xfId="11088" xr:uid="{00000000-0005-0000-0000-0000502B0000}"/>
    <cellStyle name="Note 3 3 4 2" xfId="11089" xr:uid="{00000000-0005-0000-0000-0000512B0000}"/>
    <cellStyle name="Note 3 3 5" xfId="11090" xr:uid="{00000000-0005-0000-0000-0000522B0000}"/>
    <cellStyle name="Note 3 3 5 2" xfId="11091" xr:uid="{00000000-0005-0000-0000-0000532B0000}"/>
    <cellStyle name="Note 3 3 6" xfId="11092" xr:uid="{00000000-0005-0000-0000-0000542B0000}"/>
    <cellStyle name="Note 3 3 7" xfId="11093" xr:uid="{00000000-0005-0000-0000-0000552B0000}"/>
    <cellStyle name="Note 3 4" xfId="11094" xr:uid="{00000000-0005-0000-0000-0000562B0000}"/>
    <cellStyle name="Note 3 4 2" xfId="11095" xr:uid="{00000000-0005-0000-0000-0000572B0000}"/>
    <cellStyle name="Note 3 4 2 2" xfId="11096" xr:uid="{00000000-0005-0000-0000-0000582B0000}"/>
    <cellStyle name="Note 3 4 2 2 2" xfId="11097" xr:uid="{00000000-0005-0000-0000-0000592B0000}"/>
    <cellStyle name="Note 3 4 2 3" xfId="11098" xr:uid="{00000000-0005-0000-0000-00005A2B0000}"/>
    <cellStyle name="Note 3 4 2 3 2" xfId="11099" xr:uid="{00000000-0005-0000-0000-00005B2B0000}"/>
    <cellStyle name="Note 3 4 2 4" xfId="11100" xr:uid="{00000000-0005-0000-0000-00005C2B0000}"/>
    <cellStyle name="Note 3 4 2 5" xfId="11101" xr:uid="{00000000-0005-0000-0000-00005D2B0000}"/>
    <cellStyle name="Note 3 4 3" xfId="11102" xr:uid="{00000000-0005-0000-0000-00005E2B0000}"/>
    <cellStyle name="Note 3 4 3 2" xfId="11103" xr:uid="{00000000-0005-0000-0000-00005F2B0000}"/>
    <cellStyle name="Note 3 4 4" xfId="11104" xr:uid="{00000000-0005-0000-0000-0000602B0000}"/>
    <cellStyle name="Note 3 4 4 2" xfId="11105" xr:uid="{00000000-0005-0000-0000-0000612B0000}"/>
    <cellStyle name="Note 3 4 5" xfId="11106" xr:uid="{00000000-0005-0000-0000-0000622B0000}"/>
    <cellStyle name="Note 3 4 6" xfId="11107" xr:uid="{00000000-0005-0000-0000-0000632B0000}"/>
    <cellStyle name="Note 3 5" xfId="11108" xr:uid="{00000000-0005-0000-0000-0000642B0000}"/>
    <cellStyle name="Note 3 5 2" xfId="11109" xr:uid="{00000000-0005-0000-0000-0000652B0000}"/>
    <cellStyle name="Note 3 5 2 2" xfId="11110" xr:uid="{00000000-0005-0000-0000-0000662B0000}"/>
    <cellStyle name="Note 3 5 2 2 2" xfId="11111" xr:uid="{00000000-0005-0000-0000-0000672B0000}"/>
    <cellStyle name="Note 3 5 2 3" xfId="11112" xr:uid="{00000000-0005-0000-0000-0000682B0000}"/>
    <cellStyle name="Note 3 5 3" xfId="11113" xr:uid="{00000000-0005-0000-0000-0000692B0000}"/>
    <cellStyle name="Note 3 5 3 2" xfId="11114" xr:uid="{00000000-0005-0000-0000-00006A2B0000}"/>
    <cellStyle name="Note 3 5 4" xfId="11115" xr:uid="{00000000-0005-0000-0000-00006B2B0000}"/>
    <cellStyle name="Note 3 5 4 2" xfId="11116" xr:uid="{00000000-0005-0000-0000-00006C2B0000}"/>
    <cellStyle name="Note 3 5 5" xfId="11117" xr:uid="{00000000-0005-0000-0000-00006D2B0000}"/>
    <cellStyle name="Note 3 5 6" xfId="11118" xr:uid="{00000000-0005-0000-0000-00006E2B0000}"/>
    <cellStyle name="Note 3 6" xfId="11119" xr:uid="{00000000-0005-0000-0000-00006F2B0000}"/>
    <cellStyle name="Note 3 6 2" xfId="11120" xr:uid="{00000000-0005-0000-0000-0000702B0000}"/>
    <cellStyle name="Note 3 6 2 2" xfId="11121" xr:uid="{00000000-0005-0000-0000-0000712B0000}"/>
    <cellStyle name="Note 3 6 3" xfId="11122" xr:uid="{00000000-0005-0000-0000-0000722B0000}"/>
    <cellStyle name="Note 3 7" xfId="11123" xr:uid="{00000000-0005-0000-0000-0000732B0000}"/>
    <cellStyle name="Note 3 7 2" xfId="11124" xr:uid="{00000000-0005-0000-0000-0000742B0000}"/>
    <cellStyle name="Note 3 8" xfId="11125" xr:uid="{00000000-0005-0000-0000-0000752B0000}"/>
    <cellStyle name="Note 3 8 2" xfId="11126" xr:uid="{00000000-0005-0000-0000-0000762B0000}"/>
    <cellStyle name="Note 3 9" xfId="11127" xr:uid="{00000000-0005-0000-0000-0000772B0000}"/>
    <cellStyle name="Note 4" xfId="11128" xr:uid="{00000000-0005-0000-0000-0000782B0000}"/>
    <cellStyle name="Note 4 10" xfId="11129" xr:uid="{00000000-0005-0000-0000-0000792B0000}"/>
    <cellStyle name="Note 4 2" xfId="11130" xr:uid="{00000000-0005-0000-0000-00007A2B0000}"/>
    <cellStyle name="Note 4 2 2" xfId="11131" xr:uid="{00000000-0005-0000-0000-00007B2B0000}"/>
    <cellStyle name="Note 4 2 2 2" xfId="11132" xr:uid="{00000000-0005-0000-0000-00007C2B0000}"/>
    <cellStyle name="Note 4 2 2 2 2" xfId="11133" xr:uid="{00000000-0005-0000-0000-00007D2B0000}"/>
    <cellStyle name="Note 4 2 2 2 2 2" xfId="11134" xr:uid="{00000000-0005-0000-0000-00007E2B0000}"/>
    <cellStyle name="Note 4 2 2 2 2 2 2" xfId="11135" xr:uid="{00000000-0005-0000-0000-00007F2B0000}"/>
    <cellStyle name="Note 4 2 2 2 2 3" xfId="11136" xr:uid="{00000000-0005-0000-0000-0000802B0000}"/>
    <cellStyle name="Note 4 2 2 2 2 3 2" xfId="11137" xr:uid="{00000000-0005-0000-0000-0000812B0000}"/>
    <cellStyle name="Note 4 2 2 2 2 4" xfId="11138" xr:uid="{00000000-0005-0000-0000-0000822B0000}"/>
    <cellStyle name="Note 4 2 2 2 2 5" xfId="11139" xr:uid="{00000000-0005-0000-0000-0000832B0000}"/>
    <cellStyle name="Note 4 2 2 2 3" xfId="11140" xr:uid="{00000000-0005-0000-0000-0000842B0000}"/>
    <cellStyle name="Note 4 2 2 2 3 2" xfId="11141" xr:uid="{00000000-0005-0000-0000-0000852B0000}"/>
    <cellStyle name="Note 4 2 2 2 4" xfId="11142" xr:uid="{00000000-0005-0000-0000-0000862B0000}"/>
    <cellStyle name="Note 4 2 2 2 4 2" xfId="11143" xr:uid="{00000000-0005-0000-0000-0000872B0000}"/>
    <cellStyle name="Note 4 2 2 2 5" xfId="11144" xr:uid="{00000000-0005-0000-0000-0000882B0000}"/>
    <cellStyle name="Note 4 2 2 2 6" xfId="11145" xr:uid="{00000000-0005-0000-0000-0000892B0000}"/>
    <cellStyle name="Note 4 2 2 3" xfId="11146" xr:uid="{00000000-0005-0000-0000-00008A2B0000}"/>
    <cellStyle name="Note 4 2 2 3 2" xfId="11147" xr:uid="{00000000-0005-0000-0000-00008B2B0000}"/>
    <cellStyle name="Note 4 2 2 3 2 2" xfId="11148" xr:uid="{00000000-0005-0000-0000-00008C2B0000}"/>
    <cellStyle name="Note 4 2 2 3 3" xfId="11149" xr:uid="{00000000-0005-0000-0000-00008D2B0000}"/>
    <cellStyle name="Note 4 2 2 3 3 2" xfId="11150" xr:uid="{00000000-0005-0000-0000-00008E2B0000}"/>
    <cellStyle name="Note 4 2 2 3 4" xfId="11151" xr:uid="{00000000-0005-0000-0000-00008F2B0000}"/>
    <cellStyle name="Note 4 2 2 3 5" xfId="11152" xr:uid="{00000000-0005-0000-0000-0000902B0000}"/>
    <cellStyle name="Note 4 2 2 4" xfId="11153" xr:uid="{00000000-0005-0000-0000-0000912B0000}"/>
    <cellStyle name="Note 4 2 2 4 2" xfId="11154" xr:uid="{00000000-0005-0000-0000-0000922B0000}"/>
    <cellStyle name="Note 4 2 2 5" xfId="11155" xr:uid="{00000000-0005-0000-0000-0000932B0000}"/>
    <cellStyle name="Note 4 2 2 5 2" xfId="11156" xr:uid="{00000000-0005-0000-0000-0000942B0000}"/>
    <cellStyle name="Note 4 2 2 6" xfId="11157" xr:uid="{00000000-0005-0000-0000-0000952B0000}"/>
    <cellStyle name="Note 4 2 2 7" xfId="11158" xr:uid="{00000000-0005-0000-0000-0000962B0000}"/>
    <cellStyle name="Note 4 2 3" xfId="11159" xr:uid="{00000000-0005-0000-0000-0000972B0000}"/>
    <cellStyle name="Note 4 2 3 2" xfId="11160" xr:uid="{00000000-0005-0000-0000-0000982B0000}"/>
    <cellStyle name="Note 4 2 3 2 2" xfId="11161" xr:uid="{00000000-0005-0000-0000-0000992B0000}"/>
    <cellStyle name="Note 4 2 3 2 2 2" xfId="11162" xr:uid="{00000000-0005-0000-0000-00009A2B0000}"/>
    <cellStyle name="Note 4 2 3 2 3" xfId="11163" xr:uid="{00000000-0005-0000-0000-00009B2B0000}"/>
    <cellStyle name="Note 4 2 3 2 3 2" xfId="11164" xr:uid="{00000000-0005-0000-0000-00009C2B0000}"/>
    <cellStyle name="Note 4 2 3 2 4" xfId="11165" xr:uid="{00000000-0005-0000-0000-00009D2B0000}"/>
    <cellStyle name="Note 4 2 3 2 5" xfId="11166" xr:uid="{00000000-0005-0000-0000-00009E2B0000}"/>
    <cellStyle name="Note 4 2 3 3" xfId="11167" xr:uid="{00000000-0005-0000-0000-00009F2B0000}"/>
    <cellStyle name="Note 4 2 3 3 2" xfId="11168" xr:uid="{00000000-0005-0000-0000-0000A02B0000}"/>
    <cellStyle name="Note 4 2 3 4" xfId="11169" xr:uid="{00000000-0005-0000-0000-0000A12B0000}"/>
    <cellStyle name="Note 4 2 3 4 2" xfId="11170" xr:uid="{00000000-0005-0000-0000-0000A22B0000}"/>
    <cellStyle name="Note 4 2 3 5" xfId="11171" xr:uid="{00000000-0005-0000-0000-0000A32B0000}"/>
    <cellStyle name="Note 4 2 3 6" xfId="11172" xr:uid="{00000000-0005-0000-0000-0000A42B0000}"/>
    <cellStyle name="Note 4 2 4" xfId="11173" xr:uid="{00000000-0005-0000-0000-0000A52B0000}"/>
    <cellStyle name="Note 4 2 4 2" xfId="11174" xr:uid="{00000000-0005-0000-0000-0000A62B0000}"/>
    <cellStyle name="Note 4 2 4 2 2" xfId="11175" xr:uid="{00000000-0005-0000-0000-0000A72B0000}"/>
    <cellStyle name="Note 4 2 4 3" xfId="11176" xr:uid="{00000000-0005-0000-0000-0000A82B0000}"/>
    <cellStyle name="Note 4 2 4 3 2" xfId="11177" xr:uid="{00000000-0005-0000-0000-0000A92B0000}"/>
    <cellStyle name="Note 4 2 4 4" xfId="11178" xr:uid="{00000000-0005-0000-0000-0000AA2B0000}"/>
    <cellStyle name="Note 4 2 4 5" xfId="11179" xr:uid="{00000000-0005-0000-0000-0000AB2B0000}"/>
    <cellStyle name="Note 4 2 5" xfId="11180" xr:uid="{00000000-0005-0000-0000-0000AC2B0000}"/>
    <cellStyle name="Note 4 2 5 2" xfId="11181" xr:uid="{00000000-0005-0000-0000-0000AD2B0000}"/>
    <cellStyle name="Note 4 2 6" xfId="11182" xr:uid="{00000000-0005-0000-0000-0000AE2B0000}"/>
    <cellStyle name="Note 4 2 6 2" xfId="11183" xr:uid="{00000000-0005-0000-0000-0000AF2B0000}"/>
    <cellStyle name="Note 4 2 7" xfId="11184" xr:uid="{00000000-0005-0000-0000-0000B02B0000}"/>
    <cellStyle name="Note 4 2 8" xfId="11185" xr:uid="{00000000-0005-0000-0000-0000B12B0000}"/>
    <cellStyle name="Note 4 3" xfId="11186" xr:uid="{00000000-0005-0000-0000-0000B22B0000}"/>
    <cellStyle name="Note 4 3 2" xfId="11187" xr:uid="{00000000-0005-0000-0000-0000B32B0000}"/>
    <cellStyle name="Note 4 3 2 2" xfId="11188" xr:uid="{00000000-0005-0000-0000-0000B42B0000}"/>
    <cellStyle name="Note 4 3 2 2 2" xfId="11189" xr:uid="{00000000-0005-0000-0000-0000B52B0000}"/>
    <cellStyle name="Note 4 3 2 2 2 2" xfId="11190" xr:uid="{00000000-0005-0000-0000-0000B62B0000}"/>
    <cellStyle name="Note 4 3 2 2 3" xfId="11191" xr:uid="{00000000-0005-0000-0000-0000B72B0000}"/>
    <cellStyle name="Note 4 3 2 2 3 2" xfId="11192" xr:uid="{00000000-0005-0000-0000-0000B82B0000}"/>
    <cellStyle name="Note 4 3 2 2 4" xfId="11193" xr:uid="{00000000-0005-0000-0000-0000B92B0000}"/>
    <cellStyle name="Note 4 3 2 2 5" xfId="11194" xr:uid="{00000000-0005-0000-0000-0000BA2B0000}"/>
    <cellStyle name="Note 4 3 2 3" xfId="11195" xr:uid="{00000000-0005-0000-0000-0000BB2B0000}"/>
    <cellStyle name="Note 4 3 2 3 2" xfId="11196" xr:uid="{00000000-0005-0000-0000-0000BC2B0000}"/>
    <cellStyle name="Note 4 3 2 4" xfId="11197" xr:uid="{00000000-0005-0000-0000-0000BD2B0000}"/>
    <cellStyle name="Note 4 3 2 4 2" xfId="11198" xr:uid="{00000000-0005-0000-0000-0000BE2B0000}"/>
    <cellStyle name="Note 4 3 2 5" xfId="11199" xr:uid="{00000000-0005-0000-0000-0000BF2B0000}"/>
    <cellStyle name="Note 4 3 2 6" xfId="11200" xr:uid="{00000000-0005-0000-0000-0000C02B0000}"/>
    <cellStyle name="Note 4 3 3" xfId="11201" xr:uid="{00000000-0005-0000-0000-0000C12B0000}"/>
    <cellStyle name="Note 4 3 3 2" xfId="11202" xr:uid="{00000000-0005-0000-0000-0000C22B0000}"/>
    <cellStyle name="Note 4 3 3 2 2" xfId="11203" xr:uid="{00000000-0005-0000-0000-0000C32B0000}"/>
    <cellStyle name="Note 4 3 3 3" xfId="11204" xr:uid="{00000000-0005-0000-0000-0000C42B0000}"/>
    <cellStyle name="Note 4 3 3 3 2" xfId="11205" xr:uid="{00000000-0005-0000-0000-0000C52B0000}"/>
    <cellStyle name="Note 4 3 3 4" xfId="11206" xr:uid="{00000000-0005-0000-0000-0000C62B0000}"/>
    <cellStyle name="Note 4 3 3 5" xfId="11207" xr:uid="{00000000-0005-0000-0000-0000C72B0000}"/>
    <cellStyle name="Note 4 3 4" xfId="11208" xr:uid="{00000000-0005-0000-0000-0000C82B0000}"/>
    <cellStyle name="Note 4 3 4 2" xfId="11209" xr:uid="{00000000-0005-0000-0000-0000C92B0000}"/>
    <cellStyle name="Note 4 3 5" xfId="11210" xr:uid="{00000000-0005-0000-0000-0000CA2B0000}"/>
    <cellStyle name="Note 4 3 5 2" xfId="11211" xr:uid="{00000000-0005-0000-0000-0000CB2B0000}"/>
    <cellStyle name="Note 4 3 6" xfId="11212" xr:uid="{00000000-0005-0000-0000-0000CC2B0000}"/>
    <cellStyle name="Note 4 3 7" xfId="11213" xr:uid="{00000000-0005-0000-0000-0000CD2B0000}"/>
    <cellStyle name="Note 4 4" xfId="11214" xr:uid="{00000000-0005-0000-0000-0000CE2B0000}"/>
    <cellStyle name="Note 4 4 2" xfId="11215" xr:uid="{00000000-0005-0000-0000-0000CF2B0000}"/>
    <cellStyle name="Note 4 4 2 2" xfId="11216" xr:uid="{00000000-0005-0000-0000-0000D02B0000}"/>
    <cellStyle name="Note 4 4 2 2 2" xfId="11217" xr:uid="{00000000-0005-0000-0000-0000D12B0000}"/>
    <cellStyle name="Note 4 4 2 3" xfId="11218" xr:uid="{00000000-0005-0000-0000-0000D22B0000}"/>
    <cellStyle name="Note 4 4 2 3 2" xfId="11219" xr:uid="{00000000-0005-0000-0000-0000D32B0000}"/>
    <cellStyle name="Note 4 4 2 4" xfId="11220" xr:uid="{00000000-0005-0000-0000-0000D42B0000}"/>
    <cellStyle name="Note 4 4 2 5" xfId="11221" xr:uid="{00000000-0005-0000-0000-0000D52B0000}"/>
    <cellStyle name="Note 4 4 3" xfId="11222" xr:uid="{00000000-0005-0000-0000-0000D62B0000}"/>
    <cellStyle name="Note 4 4 3 2" xfId="11223" xr:uid="{00000000-0005-0000-0000-0000D72B0000}"/>
    <cellStyle name="Note 4 4 4" xfId="11224" xr:uid="{00000000-0005-0000-0000-0000D82B0000}"/>
    <cellStyle name="Note 4 4 4 2" xfId="11225" xr:uid="{00000000-0005-0000-0000-0000D92B0000}"/>
    <cellStyle name="Note 4 4 5" xfId="11226" xr:uid="{00000000-0005-0000-0000-0000DA2B0000}"/>
    <cellStyle name="Note 4 4 6" xfId="11227" xr:uid="{00000000-0005-0000-0000-0000DB2B0000}"/>
    <cellStyle name="Note 4 5" xfId="11228" xr:uid="{00000000-0005-0000-0000-0000DC2B0000}"/>
    <cellStyle name="Note 4 5 2" xfId="11229" xr:uid="{00000000-0005-0000-0000-0000DD2B0000}"/>
    <cellStyle name="Note 4 5 2 2" xfId="11230" xr:uid="{00000000-0005-0000-0000-0000DE2B0000}"/>
    <cellStyle name="Note 4 5 2 2 2" xfId="11231" xr:uid="{00000000-0005-0000-0000-0000DF2B0000}"/>
    <cellStyle name="Note 4 5 2 3" xfId="11232" xr:uid="{00000000-0005-0000-0000-0000E02B0000}"/>
    <cellStyle name="Note 4 5 3" xfId="11233" xr:uid="{00000000-0005-0000-0000-0000E12B0000}"/>
    <cellStyle name="Note 4 5 3 2" xfId="11234" xr:uid="{00000000-0005-0000-0000-0000E22B0000}"/>
    <cellStyle name="Note 4 5 4" xfId="11235" xr:uid="{00000000-0005-0000-0000-0000E32B0000}"/>
    <cellStyle name="Note 4 5 4 2" xfId="11236" xr:uid="{00000000-0005-0000-0000-0000E42B0000}"/>
    <cellStyle name="Note 4 5 5" xfId="11237" xr:uid="{00000000-0005-0000-0000-0000E52B0000}"/>
    <cellStyle name="Note 4 5 6" xfId="11238" xr:uid="{00000000-0005-0000-0000-0000E62B0000}"/>
    <cellStyle name="Note 4 6" xfId="11239" xr:uid="{00000000-0005-0000-0000-0000E72B0000}"/>
    <cellStyle name="Note 4 6 2" xfId="11240" xr:uid="{00000000-0005-0000-0000-0000E82B0000}"/>
    <cellStyle name="Note 4 6 2 2" xfId="11241" xr:uid="{00000000-0005-0000-0000-0000E92B0000}"/>
    <cellStyle name="Note 4 6 3" xfId="11242" xr:uid="{00000000-0005-0000-0000-0000EA2B0000}"/>
    <cellStyle name="Note 4 7" xfId="11243" xr:uid="{00000000-0005-0000-0000-0000EB2B0000}"/>
    <cellStyle name="Note 4 7 2" xfId="11244" xr:uid="{00000000-0005-0000-0000-0000EC2B0000}"/>
    <cellStyle name="Note 4 8" xfId="11245" xr:uid="{00000000-0005-0000-0000-0000ED2B0000}"/>
    <cellStyle name="Note 4 8 2" xfId="11246" xr:uid="{00000000-0005-0000-0000-0000EE2B0000}"/>
    <cellStyle name="Note 4 9" xfId="11247" xr:uid="{00000000-0005-0000-0000-0000EF2B0000}"/>
    <cellStyle name="Note 5" xfId="11248" xr:uid="{00000000-0005-0000-0000-0000F02B0000}"/>
    <cellStyle name="Note 5 2" xfId="11249" xr:uid="{00000000-0005-0000-0000-0000F12B0000}"/>
    <cellStyle name="Note 5 2 2" xfId="11250" xr:uid="{00000000-0005-0000-0000-0000F22B0000}"/>
    <cellStyle name="Note 5 2 2 2" xfId="11251" xr:uid="{00000000-0005-0000-0000-0000F32B0000}"/>
    <cellStyle name="Note 5 2 2 2 2" xfId="11252" xr:uid="{00000000-0005-0000-0000-0000F42B0000}"/>
    <cellStyle name="Note 5 2 2 2 2 2" xfId="11253" xr:uid="{00000000-0005-0000-0000-0000F52B0000}"/>
    <cellStyle name="Note 5 2 2 2 2 2 2" xfId="11254" xr:uid="{00000000-0005-0000-0000-0000F62B0000}"/>
    <cellStyle name="Note 5 2 2 2 2 3" xfId="11255" xr:uid="{00000000-0005-0000-0000-0000F72B0000}"/>
    <cellStyle name="Note 5 2 2 2 2 3 2" xfId="11256" xr:uid="{00000000-0005-0000-0000-0000F82B0000}"/>
    <cellStyle name="Note 5 2 2 2 2 4" xfId="11257" xr:uid="{00000000-0005-0000-0000-0000F92B0000}"/>
    <cellStyle name="Note 5 2 2 2 2 5" xfId="11258" xr:uid="{00000000-0005-0000-0000-0000FA2B0000}"/>
    <cellStyle name="Note 5 2 2 2 3" xfId="11259" xr:uid="{00000000-0005-0000-0000-0000FB2B0000}"/>
    <cellStyle name="Note 5 2 2 2 3 2" xfId="11260" xr:uid="{00000000-0005-0000-0000-0000FC2B0000}"/>
    <cellStyle name="Note 5 2 2 2 4" xfId="11261" xr:uid="{00000000-0005-0000-0000-0000FD2B0000}"/>
    <cellStyle name="Note 5 2 2 2 4 2" xfId="11262" xr:uid="{00000000-0005-0000-0000-0000FE2B0000}"/>
    <cellStyle name="Note 5 2 2 2 5" xfId="11263" xr:uid="{00000000-0005-0000-0000-0000FF2B0000}"/>
    <cellStyle name="Note 5 2 2 2 6" xfId="11264" xr:uid="{00000000-0005-0000-0000-0000002C0000}"/>
    <cellStyle name="Note 5 2 2 3" xfId="11265" xr:uid="{00000000-0005-0000-0000-0000012C0000}"/>
    <cellStyle name="Note 5 2 2 3 2" xfId="11266" xr:uid="{00000000-0005-0000-0000-0000022C0000}"/>
    <cellStyle name="Note 5 2 2 3 2 2" xfId="11267" xr:uid="{00000000-0005-0000-0000-0000032C0000}"/>
    <cellStyle name="Note 5 2 2 3 3" xfId="11268" xr:uid="{00000000-0005-0000-0000-0000042C0000}"/>
    <cellStyle name="Note 5 2 2 3 3 2" xfId="11269" xr:uid="{00000000-0005-0000-0000-0000052C0000}"/>
    <cellStyle name="Note 5 2 2 3 4" xfId="11270" xr:uid="{00000000-0005-0000-0000-0000062C0000}"/>
    <cellStyle name="Note 5 2 2 3 5" xfId="11271" xr:uid="{00000000-0005-0000-0000-0000072C0000}"/>
    <cellStyle name="Note 5 2 2 4" xfId="11272" xr:uid="{00000000-0005-0000-0000-0000082C0000}"/>
    <cellStyle name="Note 5 2 2 4 2" xfId="11273" xr:uid="{00000000-0005-0000-0000-0000092C0000}"/>
    <cellStyle name="Note 5 2 2 5" xfId="11274" xr:uid="{00000000-0005-0000-0000-00000A2C0000}"/>
    <cellStyle name="Note 5 2 2 5 2" xfId="11275" xr:uid="{00000000-0005-0000-0000-00000B2C0000}"/>
    <cellStyle name="Note 5 2 2 6" xfId="11276" xr:uid="{00000000-0005-0000-0000-00000C2C0000}"/>
    <cellStyle name="Note 5 2 2 7" xfId="11277" xr:uid="{00000000-0005-0000-0000-00000D2C0000}"/>
    <cellStyle name="Note 5 2 3" xfId="11278" xr:uid="{00000000-0005-0000-0000-00000E2C0000}"/>
    <cellStyle name="Note 5 2 3 2" xfId="11279" xr:uid="{00000000-0005-0000-0000-00000F2C0000}"/>
    <cellStyle name="Note 5 2 3 2 2" xfId="11280" xr:uid="{00000000-0005-0000-0000-0000102C0000}"/>
    <cellStyle name="Note 5 2 3 2 2 2" xfId="11281" xr:uid="{00000000-0005-0000-0000-0000112C0000}"/>
    <cellStyle name="Note 5 2 3 2 3" xfId="11282" xr:uid="{00000000-0005-0000-0000-0000122C0000}"/>
    <cellStyle name="Note 5 2 3 2 3 2" xfId="11283" xr:uid="{00000000-0005-0000-0000-0000132C0000}"/>
    <cellStyle name="Note 5 2 3 2 4" xfId="11284" xr:uid="{00000000-0005-0000-0000-0000142C0000}"/>
    <cellStyle name="Note 5 2 3 2 5" xfId="11285" xr:uid="{00000000-0005-0000-0000-0000152C0000}"/>
    <cellStyle name="Note 5 2 3 3" xfId="11286" xr:uid="{00000000-0005-0000-0000-0000162C0000}"/>
    <cellStyle name="Note 5 2 3 3 2" xfId="11287" xr:uid="{00000000-0005-0000-0000-0000172C0000}"/>
    <cellStyle name="Note 5 2 3 4" xfId="11288" xr:uid="{00000000-0005-0000-0000-0000182C0000}"/>
    <cellStyle name="Note 5 2 3 4 2" xfId="11289" xr:uid="{00000000-0005-0000-0000-0000192C0000}"/>
    <cellStyle name="Note 5 2 3 5" xfId="11290" xr:uid="{00000000-0005-0000-0000-00001A2C0000}"/>
    <cellStyle name="Note 5 2 3 6" xfId="11291" xr:uid="{00000000-0005-0000-0000-00001B2C0000}"/>
    <cellStyle name="Note 5 2 4" xfId="11292" xr:uid="{00000000-0005-0000-0000-00001C2C0000}"/>
    <cellStyle name="Note 5 2 4 2" xfId="11293" xr:uid="{00000000-0005-0000-0000-00001D2C0000}"/>
    <cellStyle name="Note 5 2 4 2 2" xfId="11294" xr:uid="{00000000-0005-0000-0000-00001E2C0000}"/>
    <cellStyle name="Note 5 2 4 3" xfId="11295" xr:uid="{00000000-0005-0000-0000-00001F2C0000}"/>
    <cellStyle name="Note 5 2 4 3 2" xfId="11296" xr:uid="{00000000-0005-0000-0000-0000202C0000}"/>
    <cellStyle name="Note 5 2 4 4" xfId="11297" xr:uid="{00000000-0005-0000-0000-0000212C0000}"/>
    <cellStyle name="Note 5 2 4 5" xfId="11298" xr:uid="{00000000-0005-0000-0000-0000222C0000}"/>
    <cellStyle name="Note 5 2 5" xfId="11299" xr:uid="{00000000-0005-0000-0000-0000232C0000}"/>
    <cellStyle name="Note 5 2 5 2" xfId="11300" xr:uid="{00000000-0005-0000-0000-0000242C0000}"/>
    <cellStyle name="Note 5 2 6" xfId="11301" xr:uid="{00000000-0005-0000-0000-0000252C0000}"/>
    <cellStyle name="Note 5 2 6 2" xfId="11302" xr:uid="{00000000-0005-0000-0000-0000262C0000}"/>
    <cellStyle name="Note 5 2 7" xfId="11303" xr:uid="{00000000-0005-0000-0000-0000272C0000}"/>
    <cellStyle name="Note 5 2 8" xfId="11304" xr:uid="{00000000-0005-0000-0000-0000282C0000}"/>
    <cellStyle name="Note 5 3" xfId="11305" xr:uid="{00000000-0005-0000-0000-0000292C0000}"/>
    <cellStyle name="Note 5 3 2" xfId="11306" xr:uid="{00000000-0005-0000-0000-00002A2C0000}"/>
    <cellStyle name="Note 5 3 2 2" xfId="11307" xr:uid="{00000000-0005-0000-0000-00002B2C0000}"/>
    <cellStyle name="Note 5 3 2 2 2" xfId="11308" xr:uid="{00000000-0005-0000-0000-00002C2C0000}"/>
    <cellStyle name="Note 5 3 2 2 2 2" xfId="11309" xr:uid="{00000000-0005-0000-0000-00002D2C0000}"/>
    <cellStyle name="Note 5 3 2 2 3" xfId="11310" xr:uid="{00000000-0005-0000-0000-00002E2C0000}"/>
    <cellStyle name="Note 5 3 2 2 3 2" xfId="11311" xr:uid="{00000000-0005-0000-0000-00002F2C0000}"/>
    <cellStyle name="Note 5 3 2 2 4" xfId="11312" xr:uid="{00000000-0005-0000-0000-0000302C0000}"/>
    <cellStyle name="Note 5 3 2 2 5" xfId="11313" xr:uid="{00000000-0005-0000-0000-0000312C0000}"/>
    <cellStyle name="Note 5 3 2 3" xfId="11314" xr:uid="{00000000-0005-0000-0000-0000322C0000}"/>
    <cellStyle name="Note 5 3 2 3 2" xfId="11315" xr:uid="{00000000-0005-0000-0000-0000332C0000}"/>
    <cellStyle name="Note 5 3 2 4" xfId="11316" xr:uid="{00000000-0005-0000-0000-0000342C0000}"/>
    <cellStyle name="Note 5 3 2 4 2" xfId="11317" xr:uid="{00000000-0005-0000-0000-0000352C0000}"/>
    <cellStyle name="Note 5 3 2 5" xfId="11318" xr:uid="{00000000-0005-0000-0000-0000362C0000}"/>
    <cellStyle name="Note 5 3 2 6" xfId="11319" xr:uid="{00000000-0005-0000-0000-0000372C0000}"/>
    <cellStyle name="Note 5 3 3" xfId="11320" xr:uid="{00000000-0005-0000-0000-0000382C0000}"/>
    <cellStyle name="Note 5 3 3 2" xfId="11321" xr:uid="{00000000-0005-0000-0000-0000392C0000}"/>
    <cellStyle name="Note 5 3 3 2 2" xfId="11322" xr:uid="{00000000-0005-0000-0000-00003A2C0000}"/>
    <cellStyle name="Note 5 3 3 3" xfId="11323" xr:uid="{00000000-0005-0000-0000-00003B2C0000}"/>
    <cellStyle name="Note 5 3 3 3 2" xfId="11324" xr:uid="{00000000-0005-0000-0000-00003C2C0000}"/>
    <cellStyle name="Note 5 3 3 4" xfId="11325" xr:uid="{00000000-0005-0000-0000-00003D2C0000}"/>
    <cellStyle name="Note 5 3 3 5" xfId="11326" xr:uid="{00000000-0005-0000-0000-00003E2C0000}"/>
    <cellStyle name="Note 5 3 4" xfId="11327" xr:uid="{00000000-0005-0000-0000-00003F2C0000}"/>
    <cellStyle name="Note 5 3 4 2" xfId="11328" xr:uid="{00000000-0005-0000-0000-0000402C0000}"/>
    <cellStyle name="Note 5 3 5" xfId="11329" xr:uid="{00000000-0005-0000-0000-0000412C0000}"/>
    <cellStyle name="Note 5 3 5 2" xfId="11330" xr:uid="{00000000-0005-0000-0000-0000422C0000}"/>
    <cellStyle name="Note 5 3 6" xfId="11331" xr:uid="{00000000-0005-0000-0000-0000432C0000}"/>
    <cellStyle name="Note 5 3 7" xfId="11332" xr:uid="{00000000-0005-0000-0000-0000442C0000}"/>
    <cellStyle name="Note 5 4" xfId="11333" xr:uid="{00000000-0005-0000-0000-0000452C0000}"/>
    <cellStyle name="Note 5 4 2" xfId="11334" xr:uid="{00000000-0005-0000-0000-0000462C0000}"/>
    <cellStyle name="Note 5 4 2 2" xfId="11335" xr:uid="{00000000-0005-0000-0000-0000472C0000}"/>
    <cellStyle name="Note 5 4 2 2 2" xfId="11336" xr:uid="{00000000-0005-0000-0000-0000482C0000}"/>
    <cellStyle name="Note 5 4 2 3" xfId="11337" xr:uid="{00000000-0005-0000-0000-0000492C0000}"/>
    <cellStyle name="Note 5 4 2 3 2" xfId="11338" xr:uid="{00000000-0005-0000-0000-00004A2C0000}"/>
    <cellStyle name="Note 5 4 2 4" xfId="11339" xr:uid="{00000000-0005-0000-0000-00004B2C0000}"/>
    <cellStyle name="Note 5 4 2 5" xfId="11340" xr:uid="{00000000-0005-0000-0000-00004C2C0000}"/>
    <cellStyle name="Note 5 4 3" xfId="11341" xr:uid="{00000000-0005-0000-0000-00004D2C0000}"/>
    <cellStyle name="Note 5 4 3 2" xfId="11342" xr:uid="{00000000-0005-0000-0000-00004E2C0000}"/>
    <cellStyle name="Note 5 4 4" xfId="11343" xr:uid="{00000000-0005-0000-0000-00004F2C0000}"/>
    <cellStyle name="Note 5 4 4 2" xfId="11344" xr:uid="{00000000-0005-0000-0000-0000502C0000}"/>
    <cellStyle name="Note 5 4 5" xfId="11345" xr:uid="{00000000-0005-0000-0000-0000512C0000}"/>
    <cellStyle name="Note 5 4 6" xfId="11346" xr:uid="{00000000-0005-0000-0000-0000522C0000}"/>
    <cellStyle name="Note 5 5" xfId="11347" xr:uid="{00000000-0005-0000-0000-0000532C0000}"/>
    <cellStyle name="Note 5 5 2" xfId="11348" xr:uid="{00000000-0005-0000-0000-0000542C0000}"/>
    <cellStyle name="Note 5 5 2 2" xfId="11349" xr:uid="{00000000-0005-0000-0000-0000552C0000}"/>
    <cellStyle name="Note 5 5 2 2 2" xfId="11350" xr:uid="{00000000-0005-0000-0000-0000562C0000}"/>
    <cellStyle name="Note 5 5 2 3" xfId="11351" xr:uid="{00000000-0005-0000-0000-0000572C0000}"/>
    <cellStyle name="Note 5 5 3" xfId="11352" xr:uid="{00000000-0005-0000-0000-0000582C0000}"/>
    <cellStyle name="Note 5 5 3 2" xfId="11353" xr:uid="{00000000-0005-0000-0000-0000592C0000}"/>
    <cellStyle name="Note 5 5 4" xfId="11354" xr:uid="{00000000-0005-0000-0000-00005A2C0000}"/>
    <cellStyle name="Note 5 5 4 2" xfId="11355" xr:uid="{00000000-0005-0000-0000-00005B2C0000}"/>
    <cellStyle name="Note 5 5 5" xfId="11356" xr:uid="{00000000-0005-0000-0000-00005C2C0000}"/>
    <cellStyle name="Note 5 5 6" xfId="11357" xr:uid="{00000000-0005-0000-0000-00005D2C0000}"/>
    <cellStyle name="Note 5 6" xfId="11358" xr:uid="{00000000-0005-0000-0000-00005E2C0000}"/>
    <cellStyle name="Note 5 6 2" xfId="11359" xr:uid="{00000000-0005-0000-0000-00005F2C0000}"/>
    <cellStyle name="Note 5 7" xfId="11360" xr:uid="{00000000-0005-0000-0000-0000602C0000}"/>
    <cellStyle name="Note 6" xfId="11361" xr:uid="{00000000-0005-0000-0000-0000612C0000}"/>
    <cellStyle name="Note 6 2" xfId="11362" xr:uid="{00000000-0005-0000-0000-0000622C0000}"/>
    <cellStyle name="Note 6 2 2" xfId="11363" xr:uid="{00000000-0005-0000-0000-0000632C0000}"/>
    <cellStyle name="Note 6 2 2 2" xfId="11364" xr:uid="{00000000-0005-0000-0000-0000642C0000}"/>
    <cellStyle name="Note 6 2 2 2 2" xfId="11365" xr:uid="{00000000-0005-0000-0000-0000652C0000}"/>
    <cellStyle name="Note 6 2 2 2 2 2" xfId="11366" xr:uid="{00000000-0005-0000-0000-0000662C0000}"/>
    <cellStyle name="Note 6 2 2 2 2 2 2" xfId="11367" xr:uid="{00000000-0005-0000-0000-0000672C0000}"/>
    <cellStyle name="Note 6 2 2 2 2 3" xfId="11368" xr:uid="{00000000-0005-0000-0000-0000682C0000}"/>
    <cellStyle name="Note 6 2 2 2 2 3 2" xfId="11369" xr:uid="{00000000-0005-0000-0000-0000692C0000}"/>
    <cellStyle name="Note 6 2 2 2 2 4" xfId="11370" xr:uid="{00000000-0005-0000-0000-00006A2C0000}"/>
    <cellStyle name="Note 6 2 2 2 2 5" xfId="11371" xr:uid="{00000000-0005-0000-0000-00006B2C0000}"/>
    <cellStyle name="Note 6 2 2 2 3" xfId="11372" xr:uid="{00000000-0005-0000-0000-00006C2C0000}"/>
    <cellStyle name="Note 6 2 2 2 3 2" xfId="11373" xr:uid="{00000000-0005-0000-0000-00006D2C0000}"/>
    <cellStyle name="Note 6 2 2 2 4" xfId="11374" xr:uid="{00000000-0005-0000-0000-00006E2C0000}"/>
    <cellStyle name="Note 6 2 2 2 4 2" xfId="11375" xr:uid="{00000000-0005-0000-0000-00006F2C0000}"/>
    <cellStyle name="Note 6 2 2 2 5" xfId="11376" xr:uid="{00000000-0005-0000-0000-0000702C0000}"/>
    <cellStyle name="Note 6 2 2 2 6" xfId="11377" xr:uid="{00000000-0005-0000-0000-0000712C0000}"/>
    <cellStyle name="Note 6 2 2 3" xfId="11378" xr:uid="{00000000-0005-0000-0000-0000722C0000}"/>
    <cellStyle name="Note 6 2 2 3 2" xfId="11379" xr:uid="{00000000-0005-0000-0000-0000732C0000}"/>
    <cellStyle name="Note 6 2 2 3 2 2" xfId="11380" xr:uid="{00000000-0005-0000-0000-0000742C0000}"/>
    <cellStyle name="Note 6 2 2 3 3" xfId="11381" xr:uid="{00000000-0005-0000-0000-0000752C0000}"/>
    <cellStyle name="Note 6 2 2 3 3 2" xfId="11382" xr:uid="{00000000-0005-0000-0000-0000762C0000}"/>
    <cellStyle name="Note 6 2 2 3 4" xfId="11383" xr:uid="{00000000-0005-0000-0000-0000772C0000}"/>
    <cellStyle name="Note 6 2 2 3 5" xfId="11384" xr:uid="{00000000-0005-0000-0000-0000782C0000}"/>
    <cellStyle name="Note 6 2 2 4" xfId="11385" xr:uid="{00000000-0005-0000-0000-0000792C0000}"/>
    <cellStyle name="Note 6 2 2 4 2" xfId="11386" xr:uid="{00000000-0005-0000-0000-00007A2C0000}"/>
    <cellStyle name="Note 6 2 2 5" xfId="11387" xr:uid="{00000000-0005-0000-0000-00007B2C0000}"/>
    <cellStyle name="Note 6 2 2 5 2" xfId="11388" xr:uid="{00000000-0005-0000-0000-00007C2C0000}"/>
    <cellStyle name="Note 6 2 2 6" xfId="11389" xr:uid="{00000000-0005-0000-0000-00007D2C0000}"/>
    <cellStyle name="Note 6 2 2 7" xfId="11390" xr:uid="{00000000-0005-0000-0000-00007E2C0000}"/>
    <cellStyle name="Note 6 2 3" xfId="11391" xr:uid="{00000000-0005-0000-0000-00007F2C0000}"/>
    <cellStyle name="Note 6 2 3 2" xfId="11392" xr:uid="{00000000-0005-0000-0000-0000802C0000}"/>
    <cellStyle name="Note 6 2 3 2 2" xfId="11393" xr:uid="{00000000-0005-0000-0000-0000812C0000}"/>
    <cellStyle name="Note 6 2 3 2 2 2" xfId="11394" xr:uid="{00000000-0005-0000-0000-0000822C0000}"/>
    <cellStyle name="Note 6 2 3 2 3" xfId="11395" xr:uid="{00000000-0005-0000-0000-0000832C0000}"/>
    <cellStyle name="Note 6 2 3 2 3 2" xfId="11396" xr:uid="{00000000-0005-0000-0000-0000842C0000}"/>
    <cellStyle name="Note 6 2 3 2 4" xfId="11397" xr:uid="{00000000-0005-0000-0000-0000852C0000}"/>
    <cellStyle name="Note 6 2 3 2 5" xfId="11398" xr:uid="{00000000-0005-0000-0000-0000862C0000}"/>
    <cellStyle name="Note 6 2 3 3" xfId="11399" xr:uid="{00000000-0005-0000-0000-0000872C0000}"/>
    <cellStyle name="Note 6 2 3 3 2" xfId="11400" xr:uid="{00000000-0005-0000-0000-0000882C0000}"/>
    <cellStyle name="Note 6 2 3 4" xfId="11401" xr:uid="{00000000-0005-0000-0000-0000892C0000}"/>
    <cellStyle name="Note 6 2 3 4 2" xfId="11402" xr:uid="{00000000-0005-0000-0000-00008A2C0000}"/>
    <cellStyle name="Note 6 2 3 5" xfId="11403" xr:uid="{00000000-0005-0000-0000-00008B2C0000}"/>
    <cellStyle name="Note 6 2 3 6" xfId="11404" xr:uid="{00000000-0005-0000-0000-00008C2C0000}"/>
    <cellStyle name="Note 6 2 4" xfId="11405" xr:uid="{00000000-0005-0000-0000-00008D2C0000}"/>
    <cellStyle name="Note 6 2 4 2" xfId="11406" xr:uid="{00000000-0005-0000-0000-00008E2C0000}"/>
    <cellStyle name="Note 6 2 4 2 2" xfId="11407" xr:uid="{00000000-0005-0000-0000-00008F2C0000}"/>
    <cellStyle name="Note 6 2 4 3" xfId="11408" xr:uid="{00000000-0005-0000-0000-0000902C0000}"/>
    <cellStyle name="Note 6 2 4 3 2" xfId="11409" xr:uid="{00000000-0005-0000-0000-0000912C0000}"/>
    <cellStyle name="Note 6 2 4 4" xfId="11410" xr:uid="{00000000-0005-0000-0000-0000922C0000}"/>
    <cellStyle name="Note 6 2 4 5" xfId="11411" xr:uid="{00000000-0005-0000-0000-0000932C0000}"/>
    <cellStyle name="Note 6 2 5" xfId="11412" xr:uid="{00000000-0005-0000-0000-0000942C0000}"/>
    <cellStyle name="Note 6 2 5 2" xfId="11413" xr:uid="{00000000-0005-0000-0000-0000952C0000}"/>
    <cellStyle name="Note 6 2 6" xfId="11414" xr:uid="{00000000-0005-0000-0000-0000962C0000}"/>
    <cellStyle name="Note 6 2 6 2" xfId="11415" xr:uid="{00000000-0005-0000-0000-0000972C0000}"/>
    <cellStyle name="Note 6 2 7" xfId="11416" xr:uid="{00000000-0005-0000-0000-0000982C0000}"/>
    <cellStyle name="Note 6 2 8" xfId="11417" xr:uid="{00000000-0005-0000-0000-0000992C0000}"/>
    <cellStyle name="Note 6 3" xfId="11418" xr:uid="{00000000-0005-0000-0000-00009A2C0000}"/>
    <cellStyle name="Note 6 3 2" xfId="11419" xr:uid="{00000000-0005-0000-0000-00009B2C0000}"/>
    <cellStyle name="Note 6 3 2 2" xfId="11420" xr:uid="{00000000-0005-0000-0000-00009C2C0000}"/>
    <cellStyle name="Note 6 3 2 2 2" xfId="11421" xr:uid="{00000000-0005-0000-0000-00009D2C0000}"/>
    <cellStyle name="Note 6 3 2 2 2 2" xfId="11422" xr:uid="{00000000-0005-0000-0000-00009E2C0000}"/>
    <cellStyle name="Note 6 3 2 2 3" xfId="11423" xr:uid="{00000000-0005-0000-0000-00009F2C0000}"/>
    <cellStyle name="Note 6 3 2 2 3 2" xfId="11424" xr:uid="{00000000-0005-0000-0000-0000A02C0000}"/>
    <cellStyle name="Note 6 3 2 2 4" xfId="11425" xr:uid="{00000000-0005-0000-0000-0000A12C0000}"/>
    <cellStyle name="Note 6 3 2 2 5" xfId="11426" xr:uid="{00000000-0005-0000-0000-0000A22C0000}"/>
    <cellStyle name="Note 6 3 2 3" xfId="11427" xr:uid="{00000000-0005-0000-0000-0000A32C0000}"/>
    <cellStyle name="Note 6 3 2 3 2" xfId="11428" xr:uid="{00000000-0005-0000-0000-0000A42C0000}"/>
    <cellStyle name="Note 6 3 2 4" xfId="11429" xr:uid="{00000000-0005-0000-0000-0000A52C0000}"/>
    <cellStyle name="Note 6 3 2 4 2" xfId="11430" xr:uid="{00000000-0005-0000-0000-0000A62C0000}"/>
    <cellStyle name="Note 6 3 2 5" xfId="11431" xr:uid="{00000000-0005-0000-0000-0000A72C0000}"/>
    <cellStyle name="Note 6 3 2 6" xfId="11432" xr:uid="{00000000-0005-0000-0000-0000A82C0000}"/>
    <cellStyle name="Note 6 3 3" xfId="11433" xr:uid="{00000000-0005-0000-0000-0000A92C0000}"/>
    <cellStyle name="Note 6 3 3 2" xfId="11434" xr:uid="{00000000-0005-0000-0000-0000AA2C0000}"/>
    <cellStyle name="Note 6 3 3 2 2" xfId="11435" xr:uid="{00000000-0005-0000-0000-0000AB2C0000}"/>
    <cellStyle name="Note 6 3 3 3" xfId="11436" xr:uid="{00000000-0005-0000-0000-0000AC2C0000}"/>
    <cellStyle name="Note 6 3 3 3 2" xfId="11437" xr:uid="{00000000-0005-0000-0000-0000AD2C0000}"/>
    <cellStyle name="Note 6 3 3 4" xfId="11438" xr:uid="{00000000-0005-0000-0000-0000AE2C0000}"/>
    <cellStyle name="Note 6 3 3 5" xfId="11439" xr:uid="{00000000-0005-0000-0000-0000AF2C0000}"/>
    <cellStyle name="Note 6 3 4" xfId="11440" xr:uid="{00000000-0005-0000-0000-0000B02C0000}"/>
    <cellStyle name="Note 6 3 4 2" xfId="11441" xr:uid="{00000000-0005-0000-0000-0000B12C0000}"/>
    <cellStyle name="Note 6 3 5" xfId="11442" xr:uid="{00000000-0005-0000-0000-0000B22C0000}"/>
    <cellStyle name="Note 6 3 5 2" xfId="11443" xr:uid="{00000000-0005-0000-0000-0000B32C0000}"/>
    <cellStyle name="Note 6 3 6" xfId="11444" xr:uid="{00000000-0005-0000-0000-0000B42C0000}"/>
    <cellStyle name="Note 6 3 7" xfId="11445" xr:uid="{00000000-0005-0000-0000-0000B52C0000}"/>
    <cellStyle name="Note 6 4" xfId="11446" xr:uid="{00000000-0005-0000-0000-0000B62C0000}"/>
    <cellStyle name="Note 6 4 2" xfId="11447" xr:uid="{00000000-0005-0000-0000-0000B72C0000}"/>
    <cellStyle name="Note 6 4 2 2" xfId="11448" xr:uid="{00000000-0005-0000-0000-0000B82C0000}"/>
    <cellStyle name="Note 6 4 2 2 2" xfId="11449" xr:uid="{00000000-0005-0000-0000-0000B92C0000}"/>
    <cellStyle name="Note 6 4 2 3" xfId="11450" xr:uid="{00000000-0005-0000-0000-0000BA2C0000}"/>
    <cellStyle name="Note 6 4 2 3 2" xfId="11451" xr:uid="{00000000-0005-0000-0000-0000BB2C0000}"/>
    <cellStyle name="Note 6 4 2 4" xfId="11452" xr:uid="{00000000-0005-0000-0000-0000BC2C0000}"/>
    <cellStyle name="Note 6 4 2 5" xfId="11453" xr:uid="{00000000-0005-0000-0000-0000BD2C0000}"/>
    <cellStyle name="Note 6 4 3" xfId="11454" xr:uid="{00000000-0005-0000-0000-0000BE2C0000}"/>
    <cellStyle name="Note 6 4 3 2" xfId="11455" xr:uid="{00000000-0005-0000-0000-0000BF2C0000}"/>
    <cellStyle name="Note 6 4 4" xfId="11456" xr:uid="{00000000-0005-0000-0000-0000C02C0000}"/>
    <cellStyle name="Note 6 4 4 2" xfId="11457" xr:uid="{00000000-0005-0000-0000-0000C12C0000}"/>
    <cellStyle name="Note 6 4 5" xfId="11458" xr:uid="{00000000-0005-0000-0000-0000C22C0000}"/>
    <cellStyle name="Note 6 4 6" xfId="11459" xr:uid="{00000000-0005-0000-0000-0000C32C0000}"/>
    <cellStyle name="Note 6 5" xfId="11460" xr:uid="{00000000-0005-0000-0000-0000C42C0000}"/>
    <cellStyle name="Note 6 5 2" xfId="11461" xr:uid="{00000000-0005-0000-0000-0000C52C0000}"/>
    <cellStyle name="Note 6 5 2 2" xfId="11462" xr:uid="{00000000-0005-0000-0000-0000C62C0000}"/>
    <cellStyle name="Note 6 5 2 2 2" xfId="11463" xr:uid="{00000000-0005-0000-0000-0000C72C0000}"/>
    <cellStyle name="Note 6 5 2 3" xfId="11464" xr:uid="{00000000-0005-0000-0000-0000C82C0000}"/>
    <cellStyle name="Note 6 5 3" xfId="11465" xr:uid="{00000000-0005-0000-0000-0000C92C0000}"/>
    <cellStyle name="Note 6 5 3 2" xfId="11466" xr:uid="{00000000-0005-0000-0000-0000CA2C0000}"/>
    <cellStyle name="Note 6 5 4" xfId="11467" xr:uid="{00000000-0005-0000-0000-0000CB2C0000}"/>
    <cellStyle name="Note 6 5 4 2" xfId="11468" xr:uid="{00000000-0005-0000-0000-0000CC2C0000}"/>
    <cellStyle name="Note 6 5 5" xfId="11469" xr:uid="{00000000-0005-0000-0000-0000CD2C0000}"/>
    <cellStyle name="Note 6 5 6" xfId="11470" xr:uid="{00000000-0005-0000-0000-0000CE2C0000}"/>
    <cellStyle name="Note 6 6" xfId="11471" xr:uid="{00000000-0005-0000-0000-0000CF2C0000}"/>
    <cellStyle name="Note 6 6 2" xfId="11472" xr:uid="{00000000-0005-0000-0000-0000D02C0000}"/>
    <cellStyle name="Note 6 7" xfId="11473" xr:uid="{00000000-0005-0000-0000-0000D12C0000}"/>
    <cellStyle name="Note 7" xfId="11474" xr:uid="{00000000-0005-0000-0000-0000D22C0000}"/>
    <cellStyle name="Note 7 2" xfId="11475" xr:uid="{00000000-0005-0000-0000-0000D32C0000}"/>
    <cellStyle name="Note 7 2 2" xfId="11476" xr:uid="{00000000-0005-0000-0000-0000D42C0000}"/>
    <cellStyle name="Note 7 2 2 2" xfId="11477" xr:uid="{00000000-0005-0000-0000-0000D52C0000}"/>
    <cellStyle name="Note 7 2 2 2 2" xfId="11478" xr:uid="{00000000-0005-0000-0000-0000D62C0000}"/>
    <cellStyle name="Note 7 2 2 2 2 2" xfId="11479" xr:uid="{00000000-0005-0000-0000-0000D72C0000}"/>
    <cellStyle name="Note 7 2 2 2 3" xfId="11480" xr:uid="{00000000-0005-0000-0000-0000D82C0000}"/>
    <cellStyle name="Note 7 2 2 2 3 2" xfId="11481" xr:uid="{00000000-0005-0000-0000-0000D92C0000}"/>
    <cellStyle name="Note 7 2 2 2 4" xfId="11482" xr:uid="{00000000-0005-0000-0000-0000DA2C0000}"/>
    <cellStyle name="Note 7 2 2 2 5" xfId="11483" xr:uid="{00000000-0005-0000-0000-0000DB2C0000}"/>
    <cellStyle name="Note 7 2 2 3" xfId="11484" xr:uid="{00000000-0005-0000-0000-0000DC2C0000}"/>
    <cellStyle name="Note 7 2 2 3 2" xfId="11485" xr:uid="{00000000-0005-0000-0000-0000DD2C0000}"/>
    <cellStyle name="Note 7 2 2 4" xfId="11486" xr:uid="{00000000-0005-0000-0000-0000DE2C0000}"/>
    <cellStyle name="Note 7 2 2 4 2" xfId="11487" xr:uid="{00000000-0005-0000-0000-0000DF2C0000}"/>
    <cellStyle name="Note 7 2 2 5" xfId="11488" xr:uid="{00000000-0005-0000-0000-0000E02C0000}"/>
    <cellStyle name="Note 7 2 2 6" xfId="11489" xr:uid="{00000000-0005-0000-0000-0000E12C0000}"/>
    <cellStyle name="Note 7 2 3" xfId="11490" xr:uid="{00000000-0005-0000-0000-0000E22C0000}"/>
    <cellStyle name="Note 7 2 3 2" xfId="11491" xr:uid="{00000000-0005-0000-0000-0000E32C0000}"/>
    <cellStyle name="Note 7 2 3 2 2" xfId="11492" xr:uid="{00000000-0005-0000-0000-0000E42C0000}"/>
    <cellStyle name="Note 7 2 3 3" xfId="11493" xr:uid="{00000000-0005-0000-0000-0000E52C0000}"/>
    <cellStyle name="Note 7 2 3 3 2" xfId="11494" xr:uid="{00000000-0005-0000-0000-0000E62C0000}"/>
    <cellStyle name="Note 7 2 3 4" xfId="11495" xr:uid="{00000000-0005-0000-0000-0000E72C0000}"/>
    <cellStyle name="Note 7 2 3 5" xfId="11496" xr:uid="{00000000-0005-0000-0000-0000E82C0000}"/>
    <cellStyle name="Note 7 2 4" xfId="11497" xr:uid="{00000000-0005-0000-0000-0000E92C0000}"/>
    <cellStyle name="Note 7 2 4 2" xfId="11498" xr:uid="{00000000-0005-0000-0000-0000EA2C0000}"/>
    <cellStyle name="Note 7 2 5" xfId="11499" xr:uid="{00000000-0005-0000-0000-0000EB2C0000}"/>
    <cellStyle name="Note 7 2 5 2" xfId="11500" xr:uid="{00000000-0005-0000-0000-0000EC2C0000}"/>
    <cellStyle name="Note 7 2 6" xfId="11501" xr:uid="{00000000-0005-0000-0000-0000ED2C0000}"/>
    <cellStyle name="Note 7 2 7" xfId="11502" xr:uid="{00000000-0005-0000-0000-0000EE2C0000}"/>
    <cellStyle name="Note 7 3" xfId="11503" xr:uid="{00000000-0005-0000-0000-0000EF2C0000}"/>
    <cellStyle name="Note 7 3 2" xfId="11504" xr:uid="{00000000-0005-0000-0000-0000F02C0000}"/>
    <cellStyle name="Note 7 3 2 2" xfId="11505" xr:uid="{00000000-0005-0000-0000-0000F12C0000}"/>
    <cellStyle name="Note 7 3 2 2 2" xfId="11506" xr:uid="{00000000-0005-0000-0000-0000F22C0000}"/>
    <cellStyle name="Note 7 3 2 3" xfId="11507" xr:uid="{00000000-0005-0000-0000-0000F32C0000}"/>
    <cellStyle name="Note 7 3 2 3 2" xfId="11508" xr:uid="{00000000-0005-0000-0000-0000F42C0000}"/>
    <cellStyle name="Note 7 3 2 4" xfId="11509" xr:uid="{00000000-0005-0000-0000-0000F52C0000}"/>
    <cellStyle name="Note 7 3 2 5" xfId="11510" xr:uid="{00000000-0005-0000-0000-0000F62C0000}"/>
    <cellStyle name="Note 7 3 3" xfId="11511" xr:uid="{00000000-0005-0000-0000-0000F72C0000}"/>
    <cellStyle name="Note 7 3 3 2" xfId="11512" xr:uid="{00000000-0005-0000-0000-0000F82C0000}"/>
    <cellStyle name="Note 7 3 4" xfId="11513" xr:uid="{00000000-0005-0000-0000-0000F92C0000}"/>
    <cellStyle name="Note 7 3 4 2" xfId="11514" xr:uid="{00000000-0005-0000-0000-0000FA2C0000}"/>
    <cellStyle name="Note 7 3 5" xfId="11515" xr:uid="{00000000-0005-0000-0000-0000FB2C0000}"/>
    <cellStyle name="Note 7 3 6" xfId="11516" xr:uid="{00000000-0005-0000-0000-0000FC2C0000}"/>
    <cellStyle name="Note 7 4" xfId="11517" xr:uid="{00000000-0005-0000-0000-0000FD2C0000}"/>
    <cellStyle name="Note 7 4 2" xfId="11518" xr:uid="{00000000-0005-0000-0000-0000FE2C0000}"/>
    <cellStyle name="Note 7 4 2 2" xfId="11519" xr:uid="{00000000-0005-0000-0000-0000FF2C0000}"/>
    <cellStyle name="Note 7 4 3" xfId="11520" xr:uid="{00000000-0005-0000-0000-0000002D0000}"/>
    <cellStyle name="Note 7 4 3 2" xfId="11521" xr:uid="{00000000-0005-0000-0000-0000012D0000}"/>
    <cellStyle name="Note 7 4 4" xfId="11522" xr:uid="{00000000-0005-0000-0000-0000022D0000}"/>
    <cellStyle name="Note 7 4 5" xfId="11523" xr:uid="{00000000-0005-0000-0000-0000032D0000}"/>
    <cellStyle name="Note 7 5" xfId="11524" xr:uid="{00000000-0005-0000-0000-0000042D0000}"/>
    <cellStyle name="Note 7 5 2" xfId="11525" xr:uid="{00000000-0005-0000-0000-0000052D0000}"/>
    <cellStyle name="Note 7 6" xfId="11526" xr:uid="{00000000-0005-0000-0000-0000062D0000}"/>
    <cellStyle name="Note 7 6 2" xfId="11527" xr:uid="{00000000-0005-0000-0000-0000072D0000}"/>
    <cellStyle name="Note 7 7" xfId="11528" xr:uid="{00000000-0005-0000-0000-0000082D0000}"/>
    <cellStyle name="Note 7 8" xfId="11529" xr:uid="{00000000-0005-0000-0000-0000092D0000}"/>
    <cellStyle name="Note 8" xfId="11530" xr:uid="{00000000-0005-0000-0000-00000A2D0000}"/>
    <cellStyle name="Note 8 2" xfId="11531" xr:uid="{00000000-0005-0000-0000-00000B2D0000}"/>
    <cellStyle name="Note 8 2 2" xfId="11532" xr:uid="{00000000-0005-0000-0000-00000C2D0000}"/>
    <cellStyle name="Note 8 2 2 2" xfId="11533" xr:uid="{00000000-0005-0000-0000-00000D2D0000}"/>
    <cellStyle name="Note 8 2 2 2 2" xfId="11534" xr:uid="{00000000-0005-0000-0000-00000E2D0000}"/>
    <cellStyle name="Note 8 2 2 2 2 2" xfId="11535" xr:uid="{00000000-0005-0000-0000-00000F2D0000}"/>
    <cellStyle name="Note 8 2 2 2 3" xfId="11536" xr:uid="{00000000-0005-0000-0000-0000102D0000}"/>
    <cellStyle name="Note 8 2 2 2 3 2" xfId="11537" xr:uid="{00000000-0005-0000-0000-0000112D0000}"/>
    <cellStyle name="Note 8 2 2 2 4" xfId="11538" xr:uid="{00000000-0005-0000-0000-0000122D0000}"/>
    <cellStyle name="Note 8 2 2 2 5" xfId="11539" xr:uid="{00000000-0005-0000-0000-0000132D0000}"/>
    <cellStyle name="Note 8 2 2 3" xfId="11540" xr:uid="{00000000-0005-0000-0000-0000142D0000}"/>
    <cellStyle name="Note 8 2 2 3 2" xfId="11541" xr:uid="{00000000-0005-0000-0000-0000152D0000}"/>
    <cellStyle name="Note 8 2 2 4" xfId="11542" xr:uid="{00000000-0005-0000-0000-0000162D0000}"/>
    <cellStyle name="Note 8 2 2 4 2" xfId="11543" xr:uid="{00000000-0005-0000-0000-0000172D0000}"/>
    <cellStyle name="Note 8 2 2 5" xfId="11544" xr:uid="{00000000-0005-0000-0000-0000182D0000}"/>
    <cellStyle name="Note 8 2 2 6" xfId="11545" xr:uid="{00000000-0005-0000-0000-0000192D0000}"/>
    <cellStyle name="Note 8 2 3" xfId="11546" xr:uid="{00000000-0005-0000-0000-00001A2D0000}"/>
    <cellStyle name="Note 8 2 3 2" xfId="11547" xr:uid="{00000000-0005-0000-0000-00001B2D0000}"/>
    <cellStyle name="Note 8 2 3 2 2" xfId="11548" xr:uid="{00000000-0005-0000-0000-00001C2D0000}"/>
    <cellStyle name="Note 8 2 3 3" xfId="11549" xr:uid="{00000000-0005-0000-0000-00001D2D0000}"/>
    <cellStyle name="Note 8 2 3 3 2" xfId="11550" xr:uid="{00000000-0005-0000-0000-00001E2D0000}"/>
    <cellStyle name="Note 8 2 3 4" xfId="11551" xr:uid="{00000000-0005-0000-0000-00001F2D0000}"/>
    <cellStyle name="Note 8 2 3 5" xfId="11552" xr:uid="{00000000-0005-0000-0000-0000202D0000}"/>
    <cellStyle name="Note 8 2 4" xfId="11553" xr:uid="{00000000-0005-0000-0000-0000212D0000}"/>
    <cellStyle name="Note 8 2 4 2" xfId="11554" xr:uid="{00000000-0005-0000-0000-0000222D0000}"/>
    <cellStyle name="Note 8 2 5" xfId="11555" xr:uid="{00000000-0005-0000-0000-0000232D0000}"/>
    <cellStyle name="Note 8 2 5 2" xfId="11556" xr:uid="{00000000-0005-0000-0000-0000242D0000}"/>
    <cellStyle name="Note 8 2 6" xfId="11557" xr:uid="{00000000-0005-0000-0000-0000252D0000}"/>
    <cellStyle name="Note 8 2 7" xfId="11558" xr:uid="{00000000-0005-0000-0000-0000262D0000}"/>
    <cellStyle name="Note 8 3" xfId="11559" xr:uid="{00000000-0005-0000-0000-0000272D0000}"/>
    <cellStyle name="Note 8 3 2" xfId="11560" xr:uid="{00000000-0005-0000-0000-0000282D0000}"/>
    <cellStyle name="Note 8 3 2 2" xfId="11561" xr:uid="{00000000-0005-0000-0000-0000292D0000}"/>
    <cellStyle name="Note 8 3 2 2 2" xfId="11562" xr:uid="{00000000-0005-0000-0000-00002A2D0000}"/>
    <cellStyle name="Note 8 3 2 3" xfId="11563" xr:uid="{00000000-0005-0000-0000-00002B2D0000}"/>
    <cellStyle name="Note 8 3 2 3 2" xfId="11564" xr:uid="{00000000-0005-0000-0000-00002C2D0000}"/>
    <cellStyle name="Note 8 3 2 4" xfId="11565" xr:uid="{00000000-0005-0000-0000-00002D2D0000}"/>
    <cellStyle name="Note 8 3 2 5" xfId="11566" xr:uid="{00000000-0005-0000-0000-00002E2D0000}"/>
    <cellStyle name="Note 8 3 3" xfId="11567" xr:uid="{00000000-0005-0000-0000-00002F2D0000}"/>
    <cellStyle name="Note 8 3 3 2" xfId="11568" xr:uid="{00000000-0005-0000-0000-0000302D0000}"/>
    <cellStyle name="Note 8 3 4" xfId="11569" xr:uid="{00000000-0005-0000-0000-0000312D0000}"/>
    <cellStyle name="Note 8 3 4 2" xfId="11570" xr:uid="{00000000-0005-0000-0000-0000322D0000}"/>
    <cellStyle name="Note 8 3 5" xfId="11571" xr:uid="{00000000-0005-0000-0000-0000332D0000}"/>
    <cellStyle name="Note 8 3 6" xfId="11572" xr:uid="{00000000-0005-0000-0000-0000342D0000}"/>
    <cellStyle name="Note 8 4" xfId="11573" xr:uid="{00000000-0005-0000-0000-0000352D0000}"/>
    <cellStyle name="Note 8 4 2" xfId="11574" xr:uid="{00000000-0005-0000-0000-0000362D0000}"/>
    <cellStyle name="Note 8 4 2 2" xfId="11575" xr:uid="{00000000-0005-0000-0000-0000372D0000}"/>
    <cellStyle name="Note 8 4 3" xfId="11576" xr:uid="{00000000-0005-0000-0000-0000382D0000}"/>
    <cellStyle name="Note 8 4 3 2" xfId="11577" xr:uid="{00000000-0005-0000-0000-0000392D0000}"/>
    <cellStyle name="Note 8 4 4" xfId="11578" xr:uid="{00000000-0005-0000-0000-00003A2D0000}"/>
    <cellStyle name="Note 8 4 5" xfId="11579" xr:uid="{00000000-0005-0000-0000-00003B2D0000}"/>
    <cellStyle name="Note 8 5" xfId="11580" xr:uid="{00000000-0005-0000-0000-00003C2D0000}"/>
    <cellStyle name="Note 8 5 2" xfId="11581" xr:uid="{00000000-0005-0000-0000-00003D2D0000}"/>
    <cellStyle name="Note 8 6" xfId="11582" xr:uid="{00000000-0005-0000-0000-00003E2D0000}"/>
    <cellStyle name="Note 8 6 2" xfId="11583" xr:uid="{00000000-0005-0000-0000-00003F2D0000}"/>
    <cellStyle name="Note 8 7" xfId="11584" xr:uid="{00000000-0005-0000-0000-0000402D0000}"/>
    <cellStyle name="Note 8 8" xfId="11585" xr:uid="{00000000-0005-0000-0000-0000412D0000}"/>
    <cellStyle name="Note 9" xfId="11586" xr:uid="{00000000-0005-0000-0000-0000422D0000}"/>
    <cellStyle name="Note 9 2" xfId="11587" xr:uid="{00000000-0005-0000-0000-0000432D0000}"/>
    <cellStyle name="Note 9 2 2" xfId="11588" xr:uid="{00000000-0005-0000-0000-0000442D0000}"/>
    <cellStyle name="Note 9 2 2 2" xfId="11589" xr:uid="{00000000-0005-0000-0000-0000452D0000}"/>
    <cellStyle name="Note 9 2 2 2 2" xfId="11590" xr:uid="{00000000-0005-0000-0000-0000462D0000}"/>
    <cellStyle name="Note 9 2 2 2 2 2" xfId="11591" xr:uid="{00000000-0005-0000-0000-0000472D0000}"/>
    <cellStyle name="Note 9 2 2 2 3" xfId="11592" xr:uid="{00000000-0005-0000-0000-0000482D0000}"/>
    <cellStyle name="Note 9 2 2 2 3 2" xfId="11593" xr:uid="{00000000-0005-0000-0000-0000492D0000}"/>
    <cellStyle name="Note 9 2 2 2 4" xfId="11594" xr:uid="{00000000-0005-0000-0000-00004A2D0000}"/>
    <cellStyle name="Note 9 2 2 2 5" xfId="11595" xr:uid="{00000000-0005-0000-0000-00004B2D0000}"/>
    <cellStyle name="Note 9 2 2 3" xfId="11596" xr:uid="{00000000-0005-0000-0000-00004C2D0000}"/>
    <cellStyle name="Note 9 2 2 3 2" xfId="11597" xr:uid="{00000000-0005-0000-0000-00004D2D0000}"/>
    <cellStyle name="Note 9 2 2 4" xfId="11598" xr:uid="{00000000-0005-0000-0000-00004E2D0000}"/>
    <cellStyle name="Note 9 2 2 4 2" xfId="11599" xr:uid="{00000000-0005-0000-0000-00004F2D0000}"/>
    <cellStyle name="Note 9 2 2 5" xfId="11600" xr:uid="{00000000-0005-0000-0000-0000502D0000}"/>
    <cellStyle name="Note 9 2 2 6" xfId="11601" xr:uid="{00000000-0005-0000-0000-0000512D0000}"/>
    <cellStyle name="Note 9 2 3" xfId="11602" xr:uid="{00000000-0005-0000-0000-0000522D0000}"/>
    <cellStyle name="Note 9 2 3 2" xfId="11603" xr:uid="{00000000-0005-0000-0000-0000532D0000}"/>
    <cellStyle name="Note 9 2 3 2 2" xfId="11604" xr:uid="{00000000-0005-0000-0000-0000542D0000}"/>
    <cellStyle name="Note 9 2 3 3" xfId="11605" xr:uid="{00000000-0005-0000-0000-0000552D0000}"/>
    <cellStyle name="Note 9 2 3 3 2" xfId="11606" xr:uid="{00000000-0005-0000-0000-0000562D0000}"/>
    <cellStyle name="Note 9 2 3 4" xfId="11607" xr:uid="{00000000-0005-0000-0000-0000572D0000}"/>
    <cellStyle name="Note 9 2 3 5" xfId="11608" xr:uid="{00000000-0005-0000-0000-0000582D0000}"/>
    <cellStyle name="Note 9 2 4" xfId="11609" xr:uid="{00000000-0005-0000-0000-0000592D0000}"/>
    <cellStyle name="Note 9 2 4 2" xfId="11610" xr:uid="{00000000-0005-0000-0000-00005A2D0000}"/>
    <cellStyle name="Note 9 2 5" xfId="11611" xr:uid="{00000000-0005-0000-0000-00005B2D0000}"/>
    <cellStyle name="Note 9 2 5 2" xfId="11612" xr:uid="{00000000-0005-0000-0000-00005C2D0000}"/>
    <cellStyle name="Note 9 2 6" xfId="11613" xr:uid="{00000000-0005-0000-0000-00005D2D0000}"/>
    <cellStyle name="Note 9 2 7" xfId="11614" xr:uid="{00000000-0005-0000-0000-00005E2D0000}"/>
    <cellStyle name="Note 9 3" xfId="11615" xr:uid="{00000000-0005-0000-0000-00005F2D0000}"/>
    <cellStyle name="Note 9 3 2" xfId="11616" xr:uid="{00000000-0005-0000-0000-0000602D0000}"/>
    <cellStyle name="Note 9 3 2 2" xfId="11617" xr:uid="{00000000-0005-0000-0000-0000612D0000}"/>
    <cellStyle name="Note 9 3 2 2 2" xfId="11618" xr:uid="{00000000-0005-0000-0000-0000622D0000}"/>
    <cellStyle name="Note 9 3 2 3" xfId="11619" xr:uid="{00000000-0005-0000-0000-0000632D0000}"/>
    <cellStyle name="Note 9 3 2 3 2" xfId="11620" xr:uid="{00000000-0005-0000-0000-0000642D0000}"/>
    <cellStyle name="Note 9 3 2 4" xfId="11621" xr:uid="{00000000-0005-0000-0000-0000652D0000}"/>
    <cellStyle name="Note 9 3 2 5" xfId="11622" xr:uid="{00000000-0005-0000-0000-0000662D0000}"/>
    <cellStyle name="Note 9 3 3" xfId="11623" xr:uid="{00000000-0005-0000-0000-0000672D0000}"/>
    <cellStyle name="Note 9 3 3 2" xfId="11624" xr:uid="{00000000-0005-0000-0000-0000682D0000}"/>
    <cellStyle name="Note 9 3 4" xfId="11625" xr:uid="{00000000-0005-0000-0000-0000692D0000}"/>
    <cellStyle name="Note 9 3 4 2" xfId="11626" xr:uid="{00000000-0005-0000-0000-00006A2D0000}"/>
    <cellStyle name="Note 9 3 5" xfId="11627" xr:uid="{00000000-0005-0000-0000-00006B2D0000}"/>
    <cellStyle name="Note 9 3 6" xfId="11628" xr:uid="{00000000-0005-0000-0000-00006C2D0000}"/>
    <cellStyle name="Note 9 4" xfId="11629" xr:uid="{00000000-0005-0000-0000-00006D2D0000}"/>
    <cellStyle name="Note 9 4 2" xfId="11630" xr:uid="{00000000-0005-0000-0000-00006E2D0000}"/>
    <cellStyle name="Note 9 4 2 2" xfId="11631" xr:uid="{00000000-0005-0000-0000-00006F2D0000}"/>
    <cellStyle name="Note 9 4 3" xfId="11632" xr:uid="{00000000-0005-0000-0000-0000702D0000}"/>
    <cellStyle name="Note 9 4 3 2" xfId="11633" xr:uid="{00000000-0005-0000-0000-0000712D0000}"/>
    <cellStyle name="Note 9 4 4" xfId="11634" xr:uid="{00000000-0005-0000-0000-0000722D0000}"/>
    <cellStyle name="Note 9 4 5" xfId="11635" xr:uid="{00000000-0005-0000-0000-0000732D0000}"/>
    <cellStyle name="Note 9 5" xfId="11636" xr:uid="{00000000-0005-0000-0000-0000742D0000}"/>
    <cellStyle name="Note 9 5 2" xfId="11637" xr:uid="{00000000-0005-0000-0000-0000752D0000}"/>
    <cellStyle name="Note 9 6" xfId="11638" xr:uid="{00000000-0005-0000-0000-0000762D0000}"/>
    <cellStyle name="Note 9 6 2" xfId="11639" xr:uid="{00000000-0005-0000-0000-0000772D0000}"/>
    <cellStyle name="Note 9 7" xfId="11640" xr:uid="{00000000-0005-0000-0000-0000782D0000}"/>
    <cellStyle name="Note 9 8" xfId="11641" xr:uid="{00000000-0005-0000-0000-0000792D0000}"/>
    <cellStyle name="Output 2" xfId="11642" xr:uid="{00000000-0005-0000-0000-00007A2D0000}"/>
    <cellStyle name="Output 2 2" xfId="11643" xr:uid="{00000000-0005-0000-0000-00007B2D0000}"/>
    <cellStyle name="Output 2 3" xfId="11644" xr:uid="{00000000-0005-0000-0000-00007C2D0000}"/>
    <cellStyle name="Output 3" xfId="11645" xr:uid="{00000000-0005-0000-0000-00007D2D0000}"/>
    <cellStyle name="Output 4" xfId="11646" xr:uid="{00000000-0005-0000-0000-00007E2D0000}"/>
    <cellStyle name="Output 5" xfId="11647" xr:uid="{00000000-0005-0000-0000-00007F2D0000}"/>
    <cellStyle name="Title" xfId="11648" builtinId="15" customBuiltin="1"/>
    <cellStyle name="Total 2" xfId="11649" xr:uid="{00000000-0005-0000-0000-0000812D0000}"/>
    <cellStyle name="Total 2 2" xfId="11650" xr:uid="{00000000-0005-0000-0000-0000822D0000}"/>
    <cellStyle name="Total 2 3" xfId="11651" xr:uid="{00000000-0005-0000-0000-0000832D0000}"/>
    <cellStyle name="Total 3" xfId="11652" xr:uid="{00000000-0005-0000-0000-0000842D0000}"/>
    <cellStyle name="Total 4" xfId="11653" xr:uid="{00000000-0005-0000-0000-0000852D0000}"/>
    <cellStyle name="Total 5" xfId="11654" xr:uid="{00000000-0005-0000-0000-0000862D0000}"/>
    <cellStyle name="Warning Text 2" xfId="11655" xr:uid="{00000000-0005-0000-0000-0000872D0000}"/>
    <cellStyle name="Warning Text 2 2" xfId="11656" xr:uid="{00000000-0005-0000-0000-0000882D0000}"/>
    <cellStyle name="Warning Text 2 3" xfId="11657" xr:uid="{00000000-0005-0000-0000-0000892D0000}"/>
    <cellStyle name="Warning Text 3" xfId="11658" xr:uid="{00000000-0005-0000-0000-00008A2D0000}"/>
    <cellStyle name="Warning Text 4" xfId="11659" xr:uid="{00000000-0005-0000-0000-00008B2D0000}"/>
    <cellStyle name="Warning Text 5" xfId="11660" xr:uid="{00000000-0005-0000-0000-00008C2D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511"/>
  <sheetViews>
    <sheetView tabSelected="1" showOutlineSymbols="0" zoomScale="70" zoomScaleNormal="70" workbookViewId="0">
      <pane xSplit="1" ySplit="13" topLeftCell="B17" activePane="bottomRight" state="frozen"/>
      <selection activeCell="E45" sqref="E45"/>
      <selection pane="topRight" activeCell="E45" sqref="E45"/>
      <selection pane="bottomLeft" activeCell="E45" sqref="E45"/>
      <selection pane="bottomRight" sqref="A1:XFD1048576"/>
    </sheetView>
  </sheetViews>
  <sheetFormatPr defaultColWidth="9.77734375" defaultRowHeight="15" x14ac:dyDescent="0.2"/>
  <cols>
    <col min="1" max="1" width="9.77734375" style="1" customWidth="1"/>
    <col min="2" max="4" width="17.21875" style="1" bestFit="1" customWidth="1"/>
    <col min="5" max="16384" width="9.77734375" style="1"/>
  </cols>
  <sheetData>
    <row r="1" spans="1:4" x14ac:dyDescent="0.2">
      <c r="D1" s="1" t="s">
        <v>18</v>
      </c>
    </row>
    <row r="2" spans="1:4" x14ac:dyDescent="0.2">
      <c r="A2" s="1" t="s">
        <v>0</v>
      </c>
    </row>
    <row r="3" spans="1:4" x14ac:dyDescent="0.2">
      <c r="A3" s="1" t="s">
        <v>1</v>
      </c>
    </row>
    <row r="4" spans="1:4" x14ac:dyDescent="0.2">
      <c r="A4" s="1" t="s">
        <v>175</v>
      </c>
    </row>
    <row r="5" spans="1:4" x14ac:dyDescent="0.2">
      <c r="A5" s="1" t="s">
        <v>2</v>
      </c>
    </row>
    <row r="7" spans="1:4" ht="15" customHeight="1" x14ac:dyDescent="0.2">
      <c r="B7" s="2" t="s">
        <v>176</v>
      </c>
      <c r="C7" s="2"/>
      <c r="D7" s="2"/>
    </row>
    <row r="8" spans="1:4" ht="15.75" customHeight="1" x14ac:dyDescent="0.2">
      <c r="B8" s="2"/>
      <c r="C8" s="2"/>
      <c r="D8" s="2"/>
    </row>
    <row r="9" spans="1:4" x14ac:dyDescent="0.2">
      <c r="B9" s="2"/>
      <c r="C9" s="2"/>
      <c r="D9" s="2"/>
    </row>
    <row r="10" spans="1:4" x14ac:dyDescent="0.2">
      <c r="B10" s="2"/>
      <c r="C10" s="2"/>
      <c r="D10" s="2"/>
    </row>
    <row r="11" spans="1:4" x14ac:dyDescent="0.2">
      <c r="B11" s="2"/>
      <c r="C11" s="2"/>
      <c r="D11" s="2"/>
    </row>
    <row r="13" spans="1:4" x14ac:dyDescent="0.2">
      <c r="B13" s="1" t="s">
        <v>16</v>
      </c>
      <c r="C13" s="1" t="s">
        <v>17</v>
      </c>
      <c r="D13" s="1" t="s">
        <v>19</v>
      </c>
    </row>
    <row r="15" spans="1:4" x14ac:dyDescent="0.2">
      <c r="A15" s="3">
        <v>45292</v>
      </c>
      <c r="B15" s="4">
        <v>3427441128.5300002</v>
      </c>
      <c r="C15" s="4">
        <v>1528843399.1200004</v>
      </c>
      <c r="D15" s="4">
        <v>1898597729.4099998</v>
      </c>
    </row>
    <row r="16" spans="1:4" x14ac:dyDescent="0.2">
      <c r="A16" s="3">
        <v>45323</v>
      </c>
      <c r="B16" s="4">
        <v>3002614840.48</v>
      </c>
      <c r="C16" s="4">
        <v>1337046082.8400002</v>
      </c>
      <c r="D16" s="4">
        <v>1665568757.6399999</v>
      </c>
    </row>
    <row r="17" spans="1:4" x14ac:dyDescent="0.2">
      <c r="A17" s="3">
        <v>45352</v>
      </c>
      <c r="B17" s="4">
        <v>3763449599.0899997</v>
      </c>
      <c r="C17" s="4">
        <v>1706513611.2599998</v>
      </c>
      <c r="D17" s="4">
        <v>2056935987.8299999</v>
      </c>
    </row>
    <row r="18" spans="1:4" x14ac:dyDescent="0.2">
      <c r="A18" s="3">
        <v>45383</v>
      </c>
      <c r="B18" s="4">
        <v>0</v>
      </c>
      <c r="C18" s="4"/>
      <c r="D18" s="4">
        <v>0</v>
      </c>
    </row>
    <row r="19" spans="1:4" x14ac:dyDescent="0.2">
      <c r="A19" s="3">
        <v>45413</v>
      </c>
      <c r="B19" s="4">
        <v>0</v>
      </c>
      <c r="C19" s="4"/>
      <c r="D19" s="4">
        <v>0</v>
      </c>
    </row>
    <row r="20" spans="1:4" x14ac:dyDescent="0.2">
      <c r="A20" s="3">
        <v>45444</v>
      </c>
      <c r="B20" s="4">
        <v>0</v>
      </c>
      <c r="C20" s="4"/>
      <c r="D20" s="4">
        <v>0</v>
      </c>
    </row>
    <row r="21" spans="1:4" x14ac:dyDescent="0.2">
      <c r="A21" s="3">
        <v>45474</v>
      </c>
      <c r="B21" s="4">
        <v>0</v>
      </c>
      <c r="C21" s="4"/>
      <c r="D21" s="4">
        <v>0</v>
      </c>
    </row>
    <row r="22" spans="1:4" x14ac:dyDescent="0.2">
      <c r="A22" s="3">
        <v>45505</v>
      </c>
      <c r="B22" s="4">
        <v>0</v>
      </c>
      <c r="C22" s="4"/>
      <c r="D22" s="4">
        <v>0</v>
      </c>
    </row>
    <row r="23" spans="1:4" x14ac:dyDescent="0.2">
      <c r="A23" s="3">
        <v>45536</v>
      </c>
      <c r="B23" s="4">
        <v>0</v>
      </c>
      <c r="C23" s="4"/>
      <c r="D23" s="4">
        <v>0</v>
      </c>
    </row>
    <row r="24" spans="1:4" x14ac:dyDescent="0.2">
      <c r="A24" s="3">
        <v>45566</v>
      </c>
      <c r="B24" s="4">
        <v>0</v>
      </c>
      <c r="C24" s="4"/>
      <c r="D24" s="4">
        <v>0</v>
      </c>
    </row>
    <row r="25" spans="1:4" x14ac:dyDescent="0.2">
      <c r="A25" s="3">
        <v>45597</v>
      </c>
      <c r="B25" s="4">
        <v>0</v>
      </c>
      <c r="C25" s="4"/>
      <c r="D25" s="4">
        <v>0</v>
      </c>
    </row>
    <row r="26" spans="1:4" x14ac:dyDescent="0.2">
      <c r="A26" s="3">
        <v>45627</v>
      </c>
      <c r="B26" s="4">
        <v>0</v>
      </c>
      <c r="C26" s="4"/>
      <c r="D26" s="4">
        <v>0</v>
      </c>
    </row>
    <row r="27" spans="1:4" ht="15.75" thickBot="1" x14ac:dyDescent="0.25">
      <c r="B27" s="5">
        <v>10193505568.1</v>
      </c>
      <c r="C27" s="5">
        <v>4572403093.2200003</v>
      </c>
      <c r="D27" s="5">
        <v>5621102474.8799992</v>
      </c>
    </row>
    <row r="28" spans="1:4" ht="15.75" thickTop="1" x14ac:dyDescent="0.2">
      <c r="B28" s="6"/>
      <c r="C28" s="6"/>
      <c r="D28" s="6"/>
    </row>
    <row r="30" spans="1:4" x14ac:dyDescent="0.2">
      <c r="A30" s="3">
        <v>44927</v>
      </c>
      <c r="B30" s="4">
        <v>3407107380.5599995</v>
      </c>
      <c r="C30" s="4">
        <v>1513265233.0599999</v>
      </c>
      <c r="D30" s="4">
        <v>1893842147.4999998</v>
      </c>
    </row>
    <row r="31" spans="1:4" x14ac:dyDescent="0.2">
      <c r="A31" s="3">
        <v>44958</v>
      </c>
      <c r="B31" s="4">
        <v>2944768187.5900002</v>
      </c>
      <c r="C31" s="4">
        <v>1306012700.6699998</v>
      </c>
      <c r="D31" s="4">
        <v>1638755486.9200006</v>
      </c>
    </row>
    <row r="32" spans="1:4" x14ac:dyDescent="0.2">
      <c r="A32" s="3">
        <v>44986</v>
      </c>
      <c r="B32" s="4">
        <v>3612982744.9499998</v>
      </c>
      <c r="C32" s="4">
        <v>1611804909.1700001</v>
      </c>
      <c r="D32" s="4">
        <v>2001177835.78</v>
      </c>
    </row>
    <row r="33" spans="1:5" x14ac:dyDescent="0.2">
      <c r="A33" s="3">
        <v>45017</v>
      </c>
      <c r="B33" s="4">
        <v>3139680016.3999996</v>
      </c>
      <c r="C33" s="4">
        <v>1402378683.3299999</v>
      </c>
      <c r="D33" s="4">
        <v>1737301333.0699999</v>
      </c>
    </row>
    <row r="34" spans="1:5" x14ac:dyDescent="0.2">
      <c r="A34" s="3">
        <v>45047</v>
      </c>
      <c r="B34" s="4">
        <v>3084208882.0599999</v>
      </c>
      <c r="C34" s="4">
        <v>1375486569.77</v>
      </c>
      <c r="D34" s="4">
        <v>1708722312.29</v>
      </c>
      <c r="E34" s="7"/>
    </row>
    <row r="35" spans="1:5" x14ac:dyDescent="0.2">
      <c r="A35" s="3">
        <v>45078</v>
      </c>
      <c r="B35" s="4">
        <v>4145894020.1100001</v>
      </c>
      <c r="C35" s="4">
        <v>1890650552.2599998</v>
      </c>
      <c r="D35" s="4">
        <v>2255243467.8500004</v>
      </c>
      <c r="E35" s="7"/>
    </row>
    <row r="36" spans="1:5" x14ac:dyDescent="0.2">
      <c r="A36" s="3">
        <v>45108</v>
      </c>
      <c r="B36" s="4">
        <v>3301983475.7600002</v>
      </c>
      <c r="C36" s="4">
        <v>1482461645.52</v>
      </c>
      <c r="D36" s="4">
        <v>1819521830.2400002</v>
      </c>
      <c r="E36" s="7"/>
    </row>
    <row r="37" spans="1:5" x14ac:dyDescent="0.2">
      <c r="A37" s="3">
        <v>45139</v>
      </c>
      <c r="B37" s="4">
        <v>3219527990.6499996</v>
      </c>
      <c r="C37" s="4">
        <v>1440039013.9400001</v>
      </c>
      <c r="D37" s="4">
        <v>1779488976.7099998</v>
      </c>
      <c r="E37" s="7"/>
    </row>
    <row r="38" spans="1:5" x14ac:dyDescent="0.2">
      <c r="A38" s="3">
        <v>45170</v>
      </c>
      <c r="B38" s="4">
        <v>4197306499.9499989</v>
      </c>
      <c r="C38" s="4">
        <v>1897488870.3099995</v>
      </c>
      <c r="D38" s="4">
        <v>2299817629.6399994</v>
      </c>
      <c r="E38" s="7"/>
    </row>
    <row r="39" spans="1:5" x14ac:dyDescent="0.2">
      <c r="A39" s="3">
        <v>45200</v>
      </c>
      <c r="B39" s="4">
        <v>3241664567.1100001</v>
      </c>
      <c r="C39" s="4">
        <v>1444550143.5799999</v>
      </c>
      <c r="D39" s="4">
        <v>1797114423.5300002</v>
      </c>
      <c r="E39" s="7"/>
    </row>
    <row r="40" spans="1:5" x14ac:dyDescent="0.2">
      <c r="A40" s="3">
        <v>45231</v>
      </c>
      <c r="B40" s="4">
        <v>3265693129.5300007</v>
      </c>
      <c r="C40" s="4">
        <v>1455390153.26</v>
      </c>
      <c r="D40" s="4">
        <v>1810302976.2700005</v>
      </c>
      <c r="E40" s="7"/>
    </row>
    <row r="41" spans="1:5" x14ac:dyDescent="0.2">
      <c r="A41" s="3">
        <v>45261</v>
      </c>
      <c r="B41" s="4">
        <v>4184886928.6399994</v>
      </c>
      <c r="C41" s="4">
        <v>1905878182.5099998</v>
      </c>
      <c r="D41" s="4">
        <v>2279008746.1299996</v>
      </c>
      <c r="E41" s="7"/>
    </row>
    <row r="42" spans="1:5" ht="15.75" thickBot="1" x14ac:dyDescent="0.25">
      <c r="B42" s="5">
        <v>41745703823.309998</v>
      </c>
      <c r="C42" s="5">
        <v>18725406657.380001</v>
      </c>
      <c r="D42" s="5">
        <v>23020297165.93</v>
      </c>
    </row>
    <row r="43" spans="1:5" ht="15.75" thickTop="1" x14ac:dyDescent="0.2"/>
    <row r="45" spans="1:5" x14ac:dyDescent="0.2">
      <c r="A45" s="3">
        <v>44562</v>
      </c>
      <c r="B45" s="4">
        <v>3121763148.6199999</v>
      </c>
      <c r="C45" s="4">
        <v>1387375511.6499999</v>
      </c>
      <c r="D45" s="4">
        <v>1734387636.9699998</v>
      </c>
    </row>
    <row r="46" spans="1:5" x14ac:dyDescent="0.2">
      <c r="A46" s="3">
        <v>44593</v>
      </c>
      <c r="B46" s="4">
        <v>2588541774.7000008</v>
      </c>
      <c r="C46" s="4">
        <v>1152649407.53</v>
      </c>
      <c r="D46" s="4">
        <v>1435892367.1700006</v>
      </c>
    </row>
    <row r="47" spans="1:5" x14ac:dyDescent="0.2">
      <c r="A47" s="3">
        <v>44621</v>
      </c>
      <c r="B47" s="4">
        <v>3553803202.1499996</v>
      </c>
      <c r="C47" s="4">
        <v>1558848745.96</v>
      </c>
      <c r="D47" s="4">
        <v>1994954456.1899998</v>
      </c>
    </row>
    <row r="48" spans="1:5" x14ac:dyDescent="0.2">
      <c r="A48" s="3">
        <v>44652</v>
      </c>
      <c r="B48" s="4">
        <v>3038922956.7300005</v>
      </c>
      <c r="C48" s="4">
        <v>1327429496.55</v>
      </c>
      <c r="D48" s="4">
        <v>1711493460.1800003</v>
      </c>
    </row>
    <row r="49" spans="1:5" x14ac:dyDescent="0.2">
      <c r="A49" s="3">
        <v>44682</v>
      </c>
      <c r="B49" s="4">
        <v>3000824699.0100002</v>
      </c>
      <c r="C49" s="4">
        <v>1310497532.4699998</v>
      </c>
      <c r="D49" s="4">
        <v>1690327166.5400004</v>
      </c>
    </row>
    <row r="50" spans="1:5" x14ac:dyDescent="0.2">
      <c r="A50" s="3">
        <v>44713</v>
      </c>
      <c r="B50" s="4">
        <v>3924258384.4500003</v>
      </c>
      <c r="C50" s="4">
        <v>1791674438.6300001</v>
      </c>
      <c r="D50" s="4">
        <v>2132583945.8200002</v>
      </c>
    </row>
    <row r="51" spans="1:5" x14ac:dyDescent="0.2">
      <c r="A51" s="3">
        <v>44743</v>
      </c>
      <c r="B51" s="4">
        <v>3147737330.2399998</v>
      </c>
      <c r="C51" s="4">
        <v>1381511762.95</v>
      </c>
      <c r="D51" s="4">
        <v>1766225567.2899997</v>
      </c>
    </row>
    <row r="52" spans="1:5" x14ac:dyDescent="0.2">
      <c r="A52" s="3">
        <v>44774</v>
      </c>
      <c r="B52" s="4">
        <v>3050866382.8599997</v>
      </c>
      <c r="C52" s="4">
        <v>1339285631.4699998</v>
      </c>
      <c r="D52" s="4">
        <v>1711580751.3900001</v>
      </c>
    </row>
    <row r="53" spans="1:5" x14ac:dyDescent="0.2">
      <c r="A53" s="3">
        <v>44805</v>
      </c>
      <c r="B53" s="4">
        <v>4047302483.1800003</v>
      </c>
      <c r="C53" s="4">
        <v>1831791532.6699998</v>
      </c>
      <c r="D53" s="4">
        <v>2215510950.5100002</v>
      </c>
      <c r="E53" s="7"/>
    </row>
    <row r="54" spans="1:5" x14ac:dyDescent="0.2">
      <c r="A54" s="3">
        <v>44835</v>
      </c>
      <c r="B54" s="4">
        <v>3153312008.1800003</v>
      </c>
      <c r="C54" s="4">
        <v>1399659490.8900001</v>
      </c>
      <c r="D54" s="4">
        <v>1753652517.29</v>
      </c>
      <c r="E54" s="7"/>
    </row>
    <row r="55" spans="1:5" x14ac:dyDescent="0.2">
      <c r="A55" s="3">
        <v>44866</v>
      </c>
      <c r="B55" s="4">
        <v>3093271650.5999999</v>
      </c>
      <c r="C55" s="4">
        <v>1371587275.4200001</v>
      </c>
      <c r="D55" s="4">
        <v>1721684375.1799998</v>
      </c>
      <c r="E55" s="7"/>
    </row>
    <row r="56" spans="1:5" x14ac:dyDescent="0.2">
      <c r="A56" s="3">
        <v>44896</v>
      </c>
      <c r="B56" s="4">
        <v>4000784593.5899992</v>
      </c>
      <c r="C56" s="4">
        <v>1767544983.0999997</v>
      </c>
      <c r="D56" s="4">
        <v>2233239610.4899998</v>
      </c>
      <c r="E56" s="7"/>
    </row>
    <row r="57" spans="1:5" ht="15.75" customHeight="1" thickBot="1" x14ac:dyDescent="0.25">
      <c r="A57" s="7"/>
      <c r="B57" s="5">
        <v>39721388614.309998</v>
      </c>
      <c r="C57" s="5">
        <v>17619855809.289997</v>
      </c>
      <c r="D57" s="5">
        <v>22101532805.019997</v>
      </c>
    </row>
    <row r="58" spans="1:5" ht="15.75" thickTop="1" x14ac:dyDescent="0.2"/>
    <row r="60" spans="1:5" x14ac:dyDescent="0.2">
      <c r="A60" s="3">
        <v>44197</v>
      </c>
      <c r="B60" s="4">
        <v>2697612628.0799999</v>
      </c>
      <c r="C60" s="4">
        <v>1196370924.2299998</v>
      </c>
      <c r="D60" s="4">
        <v>1501241703.8500004</v>
      </c>
      <c r="E60" s="7"/>
    </row>
    <row r="61" spans="1:5" x14ac:dyDescent="0.2">
      <c r="A61" s="3">
        <v>44228</v>
      </c>
      <c r="B61" s="4">
        <v>2256923686.8000002</v>
      </c>
      <c r="C61" s="4">
        <v>999288298.70000005</v>
      </c>
      <c r="D61" s="4">
        <v>1257635388.0999999</v>
      </c>
    </row>
    <row r="62" spans="1:5" x14ac:dyDescent="0.2">
      <c r="A62" s="3">
        <v>44256</v>
      </c>
      <c r="B62" s="4">
        <v>2773153561.8500004</v>
      </c>
      <c r="C62" s="4">
        <v>1268210986.98</v>
      </c>
      <c r="D62" s="4">
        <v>1504942574.8700001</v>
      </c>
    </row>
    <row r="63" spans="1:5" x14ac:dyDescent="0.2">
      <c r="A63" s="3">
        <v>44287</v>
      </c>
      <c r="B63" s="4">
        <v>2688276019.04</v>
      </c>
      <c r="C63" s="4">
        <v>1208821697.2799997</v>
      </c>
      <c r="D63" s="4">
        <v>1479454321.76</v>
      </c>
    </row>
    <row r="64" spans="1:5" x14ac:dyDescent="0.2">
      <c r="A64" s="3">
        <v>44317</v>
      </c>
      <c r="B64" s="4">
        <v>2629307810.5099998</v>
      </c>
      <c r="C64" s="4">
        <v>1181146757.6699998</v>
      </c>
      <c r="D64" s="4">
        <v>1448161052.8399999</v>
      </c>
    </row>
    <row r="65" spans="1:4" x14ac:dyDescent="0.2">
      <c r="A65" s="3">
        <v>44348</v>
      </c>
      <c r="B65" s="4">
        <v>3653095411.79</v>
      </c>
      <c r="C65" s="4">
        <v>1650190892.8799999</v>
      </c>
      <c r="D65" s="4">
        <v>2002904518.9100003</v>
      </c>
    </row>
    <row r="66" spans="1:4" x14ac:dyDescent="0.2">
      <c r="A66" s="3">
        <v>44378</v>
      </c>
      <c r="B66" s="4">
        <v>2874760794.6099997</v>
      </c>
      <c r="C66" s="4">
        <v>1296514247.4400003</v>
      </c>
      <c r="D66" s="4">
        <v>1578246547.1699996</v>
      </c>
    </row>
    <row r="67" spans="1:4" x14ac:dyDescent="0.2">
      <c r="A67" s="3">
        <v>44409</v>
      </c>
      <c r="B67" s="4">
        <v>2771651228.8599997</v>
      </c>
      <c r="C67" s="4">
        <v>1251605828.5799999</v>
      </c>
      <c r="D67" s="4">
        <v>1520045400.2799997</v>
      </c>
    </row>
    <row r="68" spans="1:4" x14ac:dyDescent="0.2">
      <c r="A68" s="3">
        <v>44440</v>
      </c>
      <c r="B68" s="4">
        <v>3752844937.9500003</v>
      </c>
      <c r="C68" s="4">
        <v>1687009075.96</v>
      </c>
      <c r="D68" s="4">
        <v>2065835861.9900002</v>
      </c>
    </row>
    <row r="69" spans="1:4" x14ac:dyDescent="0.2">
      <c r="A69" s="3">
        <v>44470</v>
      </c>
      <c r="B69" s="4">
        <v>2794911997.21</v>
      </c>
      <c r="C69" s="4">
        <v>1258468811.96</v>
      </c>
      <c r="D69" s="4">
        <v>1536443185.2499998</v>
      </c>
    </row>
    <row r="70" spans="1:4" x14ac:dyDescent="0.2">
      <c r="A70" s="3">
        <v>44501</v>
      </c>
      <c r="B70" s="4">
        <v>2875662449.9700003</v>
      </c>
      <c r="C70" s="4">
        <v>1292937044.2600002</v>
      </c>
      <c r="D70" s="4">
        <v>1582725405.71</v>
      </c>
    </row>
    <row r="71" spans="1:4" x14ac:dyDescent="0.2">
      <c r="A71" s="3">
        <v>44531</v>
      </c>
      <c r="B71" s="4">
        <v>3818337008.9799995</v>
      </c>
      <c r="C71" s="4">
        <v>1692657362.73</v>
      </c>
      <c r="D71" s="4">
        <v>2125679646.2499998</v>
      </c>
    </row>
    <row r="72" spans="1:4" ht="15.75" thickBot="1" x14ac:dyDescent="0.25">
      <c r="B72" s="5">
        <v>35586537535.650002</v>
      </c>
      <c r="C72" s="5">
        <v>15983221928.67</v>
      </c>
      <c r="D72" s="5">
        <v>19603315606.980003</v>
      </c>
    </row>
    <row r="73" spans="1:4" ht="15.75" thickTop="1" x14ac:dyDescent="0.2">
      <c r="B73" s="6"/>
      <c r="C73" s="6"/>
      <c r="D73" s="6"/>
    </row>
    <row r="75" spans="1:4" x14ac:dyDescent="0.2">
      <c r="A75" s="3">
        <v>43831</v>
      </c>
      <c r="B75" s="4">
        <v>2866700210.4699993</v>
      </c>
      <c r="C75" s="4">
        <v>1270687401.8699999</v>
      </c>
      <c r="D75" s="4">
        <v>1596012808.5999997</v>
      </c>
    </row>
    <row r="76" spans="1:4" x14ac:dyDescent="0.2">
      <c r="A76" s="3">
        <v>43862</v>
      </c>
      <c r="B76" s="4">
        <v>2356901132.2400002</v>
      </c>
      <c r="C76" s="4">
        <v>1044728270.92</v>
      </c>
      <c r="D76" s="4">
        <v>1312172861.3200002</v>
      </c>
    </row>
    <row r="77" spans="1:4" x14ac:dyDescent="0.2">
      <c r="A77" s="3">
        <v>43891</v>
      </c>
      <c r="B77" s="4">
        <v>2787737503.2200003</v>
      </c>
      <c r="C77" s="4">
        <v>1259303310.8199997</v>
      </c>
      <c r="D77" s="4">
        <v>1528434192.4000003</v>
      </c>
    </row>
    <row r="78" spans="1:4" x14ac:dyDescent="0.2">
      <c r="A78" s="3">
        <v>43922</v>
      </c>
      <c r="B78" s="4">
        <v>1832278314.7099998</v>
      </c>
      <c r="C78" s="4">
        <v>816934402</v>
      </c>
      <c r="D78" s="4">
        <v>1015343912.7099998</v>
      </c>
    </row>
    <row r="79" spans="1:4" x14ac:dyDescent="0.2">
      <c r="A79" s="3">
        <v>43952</v>
      </c>
      <c r="B79" s="4">
        <v>1657580490.0300002</v>
      </c>
      <c r="C79" s="4">
        <v>739903892.85000002</v>
      </c>
      <c r="D79" s="4">
        <v>917676597.18000019</v>
      </c>
    </row>
    <row r="80" spans="1:4" x14ac:dyDescent="0.2">
      <c r="A80" s="3">
        <v>43983</v>
      </c>
      <c r="B80" s="4">
        <v>2555501711.9000006</v>
      </c>
      <c r="C80" s="4">
        <v>1184703772.2400002</v>
      </c>
      <c r="D80" s="4">
        <v>1370797939.6600001</v>
      </c>
    </row>
    <row r="81" spans="1:5" x14ac:dyDescent="0.2">
      <c r="A81" s="3">
        <v>44013</v>
      </c>
      <c r="B81" s="4">
        <v>2364224907.0199995</v>
      </c>
      <c r="C81" s="4">
        <v>1061607773.4399998</v>
      </c>
      <c r="D81" s="4">
        <v>1302617133.5799997</v>
      </c>
    </row>
    <row r="82" spans="1:5" x14ac:dyDescent="0.2">
      <c r="A82" s="3">
        <v>44044</v>
      </c>
      <c r="B82" s="4">
        <v>2391372746.2700005</v>
      </c>
      <c r="C82" s="4">
        <v>1074956553.7300003</v>
      </c>
      <c r="D82" s="4">
        <v>1316416192.54</v>
      </c>
    </row>
    <row r="83" spans="1:5" x14ac:dyDescent="0.2">
      <c r="A83" s="3">
        <v>44075</v>
      </c>
      <c r="B83" s="4">
        <v>3142358336.1500006</v>
      </c>
      <c r="C83" s="4">
        <v>1458244393.5000002</v>
      </c>
      <c r="D83" s="4">
        <v>1684113942.6500001</v>
      </c>
    </row>
    <row r="84" spans="1:5" x14ac:dyDescent="0.2">
      <c r="A84" s="3">
        <v>44105</v>
      </c>
      <c r="B84" s="4">
        <v>2461978739.0599999</v>
      </c>
      <c r="C84" s="4">
        <v>1100642192.54</v>
      </c>
      <c r="D84" s="4">
        <v>1361336546.52</v>
      </c>
    </row>
    <row r="85" spans="1:5" x14ac:dyDescent="0.2">
      <c r="A85" s="3">
        <v>44136</v>
      </c>
      <c r="B85" s="4">
        <v>2438256569.670001</v>
      </c>
      <c r="C85" s="4">
        <v>1090958763.2800002</v>
      </c>
      <c r="D85" s="4">
        <v>1347297806.3900006</v>
      </c>
    </row>
    <row r="86" spans="1:5" x14ac:dyDescent="0.2">
      <c r="A86" s="3">
        <v>44166</v>
      </c>
      <c r="B86" s="4">
        <v>3160044510.5900002</v>
      </c>
      <c r="C86" s="4">
        <v>1451923258.74</v>
      </c>
      <c r="D86" s="4">
        <v>1708121251.8499999</v>
      </c>
      <c r="E86" s="7"/>
    </row>
    <row r="87" spans="1:5" ht="15.75" thickBot="1" x14ac:dyDescent="0.25">
      <c r="B87" s="5">
        <v>30014935171.330006</v>
      </c>
      <c r="C87" s="5">
        <v>13554593985.93</v>
      </c>
      <c r="D87" s="5">
        <v>16460341185.400003</v>
      </c>
    </row>
    <row r="88" spans="1:5" ht="15.75" thickTop="1" x14ac:dyDescent="0.2"/>
    <row r="89" spans="1:5" x14ac:dyDescent="0.2">
      <c r="A89" s="3">
        <v>43466</v>
      </c>
      <c r="B89" s="4">
        <v>2586876584.7700005</v>
      </c>
      <c r="C89" s="4">
        <v>1147977636.2600002</v>
      </c>
      <c r="D89" s="4">
        <v>1438898948.5100002</v>
      </c>
    </row>
    <row r="90" spans="1:5" x14ac:dyDescent="0.2">
      <c r="A90" s="3">
        <v>43497</v>
      </c>
      <c r="B90" s="4">
        <v>2187828406.7600002</v>
      </c>
      <c r="C90" s="4">
        <v>971161177.98000002</v>
      </c>
      <c r="D90" s="4">
        <v>1216667228.7800002</v>
      </c>
    </row>
    <row r="91" spans="1:5" x14ac:dyDescent="0.2">
      <c r="A91" s="3">
        <v>43525</v>
      </c>
      <c r="B91" s="4">
        <v>2892557802.3599997</v>
      </c>
      <c r="C91" s="4">
        <v>1304657546.8899999</v>
      </c>
      <c r="D91" s="4">
        <v>1587900255.4699998</v>
      </c>
    </row>
    <row r="92" spans="1:5" x14ac:dyDescent="0.2">
      <c r="A92" s="3">
        <v>43556</v>
      </c>
      <c r="B92" s="4">
        <v>2433517414.3400002</v>
      </c>
      <c r="C92" s="4">
        <v>1090902033.0699999</v>
      </c>
      <c r="D92" s="4">
        <v>1342615381.27</v>
      </c>
    </row>
    <row r="93" spans="1:5" x14ac:dyDescent="0.2">
      <c r="A93" s="3">
        <v>43586</v>
      </c>
      <c r="B93" s="4">
        <v>2457892662.2499995</v>
      </c>
      <c r="C93" s="4">
        <v>1102734719.8599999</v>
      </c>
      <c r="D93" s="4">
        <v>1355157942.3899996</v>
      </c>
    </row>
    <row r="94" spans="1:5" x14ac:dyDescent="0.2">
      <c r="A94" s="3">
        <v>43617</v>
      </c>
      <c r="B94" s="4">
        <v>3355953677.75</v>
      </c>
      <c r="C94" s="4">
        <v>1518748978.1600001</v>
      </c>
      <c r="D94" s="4">
        <v>1837204699.5900002</v>
      </c>
    </row>
    <row r="95" spans="1:5" x14ac:dyDescent="0.2">
      <c r="A95" s="3">
        <v>43647</v>
      </c>
      <c r="B95" s="4">
        <v>2578096326.9499998</v>
      </c>
      <c r="C95" s="4">
        <v>1159196904.75</v>
      </c>
      <c r="D95" s="4">
        <v>1418899422.1999998</v>
      </c>
    </row>
    <row r="96" spans="1:5" x14ac:dyDescent="0.2">
      <c r="A96" s="3">
        <v>43678</v>
      </c>
      <c r="B96" s="4">
        <v>2590448125.6599998</v>
      </c>
      <c r="C96" s="4">
        <v>1163306886.5899999</v>
      </c>
      <c r="D96" s="4">
        <v>1427141239.0700002</v>
      </c>
    </row>
    <row r="97" spans="1:4" x14ac:dyDescent="0.2">
      <c r="A97" s="3">
        <v>43709</v>
      </c>
      <c r="B97" s="4">
        <v>3481367262.1299996</v>
      </c>
      <c r="C97" s="4">
        <v>1572700686.7</v>
      </c>
      <c r="D97" s="4">
        <v>1908666575.4299996</v>
      </c>
    </row>
    <row r="98" spans="1:4" x14ac:dyDescent="0.2">
      <c r="A98" s="3">
        <v>43739</v>
      </c>
      <c r="B98" s="4">
        <v>2593949980.6700001</v>
      </c>
      <c r="C98" s="4">
        <v>1158239267.9000001</v>
      </c>
      <c r="D98" s="4">
        <v>1435710712.7699997</v>
      </c>
    </row>
    <row r="99" spans="1:4" x14ac:dyDescent="0.2">
      <c r="A99" s="3">
        <v>43770</v>
      </c>
      <c r="B99" s="4">
        <v>2620113325.5</v>
      </c>
      <c r="C99" s="4">
        <v>1170541487.98</v>
      </c>
      <c r="D99" s="4">
        <v>1449571837.52</v>
      </c>
    </row>
    <row r="100" spans="1:4" x14ac:dyDescent="0.2">
      <c r="A100" s="3">
        <v>43800</v>
      </c>
      <c r="B100" s="4">
        <v>3386200465.0700006</v>
      </c>
      <c r="C100" s="4">
        <v>1521445121.74</v>
      </c>
      <c r="D100" s="4">
        <v>1864755343.3300004</v>
      </c>
    </row>
    <row r="101" spans="1:4" ht="15.75" thickBot="1" x14ac:dyDescent="0.25">
      <c r="B101" s="5">
        <v>33164802034.209999</v>
      </c>
      <c r="C101" s="5">
        <v>14881612447.879999</v>
      </c>
      <c r="D101" s="5">
        <v>18283189586.330002</v>
      </c>
    </row>
    <row r="102" spans="1:4" ht="15.75" thickTop="1" x14ac:dyDescent="0.2"/>
    <row r="103" spans="1:4" x14ac:dyDescent="0.2">
      <c r="A103" s="3">
        <v>43101</v>
      </c>
      <c r="B103" s="4">
        <v>2512042845.8300009</v>
      </c>
      <c r="C103" s="4">
        <v>1120185224.1200004</v>
      </c>
      <c r="D103" s="4">
        <v>1391857621.7100003</v>
      </c>
    </row>
    <row r="104" spans="1:4" x14ac:dyDescent="0.2">
      <c r="A104" s="3">
        <v>43132</v>
      </c>
      <c r="B104" s="4">
        <v>2111100386.3099997</v>
      </c>
      <c r="C104" s="4">
        <v>941121184.25</v>
      </c>
      <c r="D104" s="4">
        <v>1169979202.0599997</v>
      </c>
    </row>
    <row r="105" spans="1:4" x14ac:dyDescent="0.2">
      <c r="A105" s="3">
        <v>43160</v>
      </c>
      <c r="B105" s="4">
        <v>2771933064.8199997</v>
      </c>
      <c r="C105" s="4">
        <v>1229613728.51</v>
      </c>
      <c r="D105" s="4">
        <v>1542319336.3099997</v>
      </c>
    </row>
    <row r="106" spans="1:4" x14ac:dyDescent="0.2">
      <c r="A106" s="3">
        <v>43191</v>
      </c>
      <c r="B106" s="4">
        <v>2339945519.21</v>
      </c>
      <c r="C106" s="4">
        <v>1051457667.02</v>
      </c>
      <c r="D106" s="4">
        <v>1288487852.1900001</v>
      </c>
    </row>
    <row r="107" spans="1:4" x14ac:dyDescent="0.2">
      <c r="A107" s="3">
        <v>43221</v>
      </c>
      <c r="B107" s="4">
        <v>2344530829.5599999</v>
      </c>
      <c r="C107" s="4">
        <v>1053597923.36</v>
      </c>
      <c r="D107" s="4">
        <v>1290932906.2</v>
      </c>
    </row>
    <row r="108" spans="1:4" x14ac:dyDescent="0.2">
      <c r="A108" s="3">
        <v>43252</v>
      </c>
      <c r="B108" s="4">
        <v>3294981155.0100002</v>
      </c>
      <c r="C108" s="4">
        <v>1479278608.9400001</v>
      </c>
      <c r="D108" s="4">
        <v>1815702546.0699999</v>
      </c>
    </row>
    <row r="109" spans="1:4" x14ac:dyDescent="0.2">
      <c r="A109" s="3">
        <v>43282</v>
      </c>
      <c r="B109" s="4">
        <v>2439918307.1099997</v>
      </c>
      <c r="C109" s="4">
        <v>1100643960.0600002</v>
      </c>
      <c r="D109" s="4">
        <v>1339274347.0499995</v>
      </c>
    </row>
    <row r="110" spans="1:4" x14ac:dyDescent="0.2">
      <c r="A110" s="3">
        <v>43313</v>
      </c>
      <c r="B110" s="4">
        <v>2429325064.6999998</v>
      </c>
      <c r="C110" s="4">
        <v>1096173700.8000002</v>
      </c>
      <c r="D110" s="4">
        <v>1333151363.8999994</v>
      </c>
    </row>
    <row r="111" spans="1:4" x14ac:dyDescent="0.2">
      <c r="A111" s="3">
        <v>43344</v>
      </c>
      <c r="B111" s="4">
        <v>3256858427.5299997</v>
      </c>
      <c r="C111" s="4">
        <v>1457963840.4399998</v>
      </c>
      <c r="D111" s="4">
        <v>1798894587.0900002</v>
      </c>
    </row>
    <row r="112" spans="1:4" x14ac:dyDescent="0.2">
      <c r="A112" s="3">
        <v>43374</v>
      </c>
      <c r="B112" s="4">
        <v>2398084708.0799999</v>
      </c>
      <c r="C112" s="4">
        <v>1078600497.3399999</v>
      </c>
      <c r="D112" s="4">
        <v>1319484210.7399998</v>
      </c>
    </row>
    <row r="113" spans="1:4" x14ac:dyDescent="0.2">
      <c r="A113" s="3">
        <v>43405</v>
      </c>
      <c r="B113" s="4">
        <v>2453012636.0900002</v>
      </c>
      <c r="C113" s="4">
        <v>1100291896.5400002</v>
      </c>
      <c r="D113" s="4">
        <v>1352720739.5499997</v>
      </c>
    </row>
    <row r="114" spans="1:4" x14ac:dyDescent="0.2">
      <c r="A114" s="3">
        <v>43435</v>
      </c>
      <c r="B114" s="4">
        <v>3300465895.25</v>
      </c>
      <c r="C114" s="4">
        <v>1475024011.03</v>
      </c>
      <c r="D114" s="4">
        <v>1825441884.2200003</v>
      </c>
    </row>
    <row r="115" spans="1:4" ht="15.75" thickBot="1" x14ac:dyDescent="0.25">
      <c r="B115" s="5">
        <v>31652198839.499996</v>
      </c>
      <c r="C115" s="5">
        <v>14183952242.410002</v>
      </c>
      <c r="D115" s="5">
        <v>17468246597.09</v>
      </c>
    </row>
    <row r="116" spans="1:4" ht="15.75" thickTop="1" x14ac:dyDescent="0.2"/>
    <row r="117" spans="1:4" x14ac:dyDescent="0.2">
      <c r="A117" s="3">
        <v>42736</v>
      </c>
      <c r="B117" s="4">
        <v>2394277030.54</v>
      </c>
      <c r="C117" s="4">
        <v>1076409248.5</v>
      </c>
      <c r="D117" s="4">
        <v>1317867782.0399997</v>
      </c>
    </row>
    <row r="118" spans="1:4" x14ac:dyDescent="0.2">
      <c r="A118" s="3">
        <v>42767</v>
      </c>
      <c r="B118" s="4">
        <v>1962287143.5099998</v>
      </c>
      <c r="C118" s="4">
        <v>879585770.75</v>
      </c>
      <c r="D118" s="4">
        <v>1082701372.7599998</v>
      </c>
    </row>
    <row r="119" spans="1:4" x14ac:dyDescent="0.2">
      <c r="A119" s="3">
        <v>42795</v>
      </c>
      <c r="B119" s="4">
        <v>2702184335.96</v>
      </c>
      <c r="C119" s="4">
        <v>1188126313.72</v>
      </c>
      <c r="D119" s="4">
        <v>1514058022.2400002</v>
      </c>
    </row>
    <row r="120" spans="1:4" x14ac:dyDescent="0.2">
      <c r="A120" s="3">
        <v>42826</v>
      </c>
      <c r="B120" s="4">
        <v>2200425848.4299998</v>
      </c>
      <c r="C120" s="4">
        <v>993398694.75999987</v>
      </c>
      <c r="D120" s="4">
        <v>1207027153.6699998</v>
      </c>
    </row>
    <row r="121" spans="1:4" x14ac:dyDescent="0.2">
      <c r="A121" s="3">
        <v>42856</v>
      </c>
      <c r="B121" s="4">
        <v>2177740329.8199997</v>
      </c>
      <c r="C121" s="4">
        <v>981711441.01999998</v>
      </c>
      <c r="D121" s="4">
        <v>1196028888.8</v>
      </c>
    </row>
    <row r="122" spans="1:4" x14ac:dyDescent="0.2">
      <c r="A122" s="3">
        <v>42887</v>
      </c>
      <c r="B122" s="4">
        <v>3078256173.2200003</v>
      </c>
      <c r="C122" s="4">
        <v>1380518997.8199997</v>
      </c>
      <c r="D122" s="4">
        <v>1697737175.4000006</v>
      </c>
    </row>
    <row r="123" spans="1:4" x14ac:dyDescent="0.2">
      <c r="A123" s="3">
        <v>42917</v>
      </c>
      <c r="B123" s="4">
        <v>2345815455.8599997</v>
      </c>
      <c r="C123" s="4">
        <v>1061864362.27</v>
      </c>
      <c r="D123" s="4">
        <v>1283951093.5899999</v>
      </c>
    </row>
    <row r="124" spans="1:4" x14ac:dyDescent="0.2">
      <c r="A124" s="3">
        <v>42948</v>
      </c>
      <c r="B124" s="4">
        <v>2294503356.04</v>
      </c>
      <c r="C124" s="4">
        <v>1039049709.75</v>
      </c>
      <c r="D124" s="4">
        <v>1255453646.2900002</v>
      </c>
    </row>
    <row r="125" spans="1:4" x14ac:dyDescent="0.2">
      <c r="A125" s="3">
        <v>42979</v>
      </c>
      <c r="B125" s="4">
        <v>3065383087.7599998</v>
      </c>
      <c r="C125" s="4">
        <v>1386207514.3999999</v>
      </c>
      <c r="D125" s="4">
        <v>1679175573.3599999</v>
      </c>
    </row>
    <row r="126" spans="1:4" x14ac:dyDescent="0.2">
      <c r="A126" s="3">
        <v>43009</v>
      </c>
      <c r="B126" s="4">
        <v>2324040044.9200001</v>
      </c>
      <c r="C126" s="4">
        <v>1046899848.09</v>
      </c>
      <c r="D126" s="4">
        <v>1277140196.8300002</v>
      </c>
    </row>
    <row r="127" spans="1:4" x14ac:dyDescent="0.2">
      <c r="A127" s="3">
        <v>43040</v>
      </c>
      <c r="B127" s="4">
        <v>2457945374.5799999</v>
      </c>
      <c r="C127" s="4">
        <v>1108162853.78</v>
      </c>
      <c r="D127" s="4">
        <v>1349782520.8000002</v>
      </c>
    </row>
    <row r="128" spans="1:4" x14ac:dyDescent="0.2">
      <c r="A128" s="3">
        <v>43070</v>
      </c>
      <c r="B128" s="4">
        <v>3140232475.9700003</v>
      </c>
      <c r="C128" s="4">
        <v>1405033907.8399999</v>
      </c>
      <c r="D128" s="4">
        <v>1735198568.1300001</v>
      </c>
    </row>
    <row r="129" spans="1:4" ht="15.75" thickBot="1" x14ac:dyDescent="0.25">
      <c r="A129" s="1" t="s">
        <v>172</v>
      </c>
      <c r="B129" s="5">
        <v>30143090656.610001</v>
      </c>
      <c r="C129" s="5">
        <v>13546968662.700001</v>
      </c>
      <c r="D129" s="5">
        <v>16596121993.910004</v>
      </c>
    </row>
    <row r="130" spans="1:4" ht="15.75" thickTop="1" x14ac:dyDescent="0.2">
      <c r="D130" s="4"/>
    </row>
    <row r="131" spans="1:4" x14ac:dyDescent="0.2">
      <c r="A131" s="3">
        <v>42370</v>
      </c>
      <c r="B131" s="4">
        <v>2296301072.5300002</v>
      </c>
      <c r="C131" s="4">
        <v>1017330760.76</v>
      </c>
      <c r="D131" s="4">
        <v>1278970311.7700002</v>
      </c>
    </row>
    <row r="132" spans="1:4" x14ac:dyDescent="0.2">
      <c r="A132" s="3">
        <v>42401</v>
      </c>
      <c r="B132" s="4">
        <v>1868545575.9700003</v>
      </c>
      <c r="C132" s="4">
        <v>827943714.16999996</v>
      </c>
      <c r="D132" s="4">
        <v>1040601861.8000002</v>
      </c>
    </row>
    <row r="133" spans="1:4" x14ac:dyDescent="0.2">
      <c r="A133" s="3">
        <v>42430</v>
      </c>
      <c r="B133" s="4">
        <v>2698896678.5500002</v>
      </c>
      <c r="C133" s="4">
        <v>1235154714.53</v>
      </c>
      <c r="D133" s="4">
        <v>1463741964.02</v>
      </c>
    </row>
    <row r="134" spans="1:4" x14ac:dyDescent="0.2">
      <c r="A134" s="3">
        <v>42461</v>
      </c>
      <c r="B134" s="4">
        <v>2212832208.4200001</v>
      </c>
      <c r="C134" s="4">
        <v>991957409.46000004</v>
      </c>
      <c r="D134" s="4">
        <v>1220874798.96</v>
      </c>
    </row>
    <row r="135" spans="1:4" x14ac:dyDescent="0.2">
      <c r="A135" s="3">
        <v>42491</v>
      </c>
      <c r="B135" s="4">
        <v>2118362678.96</v>
      </c>
      <c r="C135" s="4">
        <v>949112081.38</v>
      </c>
      <c r="D135" s="4">
        <v>1169250597.5799999</v>
      </c>
    </row>
    <row r="136" spans="1:4" x14ac:dyDescent="0.2">
      <c r="A136" s="3">
        <v>42522</v>
      </c>
      <c r="B136" s="4">
        <v>2936194440.0700006</v>
      </c>
      <c r="C136" s="4">
        <v>1350186885.5999999</v>
      </c>
      <c r="D136" s="4">
        <v>1586007554.4700005</v>
      </c>
    </row>
    <row r="137" spans="1:4" x14ac:dyDescent="0.2">
      <c r="A137" s="3">
        <v>42552</v>
      </c>
      <c r="B137" s="4">
        <v>2266253077.54</v>
      </c>
      <c r="C137" s="4">
        <v>1017308989.34</v>
      </c>
      <c r="D137" s="4">
        <v>1248944088.2</v>
      </c>
    </row>
    <row r="138" spans="1:4" x14ac:dyDescent="0.2">
      <c r="A138" s="3">
        <v>42583</v>
      </c>
      <c r="B138" s="4">
        <v>2165678107.2400002</v>
      </c>
      <c r="C138" s="4">
        <v>971068096.29999995</v>
      </c>
      <c r="D138" s="4">
        <v>1194610010.9400003</v>
      </c>
    </row>
    <row r="139" spans="1:4" x14ac:dyDescent="0.2">
      <c r="A139" s="3">
        <v>42614</v>
      </c>
      <c r="B139" s="4">
        <v>2992203583.9799995</v>
      </c>
      <c r="C139" s="4">
        <v>1347278295.5599999</v>
      </c>
      <c r="D139" s="4">
        <v>1644925288.4199998</v>
      </c>
    </row>
    <row r="140" spans="1:4" x14ac:dyDescent="0.2">
      <c r="A140" s="3">
        <v>42644</v>
      </c>
      <c r="B140" s="4">
        <v>2225534255.1800003</v>
      </c>
      <c r="C140" s="4">
        <v>1001008745.48</v>
      </c>
      <c r="D140" s="4">
        <v>1224525509.7</v>
      </c>
    </row>
    <row r="141" spans="1:4" x14ac:dyDescent="0.2">
      <c r="A141" s="3">
        <v>42675</v>
      </c>
      <c r="B141" s="4">
        <v>2220544430.23</v>
      </c>
      <c r="C141" s="4">
        <v>998013211.38999999</v>
      </c>
      <c r="D141" s="4">
        <v>1222531218.8399999</v>
      </c>
    </row>
    <row r="142" spans="1:4" x14ac:dyDescent="0.2">
      <c r="A142" s="3">
        <v>42705</v>
      </c>
      <c r="B142" s="4">
        <v>2984319437.9500003</v>
      </c>
      <c r="C142" s="4">
        <v>1303669067.96</v>
      </c>
      <c r="D142" s="4">
        <v>1680650369.9900002</v>
      </c>
    </row>
    <row r="143" spans="1:4" ht="15.75" thickBot="1" x14ac:dyDescent="0.25">
      <c r="A143" s="1" t="s">
        <v>171</v>
      </c>
      <c r="B143" s="5">
        <v>28985665546.620003</v>
      </c>
      <c r="C143" s="5">
        <v>13010031971.93</v>
      </c>
      <c r="D143" s="5">
        <v>15975633574.690002</v>
      </c>
    </row>
    <row r="144" spans="1:4" ht="15.75" thickTop="1" x14ac:dyDescent="0.2">
      <c r="B144" s="4"/>
      <c r="C144" s="4"/>
      <c r="D144" s="4"/>
    </row>
    <row r="145" spans="1:4" x14ac:dyDescent="0.2">
      <c r="A145" s="3">
        <v>42005</v>
      </c>
      <c r="B145" s="4">
        <v>2235600787.1500001</v>
      </c>
      <c r="C145" s="4">
        <v>970285486.86000001</v>
      </c>
      <c r="D145" s="4">
        <v>1265315300.29</v>
      </c>
    </row>
    <row r="146" spans="1:4" x14ac:dyDescent="0.2">
      <c r="A146" s="3">
        <v>42036</v>
      </c>
      <c r="B146" s="4">
        <v>1837748541.1900001</v>
      </c>
      <c r="C146" s="4">
        <v>802137933.72000003</v>
      </c>
      <c r="D146" s="4">
        <v>1035610607.4699999</v>
      </c>
    </row>
    <row r="147" spans="1:4" x14ac:dyDescent="0.2">
      <c r="A147" s="3">
        <v>42064</v>
      </c>
      <c r="B147" s="4">
        <v>2565055210.4400001</v>
      </c>
      <c r="C147" s="4">
        <v>1180166119.1200001</v>
      </c>
      <c r="D147" s="4">
        <v>1384889091.3199999</v>
      </c>
    </row>
    <row r="148" spans="1:4" x14ac:dyDescent="0.2">
      <c r="A148" s="3">
        <v>42095</v>
      </c>
      <c r="B148" s="4">
        <v>2166237255.9400001</v>
      </c>
      <c r="C148" s="4">
        <v>962451172.08999991</v>
      </c>
      <c r="D148" s="4">
        <v>1203786083.8500001</v>
      </c>
    </row>
    <row r="149" spans="1:4" x14ac:dyDescent="0.2">
      <c r="A149" s="3">
        <v>42125</v>
      </c>
      <c r="B149" s="4">
        <v>2104578842.76</v>
      </c>
      <c r="C149" s="4">
        <v>931388592.00999999</v>
      </c>
      <c r="D149" s="4">
        <v>1173190250.75</v>
      </c>
    </row>
    <row r="150" spans="1:4" x14ac:dyDescent="0.2">
      <c r="A150" s="3">
        <v>42156</v>
      </c>
      <c r="B150" s="4">
        <v>2880476941.7600002</v>
      </c>
      <c r="C150" s="4">
        <v>1313372839.6500001</v>
      </c>
      <c r="D150" s="4">
        <v>1567104102.1099999</v>
      </c>
    </row>
    <row r="151" spans="1:4" x14ac:dyDescent="0.2">
      <c r="A151" s="3">
        <v>42186</v>
      </c>
      <c r="B151" s="4">
        <v>2224226552.8400002</v>
      </c>
      <c r="C151" s="4">
        <v>994231075.02999997</v>
      </c>
      <c r="D151" s="4">
        <v>1229995477.8099999</v>
      </c>
    </row>
    <row r="152" spans="1:4" x14ac:dyDescent="0.2">
      <c r="A152" s="3">
        <v>42217</v>
      </c>
      <c r="B152" s="4">
        <v>2164109032.8800001</v>
      </c>
      <c r="C152" s="4">
        <v>967529595.01999998</v>
      </c>
      <c r="D152" s="4">
        <v>1196579437.8600001</v>
      </c>
    </row>
    <row r="153" spans="1:4" x14ac:dyDescent="0.2">
      <c r="A153" s="3">
        <v>42248</v>
      </c>
      <c r="B153" s="4">
        <v>2907059488.04</v>
      </c>
      <c r="C153" s="4">
        <v>1321643778.03</v>
      </c>
      <c r="D153" s="4">
        <v>1585415710.0099998</v>
      </c>
    </row>
    <row r="154" spans="1:4" x14ac:dyDescent="0.2">
      <c r="A154" s="3">
        <v>42278</v>
      </c>
      <c r="B154" s="4">
        <v>2201404642.6900001</v>
      </c>
      <c r="C154" s="4">
        <v>874904901.17999995</v>
      </c>
      <c r="D154" s="4">
        <v>1326499741.5100002</v>
      </c>
    </row>
    <row r="155" spans="1:4" x14ac:dyDescent="0.2">
      <c r="A155" s="3">
        <v>42309</v>
      </c>
      <c r="B155" s="4">
        <v>2161975583.8400002</v>
      </c>
      <c r="C155" s="4">
        <v>965313605.29999995</v>
      </c>
      <c r="D155" s="4">
        <v>1196661978.54</v>
      </c>
    </row>
    <row r="156" spans="1:4" x14ac:dyDescent="0.2">
      <c r="A156" s="3">
        <v>42339</v>
      </c>
      <c r="B156" s="4">
        <v>2917386530.3499999</v>
      </c>
      <c r="C156" s="4">
        <v>1225658459.46</v>
      </c>
      <c r="D156" s="4">
        <v>1691728070.8899999</v>
      </c>
    </row>
    <row r="157" spans="1:4" ht="15.75" thickBot="1" x14ac:dyDescent="0.25">
      <c r="A157" s="1" t="s">
        <v>170</v>
      </c>
      <c r="B157" s="5">
        <v>28365859409.880001</v>
      </c>
      <c r="C157" s="5">
        <v>12509083557.470001</v>
      </c>
      <c r="D157" s="5">
        <v>15856775852.41</v>
      </c>
    </row>
    <row r="158" spans="1:4" ht="15.75" thickTop="1" x14ac:dyDescent="0.2">
      <c r="B158" s="4"/>
      <c r="C158" s="4"/>
      <c r="D158" s="4"/>
    </row>
    <row r="159" spans="1:4" x14ac:dyDescent="0.2">
      <c r="A159" s="3">
        <v>41640</v>
      </c>
      <c r="B159" s="4">
        <v>2146633221.3299999</v>
      </c>
      <c r="C159" s="4">
        <v>943931342.16999996</v>
      </c>
      <c r="D159" s="4">
        <v>1202701879.1599998</v>
      </c>
    </row>
    <row r="160" spans="1:4" x14ac:dyDescent="0.2">
      <c r="A160" s="3">
        <v>41671</v>
      </c>
      <c r="B160" s="4">
        <v>1834862351.23</v>
      </c>
      <c r="C160" s="4">
        <v>804778631.40999997</v>
      </c>
      <c r="D160" s="4">
        <v>1030083719.8199999</v>
      </c>
    </row>
    <row r="161" spans="1:4" x14ac:dyDescent="0.2">
      <c r="A161" s="3">
        <v>41699</v>
      </c>
      <c r="B161" s="4">
        <v>2547570096.6500001</v>
      </c>
      <c r="C161" s="4">
        <v>1120571761.54</v>
      </c>
      <c r="D161" s="4">
        <v>1426998335.1100001</v>
      </c>
    </row>
    <row r="162" spans="1:4" x14ac:dyDescent="0.2">
      <c r="A162" s="3">
        <v>41730</v>
      </c>
      <c r="B162" s="4">
        <v>2069969446.5500002</v>
      </c>
      <c r="C162" s="4">
        <v>921469390.96999991</v>
      </c>
      <c r="D162" s="4">
        <v>1148500055.5800002</v>
      </c>
    </row>
    <row r="163" spans="1:4" x14ac:dyDescent="0.2">
      <c r="A163" s="3">
        <v>41760</v>
      </c>
      <c r="B163" s="4">
        <v>2053631695.3100004</v>
      </c>
      <c r="C163" s="4">
        <v>913314497.85000002</v>
      </c>
      <c r="D163" s="4">
        <v>1140317197.4600003</v>
      </c>
    </row>
    <row r="164" spans="1:4" x14ac:dyDescent="0.2">
      <c r="A164" s="3">
        <v>41791</v>
      </c>
      <c r="B164" s="4">
        <v>2799325500.5399995</v>
      </c>
      <c r="C164" s="4">
        <v>1234707478.3499999</v>
      </c>
      <c r="D164" s="4">
        <v>1564618022.1899996</v>
      </c>
    </row>
    <row r="165" spans="1:4" x14ac:dyDescent="0.2">
      <c r="A165" s="3">
        <v>41821</v>
      </c>
      <c r="B165" s="4">
        <v>2108141129.0499997</v>
      </c>
      <c r="C165" s="4">
        <v>939768735.23999989</v>
      </c>
      <c r="D165" s="4">
        <v>1168372393.8099997</v>
      </c>
    </row>
    <row r="166" spans="1:4" x14ac:dyDescent="0.2">
      <c r="A166" s="3">
        <v>41852</v>
      </c>
      <c r="B166" s="4">
        <v>2090473560.6199999</v>
      </c>
      <c r="C166" s="4">
        <v>932919532.13</v>
      </c>
      <c r="D166" s="4">
        <v>1157554028.49</v>
      </c>
    </row>
    <row r="167" spans="1:4" x14ac:dyDescent="0.2">
      <c r="A167" s="3">
        <v>41883</v>
      </c>
      <c r="B167" s="4">
        <v>2855216205.7399998</v>
      </c>
      <c r="C167" s="4">
        <v>1284638425.03</v>
      </c>
      <c r="D167" s="4">
        <v>1570577780.71</v>
      </c>
    </row>
    <row r="168" spans="1:4" x14ac:dyDescent="0.2">
      <c r="A168" s="3">
        <v>41913</v>
      </c>
      <c r="B168" s="4">
        <v>2095859826.9499998</v>
      </c>
      <c r="C168" s="4">
        <v>932332764.64999998</v>
      </c>
      <c r="D168" s="4">
        <v>1163527062.2999997</v>
      </c>
    </row>
    <row r="169" spans="1:4" x14ac:dyDescent="0.2">
      <c r="A169" s="3">
        <v>41944</v>
      </c>
      <c r="B169" s="4">
        <v>2126957446.7000003</v>
      </c>
      <c r="C169" s="4">
        <v>945527387.61000001</v>
      </c>
      <c r="D169" s="4">
        <v>1181430059.0900002</v>
      </c>
    </row>
    <row r="170" spans="1:4" x14ac:dyDescent="0.2">
      <c r="A170" s="3">
        <v>41974</v>
      </c>
      <c r="B170" s="4">
        <v>2807682548.1300001</v>
      </c>
      <c r="C170" s="4">
        <v>1257182821.48</v>
      </c>
      <c r="D170" s="4">
        <v>1550499726.6499999</v>
      </c>
    </row>
    <row r="171" spans="1:4" ht="15.75" thickBot="1" x14ac:dyDescent="0.25">
      <c r="A171" s="1" t="s">
        <v>168</v>
      </c>
      <c r="B171" s="5">
        <v>27536323028.799999</v>
      </c>
      <c r="C171" s="5">
        <v>12231142768.429998</v>
      </c>
      <c r="D171" s="5">
        <v>15305180260.369997</v>
      </c>
    </row>
    <row r="172" spans="1:4" ht="15.75" thickTop="1" x14ac:dyDescent="0.2">
      <c r="B172" s="4"/>
      <c r="C172" s="4"/>
      <c r="D172" s="4"/>
    </row>
    <row r="173" spans="1:4" x14ac:dyDescent="0.2">
      <c r="A173" s="3">
        <v>41275</v>
      </c>
      <c r="B173" s="4">
        <v>2127421201.9099996</v>
      </c>
      <c r="C173" s="4">
        <v>929635435.27999997</v>
      </c>
      <c r="D173" s="4">
        <v>1197785766.6299996</v>
      </c>
    </row>
    <row r="174" spans="1:4" x14ac:dyDescent="0.2">
      <c r="A174" s="3">
        <v>41306</v>
      </c>
      <c r="B174" s="4">
        <v>1830965913.05</v>
      </c>
      <c r="C174" s="4">
        <v>801482545.96000004</v>
      </c>
      <c r="D174" s="4">
        <v>1029483367.0899999</v>
      </c>
    </row>
    <row r="175" spans="1:4" x14ac:dyDescent="0.2">
      <c r="A175" s="3">
        <v>41334</v>
      </c>
      <c r="B175" s="4">
        <v>2496076417.1999998</v>
      </c>
      <c r="C175" s="4">
        <v>1105609741.5799999</v>
      </c>
      <c r="D175" s="4">
        <v>1390466675.6199999</v>
      </c>
    </row>
    <row r="176" spans="1:4" x14ac:dyDescent="0.2">
      <c r="A176" s="3">
        <v>41365</v>
      </c>
      <c r="B176" s="4">
        <v>1955677747.29</v>
      </c>
      <c r="C176" s="4">
        <v>870815113.55999994</v>
      </c>
      <c r="D176" s="4">
        <v>1084862633.73</v>
      </c>
    </row>
    <row r="177" spans="1:4" x14ac:dyDescent="0.2">
      <c r="A177" s="3">
        <v>41395</v>
      </c>
      <c r="B177" s="4">
        <v>1957391882.8600001</v>
      </c>
      <c r="C177" s="4">
        <v>869367265.89999998</v>
      </c>
      <c r="D177" s="4">
        <v>1088024616.96</v>
      </c>
    </row>
    <row r="178" spans="1:4" x14ac:dyDescent="0.2">
      <c r="A178" s="3">
        <v>41426</v>
      </c>
      <c r="B178" s="4">
        <v>2791315266.6099997</v>
      </c>
      <c r="C178" s="4">
        <v>1241491069.53</v>
      </c>
      <c r="D178" s="4">
        <v>1549824197.0799997</v>
      </c>
    </row>
    <row r="179" spans="1:4" x14ac:dyDescent="0.2">
      <c r="A179" s="3">
        <v>41456</v>
      </c>
      <c r="B179" s="4">
        <v>2030028480.8899999</v>
      </c>
      <c r="C179" s="4">
        <v>906315328.38999999</v>
      </c>
      <c r="D179" s="4">
        <v>1123713152.5</v>
      </c>
    </row>
    <row r="180" spans="1:4" x14ac:dyDescent="0.2">
      <c r="A180" s="3">
        <v>41487</v>
      </c>
      <c r="B180" s="4">
        <v>2022022503.1000001</v>
      </c>
      <c r="C180" s="4">
        <v>904382360.26999998</v>
      </c>
      <c r="D180" s="4">
        <v>1117640142.8300002</v>
      </c>
    </row>
    <row r="181" spans="1:4" x14ac:dyDescent="0.2">
      <c r="A181" s="3">
        <v>41518</v>
      </c>
      <c r="B181" s="4">
        <v>2756679167.04</v>
      </c>
      <c r="C181" s="4">
        <v>1231640321.8099999</v>
      </c>
      <c r="D181" s="4">
        <v>1525038845.23</v>
      </c>
    </row>
    <row r="182" spans="1:4" x14ac:dyDescent="0.2">
      <c r="A182" s="3">
        <v>41548</v>
      </c>
      <c r="B182" s="4">
        <v>2011287452.8199997</v>
      </c>
      <c r="C182" s="4">
        <v>895082127.91999996</v>
      </c>
      <c r="D182" s="4">
        <v>1116205324.8999999</v>
      </c>
    </row>
    <row r="183" spans="1:4" x14ac:dyDescent="0.2">
      <c r="A183" s="3">
        <v>41579</v>
      </c>
      <c r="B183" s="4">
        <v>2011874030.9400001</v>
      </c>
      <c r="C183" s="4">
        <v>893345846.85000002</v>
      </c>
      <c r="D183" s="4">
        <v>1118528184.0899999</v>
      </c>
    </row>
    <row r="184" spans="1:4" x14ac:dyDescent="0.2">
      <c r="A184" s="3">
        <v>41609</v>
      </c>
      <c r="B184" s="4">
        <v>2744452701.1199999</v>
      </c>
      <c r="C184" s="4">
        <v>1220269678.1400001</v>
      </c>
      <c r="D184" s="4">
        <v>1524183022.98</v>
      </c>
    </row>
    <row r="185" spans="1:4" ht="15.75" thickBot="1" x14ac:dyDescent="0.25">
      <c r="A185" s="1" t="s">
        <v>167</v>
      </c>
      <c r="B185" s="5">
        <v>26735192764.829994</v>
      </c>
      <c r="C185" s="5">
        <v>11869436835.189999</v>
      </c>
      <c r="D185" s="5">
        <v>14865755929.639999</v>
      </c>
    </row>
    <row r="186" spans="1:4" ht="15.75" thickTop="1" x14ac:dyDescent="0.2">
      <c r="B186" s="4"/>
      <c r="C186" s="4"/>
      <c r="D186" s="4"/>
    </row>
    <row r="187" spans="1:4" x14ac:dyDescent="0.2">
      <c r="B187" s="4"/>
      <c r="C187" s="4"/>
      <c r="D187" s="4"/>
    </row>
    <row r="188" spans="1:4" x14ac:dyDescent="0.2">
      <c r="A188" s="3">
        <v>40909</v>
      </c>
      <c r="B188" s="4">
        <v>2024817569.29</v>
      </c>
      <c r="C188" s="4">
        <v>897028913.63999999</v>
      </c>
      <c r="D188" s="4">
        <v>1127788655.6500001</v>
      </c>
    </row>
    <row r="189" spans="1:4" x14ac:dyDescent="0.2">
      <c r="A189" s="3">
        <v>40940</v>
      </c>
      <c r="B189" s="4">
        <v>1722642319.97</v>
      </c>
      <c r="C189" s="4">
        <v>763558982.43000007</v>
      </c>
      <c r="D189" s="4">
        <v>959083337.53999996</v>
      </c>
    </row>
    <row r="190" spans="1:4" x14ac:dyDescent="0.2">
      <c r="A190" s="3">
        <v>40969</v>
      </c>
      <c r="B190" s="4">
        <v>2410400081.7299995</v>
      </c>
      <c r="C190" s="4">
        <v>1069367374.6499999</v>
      </c>
      <c r="D190" s="4">
        <v>1341032707.0799997</v>
      </c>
    </row>
    <row r="191" spans="1:4" x14ac:dyDescent="0.2">
      <c r="A191" s="3">
        <v>41000</v>
      </c>
      <c r="B191" s="4">
        <v>1878437754.8400002</v>
      </c>
      <c r="C191" s="4">
        <v>838323508.36000001</v>
      </c>
      <c r="D191" s="4">
        <v>1040114246.4800001</v>
      </c>
    </row>
    <row r="192" spans="1:4" x14ac:dyDescent="0.2">
      <c r="A192" s="3">
        <v>41030</v>
      </c>
      <c r="B192" s="4">
        <v>1861625739.1800001</v>
      </c>
      <c r="C192" s="4">
        <v>830964556.57000005</v>
      </c>
      <c r="D192" s="4">
        <v>1030661182.61</v>
      </c>
    </row>
    <row r="193" spans="1:4" x14ac:dyDescent="0.2">
      <c r="A193" s="3">
        <v>41061</v>
      </c>
      <c r="B193" s="4">
        <v>2586368561.71</v>
      </c>
      <c r="C193" s="4">
        <v>1141803164.4300003</v>
      </c>
      <c r="D193" s="4">
        <v>1444565397.2799997</v>
      </c>
    </row>
    <row r="194" spans="1:4" x14ac:dyDescent="0.2">
      <c r="A194" s="3">
        <v>41091</v>
      </c>
      <c r="B194" s="4">
        <v>1909279624.8899999</v>
      </c>
      <c r="C194" s="4">
        <v>846567617.97000003</v>
      </c>
      <c r="D194" s="4">
        <v>1062712006.92</v>
      </c>
    </row>
    <row r="195" spans="1:4" x14ac:dyDescent="0.2">
      <c r="A195" s="3">
        <v>41122</v>
      </c>
      <c r="B195" s="4">
        <v>1909280624.9399996</v>
      </c>
      <c r="C195" s="4">
        <v>847301100.88999999</v>
      </c>
      <c r="D195" s="4">
        <v>1061979524.0499997</v>
      </c>
    </row>
    <row r="196" spans="1:4" x14ac:dyDescent="0.2">
      <c r="A196" s="3">
        <v>41153</v>
      </c>
      <c r="B196" s="4">
        <v>2621798414.5900002</v>
      </c>
      <c r="C196" s="4">
        <v>1187420941.4099998</v>
      </c>
      <c r="D196" s="4">
        <v>1434377473.1800001</v>
      </c>
    </row>
    <row r="197" spans="1:4" x14ac:dyDescent="0.2">
      <c r="A197" s="3">
        <v>41183</v>
      </c>
      <c r="B197" s="4">
        <v>1918463041.6499999</v>
      </c>
      <c r="C197" s="4">
        <v>850499711.62</v>
      </c>
      <c r="D197" s="4">
        <v>1067963330.0299999</v>
      </c>
    </row>
    <row r="198" spans="1:4" x14ac:dyDescent="0.2">
      <c r="A198" s="3">
        <v>41214</v>
      </c>
      <c r="B198" s="4">
        <v>1871334301.23</v>
      </c>
      <c r="C198" s="4">
        <v>829410479.83000004</v>
      </c>
      <c r="D198" s="4">
        <v>1041923821.3999999</v>
      </c>
    </row>
    <row r="199" spans="1:4" x14ac:dyDescent="0.2">
      <c r="A199" s="3">
        <v>41244</v>
      </c>
      <c r="B199" s="4">
        <v>2689584614.04</v>
      </c>
      <c r="C199" s="4">
        <v>1174968214.5899999</v>
      </c>
      <c r="D199" s="4">
        <v>1514616399.45</v>
      </c>
    </row>
    <row r="200" spans="1:4" ht="15.75" thickBot="1" x14ac:dyDescent="0.25">
      <c r="A200" s="1" t="s">
        <v>166</v>
      </c>
      <c r="B200" s="5">
        <v>25404032648.060001</v>
      </c>
      <c r="C200" s="5">
        <v>11277214566.390001</v>
      </c>
      <c r="D200" s="5">
        <v>14126818081.67</v>
      </c>
    </row>
    <row r="201" spans="1:4" ht="15.75" thickTop="1" x14ac:dyDescent="0.2">
      <c r="B201" s="4"/>
      <c r="C201" s="4"/>
      <c r="D201" s="4"/>
    </row>
    <row r="202" spans="1:4" x14ac:dyDescent="0.2">
      <c r="B202" s="4"/>
      <c r="C202" s="4"/>
      <c r="D202" s="4"/>
    </row>
    <row r="203" spans="1:4" x14ac:dyDescent="0.2">
      <c r="A203" s="3">
        <v>40544</v>
      </c>
      <c r="B203" s="4">
        <v>2022090569.5699999</v>
      </c>
      <c r="C203" s="4">
        <v>924191397.78999996</v>
      </c>
      <c r="D203" s="4">
        <v>1097899171.78</v>
      </c>
    </row>
    <row r="204" spans="1:4" x14ac:dyDescent="0.2">
      <c r="A204" s="3">
        <v>40575</v>
      </c>
      <c r="B204" s="4">
        <v>1639440523.98</v>
      </c>
      <c r="C204" s="4">
        <v>750020540.98000002</v>
      </c>
      <c r="D204" s="4">
        <v>889419983</v>
      </c>
    </row>
    <row r="205" spans="1:4" x14ac:dyDescent="0.2">
      <c r="A205" s="3">
        <v>40603</v>
      </c>
      <c r="B205" s="4">
        <v>2371273979.0499997</v>
      </c>
      <c r="C205" s="4">
        <v>1069697884.9</v>
      </c>
      <c r="D205" s="4">
        <v>1301576094.1499999</v>
      </c>
    </row>
    <row r="206" spans="1:4" x14ac:dyDescent="0.2">
      <c r="A206" s="3">
        <v>40634</v>
      </c>
      <c r="B206" s="4">
        <v>1864055134.3299999</v>
      </c>
      <c r="C206" s="4">
        <v>846796044.70000005</v>
      </c>
      <c r="D206" s="4">
        <v>1017259089.6299998</v>
      </c>
    </row>
    <row r="207" spans="1:4" x14ac:dyDescent="0.2">
      <c r="A207" s="3">
        <v>40664</v>
      </c>
      <c r="B207" s="4">
        <v>1793524885.9200001</v>
      </c>
      <c r="C207" s="4">
        <v>814343901.00999999</v>
      </c>
      <c r="D207" s="4">
        <v>979180984.90999997</v>
      </c>
    </row>
    <row r="208" spans="1:4" x14ac:dyDescent="0.2">
      <c r="A208" s="3">
        <v>40695</v>
      </c>
      <c r="B208" s="4">
        <v>2533174903</v>
      </c>
      <c r="C208" s="4">
        <v>1132490567.9199998</v>
      </c>
      <c r="D208" s="4">
        <v>1400684335.0800004</v>
      </c>
    </row>
    <row r="209" spans="1:4" x14ac:dyDescent="0.2">
      <c r="A209" s="3">
        <v>40725</v>
      </c>
      <c r="B209" s="4">
        <v>1889312394.9000001</v>
      </c>
      <c r="C209" s="4">
        <v>855978788.62</v>
      </c>
      <c r="D209" s="4">
        <v>1033333606.2800002</v>
      </c>
    </row>
    <row r="210" spans="1:4" x14ac:dyDescent="0.2">
      <c r="A210" s="3">
        <v>40756</v>
      </c>
      <c r="B210" s="4">
        <v>1851559275.5500002</v>
      </c>
      <c r="C210" s="4">
        <v>838515420.37</v>
      </c>
      <c r="D210" s="4">
        <v>1013043855.1800002</v>
      </c>
    </row>
    <row r="211" spans="1:4" x14ac:dyDescent="0.2">
      <c r="A211" s="3">
        <v>40787</v>
      </c>
      <c r="B211" s="4">
        <v>2524656164.3699999</v>
      </c>
      <c r="C211" s="4">
        <v>1124654325.2</v>
      </c>
      <c r="D211" s="4">
        <v>1400001839.1699998</v>
      </c>
    </row>
    <row r="212" spans="1:4" x14ac:dyDescent="0.2">
      <c r="A212" s="3">
        <v>40817</v>
      </c>
      <c r="B212" s="4">
        <v>1882437946.8899999</v>
      </c>
      <c r="C212" s="4">
        <v>852740095.70999992</v>
      </c>
      <c r="D212" s="4">
        <v>1029697851.1799998</v>
      </c>
    </row>
    <row r="213" spans="1:4" x14ac:dyDescent="0.2">
      <c r="A213" s="3">
        <v>40848</v>
      </c>
      <c r="B213" s="4">
        <v>1866573821.2599998</v>
      </c>
      <c r="C213" s="4">
        <v>844667240.37999988</v>
      </c>
      <c r="D213" s="4">
        <v>1021906580.8799999</v>
      </c>
    </row>
    <row r="214" spans="1:4" x14ac:dyDescent="0.2">
      <c r="A214" s="3">
        <v>40878</v>
      </c>
      <c r="B214" s="4">
        <v>2640918013.3099999</v>
      </c>
      <c r="C214" s="4">
        <v>1149209553.5</v>
      </c>
      <c r="D214" s="4">
        <v>1491708459.8099999</v>
      </c>
    </row>
    <row r="215" spans="1:4" ht="15.75" thickBot="1" x14ac:dyDescent="0.25">
      <c r="A215" s="1" t="s">
        <v>165</v>
      </c>
      <c r="B215" s="5">
        <v>24879017612.129997</v>
      </c>
      <c r="C215" s="5">
        <v>11203305761.079998</v>
      </c>
      <c r="D215" s="5">
        <v>13675711851.049999</v>
      </c>
    </row>
    <row r="216" spans="1:4" ht="15.75" thickTop="1" x14ac:dyDescent="0.2">
      <c r="B216" s="4"/>
      <c r="C216" s="4"/>
      <c r="D216" s="4"/>
    </row>
    <row r="217" spans="1:4" x14ac:dyDescent="0.2">
      <c r="B217" s="4"/>
      <c r="C217" s="4"/>
      <c r="D217" s="4"/>
    </row>
    <row r="218" spans="1:4" x14ac:dyDescent="0.2">
      <c r="A218" s="3">
        <v>40179</v>
      </c>
      <c r="B218" s="4">
        <v>1847526150.2399998</v>
      </c>
      <c r="C218" s="4">
        <v>813231377.14999998</v>
      </c>
      <c r="D218" s="4">
        <v>1034294773.0899999</v>
      </c>
    </row>
    <row r="219" spans="1:4" x14ac:dyDescent="0.2">
      <c r="A219" s="3">
        <v>40210</v>
      </c>
      <c r="B219" s="4">
        <v>1563579126.3099999</v>
      </c>
      <c r="C219" s="4">
        <v>686458824.63</v>
      </c>
      <c r="D219" s="4">
        <v>877120301.68000007</v>
      </c>
    </row>
    <row r="220" spans="1:4" x14ac:dyDescent="0.2">
      <c r="A220" s="3">
        <v>40238</v>
      </c>
      <c r="B220" s="4">
        <v>2142057999.1500001</v>
      </c>
      <c r="C220" s="4">
        <v>930204262.98000002</v>
      </c>
      <c r="D220" s="4">
        <v>1211853736.1700001</v>
      </c>
    </row>
    <row r="221" spans="1:4" x14ac:dyDescent="0.2">
      <c r="A221" s="3">
        <v>40269</v>
      </c>
      <c r="B221" s="4">
        <v>1730373023.3199999</v>
      </c>
      <c r="C221" s="4">
        <v>773880515.39999998</v>
      </c>
      <c r="D221" s="4">
        <v>956492507.91999996</v>
      </c>
    </row>
    <row r="222" spans="1:4" x14ac:dyDescent="0.2">
      <c r="A222" s="3">
        <v>40299</v>
      </c>
      <c r="B222" s="4">
        <v>1688037041.5899999</v>
      </c>
      <c r="C222" s="4">
        <v>757472053.98000002</v>
      </c>
      <c r="D222" s="4">
        <v>930564987.60999978</v>
      </c>
    </row>
    <row r="223" spans="1:4" x14ac:dyDescent="0.2">
      <c r="A223" s="3">
        <v>40330</v>
      </c>
      <c r="B223" s="4">
        <v>2428967161.8400002</v>
      </c>
      <c r="C223" s="4">
        <v>1082546190.9400001</v>
      </c>
      <c r="D223" s="4">
        <v>1346420970.9000001</v>
      </c>
    </row>
    <row r="224" spans="1:4" x14ac:dyDescent="0.2">
      <c r="A224" s="3">
        <v>40360</v>
      </c>
      <c r="B224" s="4">
        <v>1803084583.0900002</v>
      </c>
      <c r="C224" s="4">
        <v>804569604.37</v>
      </c>
      <c r="D224" s="4">
        <v>998514978.72000003</v>
      </c>
    </row>
    <row r="225" spans="1:4" x14ac:dyDescent="0.2">
      <c r="A225" s="3">
        <v>40391</v>
      </c>
      <c r="B225" s="4">
        <v>1783093413.5699997</v>
      </c>
      <c r="C225" s="4">
        <v>805504961.40999997</v>
      </c>
      <c r="D225" s="4">
        <v>977588452.15999973</v>
      </c>
    </row>
    <row r="226" spans="1:4" x14ac:dyDescent="0.2">
      <c r="A226" s="3">
        <v>40422</v>
      </c>
      <c r="B226" s="4">
        <v>2426805094.4899998</v>
      </c>
      <c r="C226" s="4">
        <v>1092616268.3399999</v>
      </c>
      <c r="D226" s="4">
        <v>1334188826.1499999</v>
      </c>
    </row>
    <row r="227" spans="1:4" x14ac:dyDescent="0.2">
      <c r="A227" s="3">
        <v>40452</v>
      </c>
      <c r="B227" s="4">
        <v>1770768574.6700001</v>
      </c>
      <c r="C227" s="4">
        <v>813113023.41000009</v>
      </c>
      <c r="D227" s="4">
        <v>957655551.25999999</v>
      </c>
    </row>
    <row r="228" spans="1:4" x14ac:dyDescent="0.2">
      <c r="A228" s="3">
        <v>40483</v>
      </c>
      <c r="B228" s="4">
        <v>1840163077.5700002</v>
      </c>
      <c r="C228" s="4">
        <v>840646028.73000002</v>
      </c>
      <c r="D228" s="4">
        <v>999517048.84000015</v>
      </c>
    </row>
    <row r="229" spans="1:4" x14ac:dyDescent="0.2">
      <c r="A229" s="3">
        <v>40513</v>
      </c>
      <c r="B229" s="4">
        <v>2589111134.4800005</v>
      </c>
      <c r="C229" s="4">
        <v>1187531544.49</v>
      </c>
      <c r="D229" s="4">
        <v>1401579589.9900002</v>
      </c>
    </row>
    <row r="230" spans="1:4" ht="15.75" thickBot="1" x14ac:dyDescent="0.25">
      <c r="A230" s="1" t="s">
        <v>157</v>
      </c>
      <c r="B230" s="5">
        <v>23613566380.319996</v>
      </c>
      <c r="C230" s="5">
        <v>10587774655.83</v>
      </c>
      <c r="D230" s="5">
        <v>13025791724.490002</v>
      </c>
    </row>
    <row r="231" spans="1:4" ht="15.75" thickTop="1" x14ac:dyDescent="0.2">
      <c r="B231" s="4"/>
      <c r="C231" s="4"/>
      <c r="D231" s="4"/>
    </row>
    <row r="232" spans="1:4" x14ac:dyDescent="0.2">
      <c r="A232" s="3">
        <v>39814</v>
      </c>
      <c r="B232" s="4">
        <v>1831660069.3599999</v>
      </c>
      <c r="C232" s="4">
        <v>830014886.74000001</v>
      </c>
      <c r="D232" s="4">
        <v>1001645182.6199999</v>
      </c>
    </row>
    <row r="233" spans="1:4" x14ac:dyDescent="0.2">
      <c r="A233" s="3">
        <v>39845</v>
      </c>
      <c r="B233" s="4">
        <v>1471377472.1399999</v>
      </c>
      <c r="C233" s="4">
        <v>661317573.83000004</v>
      </c>
      <c r="D233" s="4">
        <v>810059898.30999994</v>
      </c>
    </row>
    <row r="234" spans="1:4" x14ac:dyDescent="0.2">
      <c r="A234" s="3">
        <v>39873</v>
      </c>
      <c r="B234" s="4">
        <v>2027094772.2700005</v>
      </c>
      <c r="C234" s="4">
        <v>940221737.85000002</v>
      </c>
      <c r="D234" s="4">
        <v>1086873034.4200003</v>
      </c>
    </row>
    <row r="235" spans="1:4" x14ac:dyDescent="0.2">
      <c r="A235" s="3">
        <v>39904</v>
      </c>
      <c r="B235" s="4">
        <v>1550019352.8699999</v>
      </c>
      <c r="C235" s="4">
        <v>706789846.53999996</v>
      </c>
      <c r="D235" s="4">
        <v>843229506.32999992</v>
      </c>
    </row>
    <row r="236" spans="1:4" x14ac:dyDescent="0.2">
      <c r="A236" s="3">
        <v>39934</v>
      </c>
      <c r="B236" s="4">
        <v>1572319885.5700002</v>
      </c>
      <c r="C236" s="4">
        <v>713372053.63999999</v>
      </c>
      <c r="D236" s="4">
        <v>858947831.93000019</v>
      </c>
    </row>
    <row r="237" spans="1:4" x14ac:dyDescent="0.2">
      <c r="A237" s="3">
        <v>39965</v>
      </c>
      <c r="B237" s="4">
        <v>2158232748.3299999</v>
      </c>
      <c r="C237" s="4">
        <v>1012426210.97</v>
      </c>
      <c r="D237" s="4">
        <v>1145806537.3600001</v>
      </c>
    </row>
    <row r="238" spans="1:4" x14ac:dyDescent="0.2">
      <c r="A238" s="3">
        <v>39995</v>
      </c>
      <c r="B238" s="4">
        <v>1627345472.3799999</v>
      </c>
      <c r="C238" s="4">
        <v>724215451.53999996</v>
      </c>
      <c r="D238" s="4">
        <v>903130020.83999991</v>
      </c>
    </row>
    <row r="239" spans="1:4" x14ac:dyDescent="0.2">
      <c r="A239" s="3">
        <v>40026</v>
      </c>
      <c r="B239" s="4">
        <v>1666462274.48</v>
      </c>
      <c r="C239" s="4">
        <v>740981107.44000006</v>
      </c>
      <c r="D239" s="4">
        <v>925481167.04000008</v>
      </c>
    </row>
    <row r="240" spans="1:4" x14ac:dyDescent="0.2">
      <c r="A240" s="3">
        <v>40057</v>
      </c>
      <c r="B240" s="4">
        <v>2274520165.4700003</v>
      </c>
      <c r="C240" s="4">
        <v>1100967218.51</v>
      </c>
      <c r="D240" s="4">
        <v>1173552946.96</v>
      </c>
    </row>
    <row r="241" spans="1:4" x14ac:dyDescent="0.2">
      <c r="A241" s="3">
        <v>40087</v>
      </c>
      <c r="B241" s="4">
        <v>1696060151.1699998</v>
      </c>
      <c r="C241" s="4">
        <v>756096954.95000005</v>
      </c>
      <c r="D241" s="4">
        <v>939963196.21999979</v>
      </c>
    </row>
    <row r="242" spans="1:4" x14ac:dyDescent="0.2">
      <c r="A242" s="3">
        <v>40118</v>
      </c>
      <c r="B242" s="4">
        <v>1646860018.0500002</v>
      </c>
      <c r="C242" s="4">
        <v>731902674.30999994</v>
      </c>
      <c r="D242" s="4">
        <v>914957343.74000025</v>
      </c>
    </row>
    <row r="243" spans="1:4" x14ac:dyDescent="0.2">
      <c r="A243" s="3">
        <v>40148</v>
      </c>
      <c r="B243" s="4">
        <v>2281616793.4599996</v>
      </c>
      <c r="C243" s="4">
        <v>1032317641.05</v>
      </c>
      <c r="D243" s="4">
        <v>1249299152.4099996</v>
      </c>
    </row>
    <row r="244" spans="1:4" ht="15.75" thickBot="1" x14ac:dyDescent="0.25">
      <c r="A244" s="1" t="s">
        <v>153</v>
      </c>
      <c r="B244" s="5">
        <v>21803569175.549995</v>
      </c>
      <c r="C244" s="5">
        <v>9950623357.3699989</v>
      </c>
      <c r="D244" s="5">
        <v>11852945818.18</v>
      </c>
    </row>
    <row r="245" spans="1:4" ht="15.75" thickTop="1" x14ac:dyDescent="0.2">
      <c r="B245" s="4"/>
      <c r="C245" s="4"/>
      <c r="D245" s="4"/>
    </row>
    <row r="246" spans="1:4" x14ac:dyDescent="0.2">
      <c r="A246" s="3">
        <v>39448</v>
      </c>
      <c r="B246" s="4">
        <v>1853495830.45</v>
      </c>
      <c r="C246" s="4">
        <v>850129894.13999999</v>
      </c>
      <c r="D246" s="4">
        <v>1003365936.3100001</v>
      </c>
    </row>
    <row r="247" spans="1:4" x14ac:dyDescent="0.2">
      <c r="A247" s="3">
        <v>39479</v>
      </c>
      <c r="B247" s="4">
        <v>1598551537.9399998</v>
      </c>
      <c r="C247" s="4">
        <v>733674397.16999996</v>
      </c>
      <c r="D247" s="4">
        <v>864877140.76999986</v>
      </c>
    </row>
    <row r="248" spans="1:4" x14ac:dyDescent="0.2">
      <c r="A248" s="3">
        <v>39508</v>
      </c>
      <c r="B248" s="4">
        <v>2243976603.46</v>
      </c>
      <c r="C248" s="4">
        <v>993777042.46000004</v>
      </c>
      <c r="D248" s="4">
        <v>1250199561</v>
      </c>
    </row>
    <row r="249" spans="1:4" x14ac:dyDescent="0.2">
      <c r="A249" s="3">
        <v>39539</v>
      </c>
      <c r="B249" s="4">
        <v>1703999788.8399999</v>
      </c>
      <c r="C249" s="4">
        <v>778558522.22000003</v>
      </c>
      <c r="D249" s="4">
        <v>925441266.61999989</v>
      </c>
    </row>
    <row r="250" spans="1:4" x14ac:dyDescent="0.2">
      <c r="A250" s="3">
        <v>39569</v>
      </c>
      <c r="B250" s="4">
        <v>1730054397.6200001</v>
      </c>
      <c r="C250" s="4">
        <v>793110727.95000005</v>
      </c>
      <c r="D250" s="4">
        <v>936943669.67000008</v>
      </c>
    </row>
    <row r="251" spans="1:4" x14ac:dyDescent="0.2">
      <c r="A251" s="3">
        <v>39600</v>
      </c>
      <c r="B251" s="4">
        <v>2428867851.73</v>
      </c>
      <c r="C251" s="4">
        <v>1096374105.96</v>
      </c>
      <c r="D251" s="4">
        <v>1332493745.77</v>
      </c>
    </row>
    <row r="252" spans="1:4" x14ac:dyDescent="0.2">
      <c r="A252" s="3">
        <v>39630</v>
      </c>
      <c r="B252" s="4">
        <v>1805238660.1599998</v>
      </c>
      <c r="C252" s="4">
        <v>832057917.13</v>
      </c>
      <c r="D252" s="4">
        <v>973180743.02999985</v>
      </c>
    </row>
    <row r="253" spans="1:4" x14ac:dyDescent="0.2">
      <c r="A253" s="3">
        <v>39661</v>
      </c>
      <c r="B253" s="4">
        <v>1804077006.6100001</v>
      </c>
      <c r="C253" s="4">
        <v>832835649.94000006</v>
      </c>
      <c r="D253" s="4">
        <v>971241356.66999996</v>
      </c>
    </row>
    <row r="254" spans="1:4" x14ac:dyDescent="0.2">
      <c r="A254" s="3">
        <v>39692</v>
      </c>
      <c r="B254" s="4">
        <v>2463284683.4099998</v>
      </c>
      <c r="C254" s="4">
        <v>1108567699.79</v>
      </c>
      <c r="D254" s="4">
        <v>1354716983.6199996</v>
      </c>
    </row>
    <row r="255" spans="1:4" x14ac:dyDescent="0.2">
      <c r="A255" s="3">
        <v>39722</v>
      </c>
      <c r="B255" s="4">
        <v>1697113751.0299997</v>
      </c>
      <c r="C255" s="4">
        <v>781129084.37</v>
      </c>
      <c r="D255" s="4">
        <v>915984666.65999985</v>
      </c>
    </row>
    <row r="256" spans="1:4" x14ac:dyDescent="0.2">
      <c r="A256" s="3">
        <v>39753</v>
      </c>
      <c r="B256" s="4">
        <v>1657056303.9899998</v>
      </c>
      <c r="C256" s="4">
        <v>764179102.52999997</v>
      </c>
      <c r="D256" s="4">
        <v>892877201.4599998</v>
      </c>
    </row>
    <row r="257" spans="1:4" x14ac:dyDescent="0.2">
      <c r="A257" s="3">
        <v>39783</v>
      </c>
      <c r="B257" s="4">
        <v>2170774367.7899995</v>
      </c>
      <c r="C257" s="4">
        <v>978618304.39999998</v>
      </c>
      <c r="D257" s="4">
        <v>1192156063.3899996</v>
      </c>
    </row>
    <row r="258" spans="1:4" ht="15.75" thickBot="1" x14ac:dyDescent="0.25">
      <c r="A258" s="1" t="s">
        <v>151</v>
      </c>
      <c r="B258" s="5">
        <v>23156490783.029999</v>
      </c>
      <c r="C258" s="5">
        <v>10543012448.059999</v>
      </c>
      <c r="D258" s="5">
        <v>12613478334.969997</v>
      </c>
    </row>
    <row r="259" spans="1:4" ht="15.75" thickTop="1" x14ac:dyDescent="0.2">
      <c r="B259" s="4"/>
      <c r="C259" s="4"/>
      <c r="D259" s="4"/>
    </row>
    <row r="260" spans="1:4" x14ac:dyDescent="0.2">
      <c r="A260" s="3">
        <v>39083</v>
      </c>
      <c r="B260" s="4">
        <v>1776943360.4000001</v>
      </c>
      <c r="C260" s="4">
        <v>788101119.88999999</v>
      </c>
      <c r="D260" s="4">
        <v>988842240.50999999</v>
      </c>
    </row>
    <row r="261" spans="1:4" x14ac:dyDescent="0.2">
      <c r="A261" s="3">
        <v>39114</v>
      </c>
      <c r="B261" s="4">
        <v>1492356882.3499999</v>
      </c>
      <c r="C261" s="4">
        <v>662836909.96000004</v>
      </c>
      <c r="D261" s="4">
        <v>829519972.38999987</v>
      </c>
    </row>
    <row r="262" spans="1:4" x14ac:dyDescent="0.2">
      <c r="A262" s="3">
        <v>39142</v>
      </c>
      <c r="B262" s="4">
        <v>2120610626.8599997</v>
      </c>
      <c r="C262" s="4">
        <v>1021313828.0700001</v>
      </c>
      <c r="D262" s="4">
        <v>1099296798.7899997</v>
      </c>
    </row>
    <row r="263" spans="1:4" x14ac:dyDescent="0.2">
      <c r="A263" s="3">
        <v>39173</v>
      </c>
      <c r="B263" s="4">
        <v>1671221679.3100002</v>
      </c>
      <c r="C263" s="4">
        <v>761055778.11000001</v>
      </c>
      <c r="D263" s="4">
        <v>910165901.20000017</v>
      </c>
    </row>
    <row r="264" spans="1:4" x14ac:dyDescent="0.2">
      <c r="A264" s="3">
        <v>39203</v>
      </c>
      <c r="B264" s="4">
        <v>1667925056.8499999</v>
      </c>
      <c r="C264" s="4">
        <v>759320835.16999996</v>
      </c>
      <c r="D264" s="4">
        <v>908604221.68000007</v>
      </c>
    </row>
    <row r="265" spans="1:4" x14ac:dyDescent="0.2">
      <c r="A265" s="3">
        <v>39234</v>
      </c>
      <c r="B265" s="4">
        <v>2406120562.8599997</v>
      </c>
      <c r="C265" s="4">
        <v>1111721431.8800001</v>
      </c>
      <c r="D265" s="4">
        <v>1294399130.9799998</v>
      </c>
    </row>
    <row r="266" spans="1:4" x14ac:dyDescent="0.2">
      <c r="A266" s="3">
        <v>39264</v>
      </c>
      <c r="B266" s="4">
        <v>1758761422.6299999</v>
      </c>
      <c r="C266" s="4">
        <v>811019423.75</v>
      </c>
      <c r="D266" s="4">
        <v>947741998.87999988</v>
      </c>
    </row>
    <row r="267" spans="1:4" x14ac:dyDescent="0.2">
      <c r="A267" s="3">
        <v>39295</v>
      </c>
      <c r="B267" s="4">
        <v>1706276772.5599999</v>
      </c>
      <c r="C267" s="4">
        <v>784263242.42999995</v>
      </c>
      <c r="D267" s="4">
        <v>922013530.12999988</v>
      </c>
    </row>
    <row r="268" spans="1:4" x14ac:dyDescent="0.2">
      <c r="A268" s="3">
        <v>39326</v>
      </c>
      <c r="B268" s="4">
        <v>2401275097.8099999</v>
      </c>
      <c r="C268" s="4">
        <v>1107228824.8199999</v>
      </c>
      <c r="D268" s="4">
        <v>1294046272.99</v>
      </c>
    </row>
    <row r="269" spans="1:4" x14ac:dyDescent="0.2">
      <c r="A269" s="3">
        <v>39356</v>
      </c>
      <c r="B269" s="4">
        <v>1660665568.9899998</v>
      </c>
      <c r="C269" s="4">
        <v>768410543.30999994</v>
      </c>
      <c r="D269" s="4">
        <v>892255025.67999983</v>
      </c>
    </row>
    <row r="270" spans="1:4" x14ac:dyDescent="0.2">
      <c r="A270" s="3">
        <v>39387</v>
      </c>
      <c r="B270" s="4">
        <v>1768061994.0799999</v>
      </c>
      <c r="C270" s="4">
        <v>821822498.80999994</v>
      </c>
      <c r="D270" s="4">
        <v>946239495.26999998</v>
      </c>
    </row>
    <row r="271" spans="1:4" x14ac:dyDescent="0.2">
      <c r="A271" s="3">
        <v>39417</v>
      </c>
      <c r="B271" s="4">
        <v>2437677774.0100002</v>
      </c>
      <c r="C271" s="4">
        <v>1101243310.9300001</v>
      </c>
      <c r="D271" s="4">
        <v>1336434463.0800002</v>
      </c>
    </row>
    <row r="272" spans="1:4" ht="15.75" thickBot="1" x14ac:dyDescent="0.25">
      <c r="A272" s="1" t="s">
        <v>150</v>
      </c>
      <c r="B272" s="5">
        <v>22867896798.709999</v>
      </c>
      <c r="C272" s="5">
        <v>10498337747.129999</v>
      </c>
      <c r="D272" s="5">
        <v>12369559051.58</v>
      </c>
    </row>
    <row r="273" spans="1:4" ht="15.75" thickTop="1" x14ac:dyDescent="0.2">
      <c r="B273" s="4"/>
      <c r="C273" s="4"/>
      <c r="D273" s="4"/>
    </row>
    <row r="274" spans="1:4" x14ac:dyDescent="0.2">
      <c r="A274" s="3">
        <v>38718</v>
      </c>
      <c r="B274" s="4">
        <v>1883191922.23</v>
      </c>
      <c r="C274" s="4">
        <v>891951035.40999997</v>
      </c>
      <c r="D274" s="4">
        <v>991240886.81999993</v>
      </c>
    </row>
    <row r="275" spans="1:4" x14ac:dyDescent="0.2">
      <c r="A275" s="3">
        <v>38749</v>
      </c>
      <c r="B275" s="4">
        <v>1466748284.1100001</v>
      </c>
      <c r="C275" s="4">
        <v>694903427.82000005</v>
      </c>
      <c r="D275" s="4">
        <v>771844856.28999996</v>
      </c>
    </row>
    <row r="276" spans="1:4" x14ac:dyDescent="0.2">
      <c r="A276" s="3">
        <v>38777</v>
      </c>
      <c r="B276" s="4">
        <v>2160487107.5500002</v>
      </c>
      <c r="C276" s="4">
        <v>1007315094.83</v>
      </c>
      <c r="D276" s="4">
        <v>1153172012.7200003</v>
      </c>
    </row>
    <row r="277" spans="1:4" x14ac:dyDescent="0.2">
      <c r="A277" s="3">
        <v>38808</v>
      </c>
      <c r="B277" s="4">
        <v>1615743941.5300002</v>
      </c>
      <c r="C277" s="4">
        <v>741127822.38999999</v>
      </c>
      <c r="D277" s="4">
        <v>874616119.14000022</v>
      </c>
    </row>
    <row r="278" spans="1:4" x14ac:dyDescent="0.2">
      <c r="A278" s="3">
        <v>38838</v>
      </c>
      <c r="B278" s="4">
        <v>1571174269.9100001</v>
      </c>
      <c r="C278" s="4">
        <v>727435089.61000001</v>
      </c>
      <c r="D278" s="4">
        <v>843739180.30000007</v>
      </c>
    </row>
    <row r="279" spans="1:4" x14ac:dyDescent="0.2">
      <c r="A279" s="3">
        <v>38869</v>
      </c>
      <c r="B279" s="4">
        <v>2247609251.3500004</v>
      </c>
      <c r="C279" s="4">
        <v>1067177327.5</v>
      </c>
      <c r="D279" s="4">
        <v>1180431923.8500001</v>
      </c>
    </row>
    <row r="280" spans="1:4" x14ac:dyDescent="0.2">
      <c r="A280" s="3">
        <v>38899</v>
      </c>
      <c r="B280" s="4">
        <v>1677715556</v>
      </c>
      <c r="C280" s="4">
        <v>768137975.97000003</v>
      </c>
      <c r="D280" s="4">
        <v>909577580.03000009</v>
      </c>
    </row>
    <row r="281" spans="1:4" x14ac:dyDescent="0.2">
      <c r="A281" s="3">
        <v>38930</v>
      </c>
      <c r="B281" s="4">
        <v>1600465821.8099999</v>
      </c>
      <c r="C281" s="4">
        <v>737704510.23000002</v>
      </c>
      <c r="D281" s="4">
        <v>862761311.57999992</v>
      </c>
    </row>
    <row r="282" spans="1:4" x14ac:dyDescent="0.2">
      <c r="A282" s="3">
        <v>38961</v>
      </c>
      <c r="B282" s="4">
        <v>2311939963.4200001</v>
      </c>
      <c r="C282" s="4">
        <v>1091550405.3099999</v>
      </c>
      <c r="D282" s="4">
        <v>1220389558.1099999</v>
      </c>
    </row>
    <row r="283" spans="1:4" x14ac:dyDescent="0.2">
      <c r="A283" s="3">
        <v>38991</v>
      </c>
      <c r="B283" s="4">
        <v>1672599289.54</v>
      </c>
      <c r="C283" s="4">
        <v>750745118.57000005</v>
      </c>
      <c r="D283" s="4">
        <v>921854170.97000003</v>
      </c>
    </row>
    <row r="284" spans="1:4" x14ac:dyDescent="0.2">
      <c r="A284" s="3">
        <v>39022</v>
      </c>
      <c r="B284" s="4">
        <v>1632432786.9900002</v>
      </c>
      <c r="C284" s="4">
        <v>737050502.73000002</v>
      </c>
      <c r="D284" s="4">
        <v>895382284.26000011</v>
      </c>
    </row>
    <row r="285" spans="1:4" x14ac:dyDescent="0.2">
      <c r="A285" s="3">
        <v>39052</v>
      </c>
      <c r="B285" s="4">
        <v>2378047338.3799996</v>
      </c>
      <c r="C285" s="4">
        <v>1135483826.28</v>
      </c>
      <c r="D285" s="4">
        <v>1242563512.0999997</v>
      </c>
    </row>
    <row r="286" spans="1:4" ht="15.75" thickBot="1" x14ac:dyDescent="0.25">
      <c r="A286" s="1" t="s">
        <v>149</v>
      </c>
      <c r="B286" s="5">
        <v>22218155532.820004</v>
      </c>
      <c r="C286" s="5">
        <v>10350582136.65</v>
      </c>
      <c r="D286" s="5">
        <v>11867573396.17</v>
      </c>
    </row>
    <row r="287" spans="1:4" ht="15.75" thickTop="1" x14ac:dyDescent="0.2">
      <c r="B287" s="4"/>
      <c r="C287" s="4"/>
      <c r="D287" s="4"/>
    </row>
    <row r="288" spans="1:4" x14ac:dyDescent="0.2">
      <c r="A288" s="3">
        <v>38356</v>
      </c>
      <c r="B288" s="4">
        <v>1749976281.3600001</v>
      </c>
      <c r="C288" s="4">
        <v>848678159.48000002</v>
      </c>
      <c r="D288" s="4">
        <v>901298121.88</v>
      </c>
    </row>
    <row r="289" spans="1:4" x14ac:dyDescent="0.2">
      <c r="A289" s="3">
        <v>38387</v>
      </c>
      <c r="B289" s="4">
        <v>1363478955.45</v>
      </c>
      <c r="C289" s="4">
        <v>662754353.74000001</v>
      </c>
      <c r="D289" s="4">
        <v>700724601.71000004</v>
      </c>
    </row>
    <row r="290" spans="1:4" x14ac:dyDescent="0.2">
      <c r="A290" s="3">
        <v>38415</v>
      </c>
      <c r="B290" s="4">
        <v>2145126138.72</v>
      </c>
      <c r="C290" s="4">
        <v>1060537207.23</v>
      </c>
      <c r="D290" s="4">
        <v>1084588931.49</v>
      </c>
    </row>
    <row r="291" spans="1:4" x14ac:dyDescent="0.2">
      <c r="A291" s="3">
        <v>38446</v>
      </c>
      <c r="B291" s="4">
        <v>1618819226.5499997</v>
      </c>
      <c r="C291" s="4">
        <v>793911066.36000001</v>
      </c>
      <c r="D291" s="4">
        <v>824908160.1899997</v>
      </c>
    </row>
    <row r="292" spans="1:4" x14ac:dyDescent="0.2">
      <c r="A292" s="3">
        <v>38476</v>
      </c>
      <c r="B292" s="4">
        <v>1640804960</v>
      </c>
      <c r="C292" s="4">
        <v>804450155.97000003</v>
      </c>
      <c r="D292" s="4">
        <v>836354804.02999997</v>
      </c>
    </row>
    <row r="293" spans="1:4" x14ac:dyDescent="0.2">
      <c r="A293" s="3">
        <v>38507</v>
      </c>
      <c r="B293" s="4">
        <v>2319271399.9000006</v>
      </c>
      <c r="C293" s="4">
        <v>1127000041.3199999</v>
      </c>
      <c r="D293" s="4">
        <v>1192271358.5800004</v>
      </c>
    </row>
    <row r="294" spans="1:4" x14ac:dyDescent="0.2">
      <c r="A294" s="3">
        <v>38537</v>
      </c>
      <c r="B294" s="4">
        <v>1731305162.7000003</v>
      </c>
      <c r="C294" s="4">
        <v>821984006.82000005</v>
      </c>
      <c r="D294" s="4">
        <v>909321155.88000035</v>
      </c>
    </row>
    <row r="295" spans="1:4" x14ac:dyDescent="0.2">
      <c r="A295" s="3">
        <v>38568</v>
      </c>
      <c r="B295" s="4">
        <v>1602292005.6000004</v>
      </c>
      <c r="C295" s="4">
        <v>767217288.82000005</v>
      </c>
      <c r="D295" s="4">
        <v>835074716.78000033</v>
      </c>
    </row>
    <row r="296" spans="1:4" x14ac:dyDescent="0.2">
      <c r="A296" s="3">
        <v>38599</v>
      </c>
      <c r="B296" s="4">
        <v>2376899629.8999996</v>
      </c>
      <c r="C296" s="4">
        <v>1140508558.0899999</v>
      </c>
      <c r="D296" s="4">
        <v>1236391071.8099997</v>
      </c>
    </row>
    <row r="297" spans="1:4" x14ac:dyDescent="0.2">
      <c r="A297" s="3">
        <v>38629</v>
      </c>
      <c r="B297" s="4">
        <v>1591121100.8499999</v>
      </c>
      <c r="C297" s="4">
        <v>766505416.01999998</v>
      </c>
      <c r="D297" s="4">
        <v>824615684.82999992</v>
      </c>
    </row>
    <row r="298" spans="1:4" x14ac:dyDescent="0.2">
      <c r="A298" s="3">
        <v>38660</v>
      </c>
      <c r="B298" s="4">
        <v>1605137865.9199998</v>
      </c>
      <c r="C298" s="4">
        <v>770770948.28999996</v>
      </c>
      <c r="D298" s="4">
        <v>834366917.62999988</v>
      </c>
    </row>
    <row r="299" spans="1:4" x14ac:dyDescent="0.2">
      <c r="A299" s="3">
        <v>38690</v>
      </c>
      <c r="B299" s="4">
        <v>2305717735.0599999</v>
      </c>
      <c r="C299" s="4">
        <v>1090952314.8199999</v>
      </c>
      <c r="D299" s="4">
        <v>1214765420.24</v>
      </c>
    </row>
    <row r="300" spans="1:4" ht="15.75" thickBot="1" x14ac:dyDescent="0.25">
      <c r="A300" s="1" t="s">
        <v>147</v>
      </c>
      <c r="B300" s="5">
        <v>22049950462.009998</v>
      </c>
      <c r="C300" s="5">
        <v>10655269516.959999</v>
      </c>
      <c r="D300" s="5">
        <v>11394680945.049999</v>
      </c>
    </row>
    <row r="301" spans="1:4" ht="15.75" thickTop="1" x14ac:dyDescent="0.2">
      <c r="B301" s="4"/>
      <c r="C301" s="4"/>
      <c r="D301" s="4"/>
    </row>
    <row r="302" spans="1:4" x14ac:dyDescent="0.2">
      <c r="A302" s="3">
        <v>37990</v>
      </c>
      <c r="B302" s="4">
        <v>1587670535.5700002</v>
      </c>
      <c r="C302" s="4">
        <v>768336220.08000004</v>
      </c>
      <c r="D302" s="4">
        <v>819334315.49000025</v>
      </c>
    </row>
    <row r="303" spans="1:4" x14ac:dyDescent="0.2">
      <c r="A303" s="3">
        <v>38021</v>
      </c>
      <c r="B303" s="4">
        <v>1306676169.0599999</v>
      </c>
      <c r="C303" s="4">
        <v>634017007.17999995</v>
      </c>
      <c r="D303" s="4">
        <v>672659161.87999988</v>
      </c>
    </row>
    <row r="304" spans="1:4" x14ac:dyDescent="0.2">
      <c r="A304" s="3">
        <v>38050</v>
      </c>
      <c r="B304" s="4">
        <v>2032640091.5999999</v>
      </c>
      <c r="C304" s="4">
        <v>1042990280.1900001</v>
      </c>
      <c r="D304" s="4">
        <v>989649811.40999997</v>
      </c>
    </row>
    <row r="305" spans="1:4" x14ac:dyDescent="0.2">
      <c r="A305" s="3">
        <v>38081</v>
      </c>
      <c r="B305" s="4">
        <v>1532178267.8800001</v>
      </c>
      <c r="C305" s="4">
        <v>747748209.69000006</v>
      </c>
      <c r="D305" s="4">
        <v>784430058.19000006</v>
      </c>
    </row>
    <row r="306" spans="1:4" x14ac:dyDescent="0.2">
      <c r="A306" s="3">
        <v>38111</v>
      </c>
      <c r="B306" s="4">
        <v>1542054541.52</v>
      </c>
      <c r="C306" s="4">
        <v>753518574.16999996</v>
      </c>
      <c r="D306" s="4">
        <v>788535967.3499999</v>
      </c>
    </row>
    <row r="307" spans="1:4" x14ac:dyDescent="0.2">
      <c r="A307" s="3">
        <v>38142</v>
      </c>
      <c r="B307" s="4">
        <v>2227253000.7799997</v>
      </c>
      <c r="C307" s="4">
        <v>1142028651.5799999</v>
      </c>
      <c r="D307" s="4">
        <v>1085224349.1999998</v>
      </c>
    </row>
    <row r="308" spans="1:4" x14ac:dyDescent="0.2">
      <c r="A308" s="3">
        <v>38172</v>
      </c>
      <c r="B308" s="4">
        <v>1642633366.9300001</v>
      </c>
      <c r="C308" s="4">
        <v>814082099.98000002</v>
      </c>
      <c r="D308" s="4">
        <v>828551266.95000005</v>
      </c>
    </row>
    <row r="309" spans="1:4" x14ac:dyDescent="0.2">
      <c r="A309" s="3">
        <v>38203</v>
      </c>
      <c r="B309" s="4">
        <v>1566954182.5</v>
      </c>
      <c r="C309" s="4">
        <v>780028093.60000002</v>
      </c>
      <c r="D309" s="4">
        <v>786926088.9000001</v>
      </c>
    </row>
    <row r="310" spans="1:4" x14ac:dyDescent="0.2">
      <c r="A310" s="3">
        <v>38234</v>
      </c>
      <c r="B310" s="4">
        <v>2213726799.5999999</v>
      </c>
      <c r="C310" s="4">
        <v>1110409381.0799999</v>
      </c>
      <c r="D310" s="4">
        <v>1103317418.52</v>
      </c>
    </row>
    <row r="311" spans="1:4" x14ac:dyDescent="0.2">
      <c r="A311" s="3">
        <v>38264</v>
      </c>
      <c r="B311" s="4">
        <v>1560645658.75</v>
      </c>
      <c r="C311" s="4">
        <v>769945481.94000006</v>
      </c>
      <c r="D311" s="4">
        <v>790700176.80999994</v>
      </c>
    </row>
    <row r="312" spans="1:4" x14ac:dyDescent="0.2">
      <c r="A312" s="3">
        <v>38295</v>
      </c>
      <c r="B312" s="4">
        <v>1557858440.71</v>
      </c>
      <c r="C312" s="4">
        <v>768839892.22000003</v>
      </c>
      <c r="D312" s="4">
        <v>789018548.49000013</v>
      </c>
    </row>
    <row r="313" spans="1:4" x14ac:dyDescent="0.2">
      <c r="A313" s="3">
        <v>38325</v>
      </c>
      <c r="B313" s="4">
        <v>2311275300.8199997</v>
      </c>
      <c r="C313" s="4">
        <v>1157405839.98</v>
      </c>
      <c r="D313" s="4">
        <v>1153869460.8399999</v>
      </c>
    </row>
    <row r="314" spans="1:4" ht="15.75" thickBot="1" x14ac:dyDescent="0.25">
      <c r="A314" s="1" t="s">
        <v>145</v>
      </c>
      <c r="B314" s="5">
        <v>21081566355.720001</v>
      </c>
      <c r="C314" s="5">
        <v>10489349731.689999</v>
      </c>
      <c r="D314" s="5">
        <v>10592216624.030001</v>
      </c>
    </row>
    <row r="315" spans="1:4" ht="15.75" thickTop="1" x14ac:dyDescent="0.2">
      <c r="B315" s="4"/>
      <c r="C315" s="4"/>
      <c r="D315" s="4"/>
    </row>
    <row r="316" spans="1:4" x14ac:dyDescent="0.2">
      <c r="A316" s="3">
        <v>37622</v>
      </c>
      <c r="B316" s="4">
        <v>1421936282.3699999</v>
      </c>
      <c r="C316" s="4">
        <v>678988402.67999995</v>
      </c>
      <c r="D316" s="4">
        <v>742947879.68999994</v>
      </c>
    </row>
    <row r="317" spans="1:4" x14ac:dyDescent="0.2">
      <c r="A317" s="3">
        <v>37653</v>
      </c>
      <c r="B317" s="4">
        <v>1141760793.8200002</v>
      </c>
      <c r="C317" s="4">
        <v>541985649.37</v>
      </c>
      <c r="D317" s="4">
        <v>599775144.45000017</v>
      </c>
    </row>
    <row r="318" spans="1:4" x14ac:dyDescent="0.2">
      <c r="A318" s="3">
        <v>37681</v>
      </c>
      <c r="B318" s="4">
        <v>1788869697.23</v>
      </c>
      <c r="C318" s="4">
        <v>857307494.19000006</v>
      </c>
      <c r="D318" s="4">
        <v>931562203.03999996</v>
      </c>
    </row>
    <row r="319" spans="1:4" x14ac:dyDescent="0.2">
      <c r="A319" s="3">
        <v>37712</v>
      </c>
      <c r="B319" s="4">
        <v>1281353412.0799999</v>
      </c>
      <c r="C319" s="4">
        <v>613712817.79999995</v>
      </c>
      <c r="D319" s="4">
        <v>667640594.27999997</v>
      </c>
    </row>
    <row r="320" spans="1:4" x14ac:dyDescent="0.2">
      <c r="A320" s="3">
        <v>37742</v>
      </c>
      <c r="B320" s="4">
        <v>1299301243.6599998</v>
      </c>
      <c r="C320" s="4">
        <v>617426008.37</v>
      </c>
      <c r="D320" s="4">
        <v>681875235.28999996</v>
      </c>
    </row>
    <row r="321" spans="1:4" x14ac:dyDescent="0.2">
      <c r="A321" s="3">
        <v>37773</v>
      </c>
      <c r="B321" s="4">
        <v>1922770096.05</v>
      </c>
      <c r="C321" s="4">
        <v>937687461.29999995</v>
      </c>
      <c r="D321" s="4">
        <v>985082634.75</v>
      </c>
    </row>
    <row r="322" spans="1:4" x14ac:dyDescent="0.2">
      <c r="A322" s="3">
        <v>37803</v>
      </c>
      <c r="B322" s="4">
        <v>1472118899.9299998</v>
      </c>
      <c r="C322" s="4">
        <v>716548460.87</v>
      </c>
      <c r="D322" s="4">
        <v>755570439.05999994</v>
      </c>
    </row>
    <row r="323" spans="1:4" x14ac:dyDescent="0.2">
      <c r="A323" s="3">
        <v>37834</v>
      </c>
      <c r="B323" s="4">
        <v>1480937182.8200002</v>
      </c>
      <c r="C323" s="4">
        <v>729559314.38</v>
      </c>
      <c r="D323" s="4">
        <v>751377868.44000006</v>
      </c>
    </row>
    <row r="324" spans="1:4" x14ac:dyDescent="0.2">
      <c r="A324" s="3">
        <v>37865</v>
      </c>
      <c r="B324" s="4">
        <v>2103844213.9500003</v>
      </c>
      <c r="C324" s="4">
        <v>1090079159.4200001</v>
      </c>
      <c r="D324" s="4">
        <v>1013765054.5300002</v>
      </c>
    </row>
    <row r="325" spans="1:4" x14ac:dyDescent="0.2">
      <c r="A325" s="3">
        <v>37895</v>
      </c>
      <c r="B325" s="4">
        <v>1480668514.5</v>
      </c>
      <c r="C325" s="4">
        <v>733367442.10000002</v>
      </c>
      <c r="D325" s="4">
        <v>747301072.4000001</v>
      </c>
    </row>
    <row r="326" spans="1:4" x14ac:dyDescent="0.2">
      <c r="A326" s="3">
        <v>37926</v>
      </c>
      <c r="B326" s="4">
        <v>1443713838.6400001</v>
      </c>
      <c r="C326" s="4">
        <v>712706136.34000003</v>
      </c>
      <c r="D326" s="4">
        <v>731007702.30000007</v>
      </c>
    </row>
    <row r="327" spans="1:4" x14ac:dyDescent="0.2">
      <c r="A327" s="3">
        <v>37956</v>
      </c>
      <c r="B327" s="4">
        <v>2158576645.5799999</v>
      </c>
      <c r="C327" s="4">
        <v>1092775049.8299999</v>
      </c>
      <c r="D327" s="4">
        <v>1065801595.75</v>
      </c>
    </row>
    <row r="328" spans="1:4" ht="15.75" thickBot="1" x14ac:dyDescent="0.25">
      <c r="A328" s="1" t="s">
        <v>143</v>
      </c>
      <c r="B328" s="5">
        <v>18995850820.629997</v>
      </c>
      <c r="C328" s="5">
        <v>9322143396.6500015</v>
      </c>
      <c r="D328" s="5">
        <v>9673707423.9799995</v>
      </c>
    </row>
    <row r="329" spans="1:4" ht="15.75" thickTop="1" x14ac:dyDescent="0.2">
      <c r="B329" s="4"/>
      <c r="C329" s="4"/>
      <c r="D329" s="4"/>
    </row>
    <row r="330" spans="1:4" x14ac:dyDescent="0.2">
      <c r="A330" s="3">
        <v>37257</v>
      </c>
      <c r="B330" s="4">
        <v>1511967779.0999999</v>
      </c>
      <c r="C330" s="4">
        <v>715283938.85000002</v>
      </c>
      <c r="D330" s="4">
        <v>796683840.24999988</v>
      </c>
    </row>
    <row r="331" spans="1:4" x14ac:dyDescent="0.2">
      <c r="A331" s="3">
        <v>37288</v>
      </c>
      <c r="B331" s="4">
        <v>1086365508.6400001</v>
      </c>
      <c r="C331" s="4">
        <v>516535568.87</v>
      </c>
      <c r="D331" s="4">
        <v>569829939.7700001</v>
      </c>
    </row>
    <row r="332" spans="1:4" x14ac:dyDescent="0.2">
      <c r="A332" s="3">
        <v>37316</v>
      </c>
      <c r="B332" s="4">
        <v>1707080447.0399997</v>
      </c>
      <c r="C332" s="4">
        <v>847908862.90999997</v>
      </c>
      <c r="D332" s="4">
        <v>859171584.12999976</v>
      </c>
    </row>
    <row r="333" spans="1:4" x14ac:dyDescent="0.2">
      <c r="A333" s="3">
        <v>37347</v>
      </c>
      <c r="B333" s="4">
        <v>1280542639.5800002</v>
      </c>
      <c r="C333" s="4">
        <v>613429874.98000002</v>
      </c>
      <c r="D333" s="4">
        <v>667112764.60000014</v>
      </c>
    </row>
    <row r="334" spans="1:4" x14ac:dyDescent="0.2">
      <c r="A334" s="3">
        <v>37377</v>
      </c>
      <c r="B334" s="4">
        <v>1225342556.5099998</v>
      </c>
      <c r="C334" s="4">
        <v>588915624.5</v>
      </c>
      <c r="D334" s="4">
        <v>636426932.00999975</v>
      </c>
    </row>
    <row r="335" spans="1:4" x14ac:dyDescent="0.2">
      <c r="A335" s="3">
        <v>37408</v>
      </c>
      <c r="B335" s="4">
        <v>1708033429.23</v>
      </c>
      <c r="C335" s="4">
        <v>828048425.02999997</v>
      </c>
      <c r="D335" s="4">
        <v>879985004.19999993</v>
      </c>
    </row>
    <row r="336" spans="1:4" x14ac:dyDescent="0.2">
      <c r="A336" s="3">
        <v>37438</v>
      </c>
      <c r="B336" s="4">
        <v>1395272505.6600001</v>
      </c>
      <c r="C336" s="4">
        <v>670501007.62</v>
      </c>
      <c r="D336" s="4">
        <v>724771498.04000008</v>
      </c>
    </row>
    <row r="337" spans="1:4" x14ac:dyDescent="0.2">
      <c r="A337" s="3">
        <v>37469</v>
      </c>
      <c r="B337" s="4">
        <v>1311482726.8</v>
      </c>
      <c r="C337" s="4">
        <v>632216709.86000001</v>
      </c>
      <c r="D337" s="4">
        <v>679266016.93999994</v>
      </c>
    </row>
    <row r="338" spans="1:4" x14ac:dyDescent="0.2">
      <c r="A338" s="3">
        <v>37500</v>
      </c>
      <c r="B338" s="4">
        <v>1967119168.8200002</v>
      </c>
      <c r="C338" s="4">
        <v>969799763.19000006</v>
      </c>
      <c r="D338" s="4">
        <v>997319405.63</v>
      </c>
    </row>
    <row r="339" spans="1:4" x14ac:dyDescent="0.2">
      <c r="A339" s="3">
        <v>37530</v>
      </c>
      <c r="B339" s="4">
        <v>1278851003.73</v>
      </c>
      <c r="C339" s="4">
        <v>619227418.58000004</v>
      </c>
      <c r="D339" s="4">
        <v>659623585.14999986</v>
      </c>
    </row>
    <row r="340" spans="1:4" x14ac:dyDescent="0.2">
      <c r="A340" s="3">
        <v>37561</v>
      </c>
      <c r="B340" s="4">
        <v>1253330795.2400002</v>
      </c>
      <c r="C340" s="4">
        <v>604584478.84000003</v>
      </c>
      <c r="D340" s="4">
        <v>648746316.4000001</v>
      </c>
    </row>
    <row r="341" spans="1:4" x14ac:dyDescent="0.2">
      <c r="A341" s="3">
        <v>37591</v>
      </c>
      <c r="B341" s="4">
        <v>1871477301.8099999</v>
      </c>
      <c r="C341" s="4">
        <v>893789439.38999999</v>
      </c>
      <c r="D341" s="4">
        <v>977687862.41999996</v>
      </c>
    </row>
    <row r="342" spans="1:4" ht="15.75" thickBot="1" x14ac:dyDescent="0.25">
      <c r="A342" s="1" t="s">
        <v>3</v>
      </c>
      <c r="B342" s="5">
        <v>17596865862.159996</v>
      </c>
      <c r="C342" s="5">
        <v>8500241112.6199999</v>
      </c>
      <c r="D342" s="5">
        <v>9096624749.5400028</v>
      </c>
    </row>
    <row r="343" spans="1:4" ht="15.75" thickTop="1" x14ac:dyDescent="0.2">
      <c r="B343" s="4"/>
      <c r="C343" s="4"/>
      <c r="D343" s="4"/>
    </row>
    <row r="344" spans="1:4" x14ac:dyDescent="0.2">
      <c r="A344" s="3">
        <v>36892</v>
      </c>
      <c r="B344" s="4">
        <v>1438169008.45</v>
      </c>
      <c r="C344" s="4">
        <v>698278341.11000001</v>
      </c>
      <c r="D344" s="4">
        <v>739890667.34000003</v>
      </c>
    </row>
    <row r="345" spans="1:4" x14ac:dyDescent="0.2">
      <c r="A345" s="3">
        <v>36923</v>
      </c>
      <c r="B345" s="4">
        <v>1052370368.27</v>
      </c>
      <c r="C345" s="4">
        <v>512627911.05000001</v>
      </c>
      <c r="D345" s="4">
        <v>539742457.22000003</v>
      </c>
    </row>
    <row r="346" spans="1:4" x14ac:dyDescent="0.2">
      <c r="A346" s="3">
        <v>36951</v>
      </c>
      <c r="B346" s="4">
        <v>1841348846.9100001</v>
      </c>
      <c r="C346" s="4">
        <v>852108398.75</v>
      </c>
      <c r="D346" s="4">
        <v>989240448.16000009</v>
      </c>
    </row>
    <row r="347" spans="1:4" x14ac:dyDescent="0.2">
      <c r="A347" s="3">
        <v>36982</v>
      </c>
      <c r="B347" s="4">
        <v>1232420345.9466667</v>
      </c>
      <c r="C347" s="4">
        <v>598036925.27999997</v>
      </c>
      <c r="D347" s="4">
        <v>634383420.66666675</v>
      </c>
    </row>
    <row r="348" spans="1:4" x14ac:dyDescent="0.2">
      <c r="A348" s="3">
        <v>37012</v>
      </c>
      <c r="B348" s="4">
        <v>1246691870.5000002</v>
      </c>
      <c r="C348" s="4">
        <v>604622287.26999998</v>
      </c>
      <c r="D348" s="4">
        <v>642069583.23000026</v>
      </c>
    </row>
    <row r="349" spans="1:4" x14ac:dyDescent="0.2">
      <c r="A349" s="3">
        <v>37043</v>
      </c>
      <c r="B349" s="4">
        <v>1755200721.72</v>
      </c>
      <c r="C349" s="4">
        <v>846941685.19000006</v>
      </c>
      <c r="D349" s="4">
        <v>908259036.52999997</v>
      </c>
    </row>
    <row r="350" spans="1:4" x14ac:dyDescent="0.2">
      <c r="A350" s="3">
        <v>37073</v>
      </c>
      <c r="B350" s="4">
        <v>1393982411.3500004</v>
      </c>
      <c r="C350" s="4">
        <v>675998361.83000004</v>
      </c>
      <c r="D350" s="4">
        <v>717984049.52000022</v>
      </c>
    </row>
    <row r="351" spans="1:4" x14ac:dyDescent="0.2">
      <c r="A351" s="3">
        <v>37104</v>
      </c>
      <c r="B351" s="4">
        <v>1271490618.0799999</v>
      </c>
      <c r="C351" s="4">
        <v>611475497.47000003</v>
      </c>
      <c r="D351" s="4">
        <v>660015120.61000001</v>
      </c>
    </row>
    <row r="352" spans="1:4" x14ac:dyDescent="0.2">
      <c r="A352" s="3">
        <v>37135</v>
      </c>
      <c r="B352" s="4">
        <v>1500443885.9699998</v>
      </c>
      <c r="C352" s="4">
        <v>654619694.08000004</v>
      </c>
      <c r="D352" s="4">
        <v>845824191.88999975</v>
      </c>
    </row>
    <row r="353" spans="1:4" x14ac:dyDescent="0.2">
      <c r="A353" s="3">
        <v>37165</v>
      </c>
      <c r="B353" s="4">
        <v>1341869005.8399999</v>
      </c>
      <c r="C353" s="4">
        <v>727745289.52999997</v>
      </c>
      <c r="D353" s="4">
        <v>614123716.30999994</v>
      </c>
    </row>
    <row r="354" spans="1:4" x14ac:dyDescent="0.2">
      <c r="A354" s="3">
        <v>37196</v>
      </c>
      <c r="B354" s="4">
        <v>1330979965.0899999</v>
      </c>
      <c r="C354" s="4">
        <v>635049949.16999996</v>
      </c>
      <c r="D354" s="4">
        <v>695930015.91999996</v>
      </c>
    </row>
    <row r="355" spans="1:4" x14ac:dyDescent="0.2">
      <c r="A355" s="3">
        <v>37226</v>
      </c>
      <c r="B355" s="4">
        <v>1683541238.0400002</v>
      </c>
      <c r="C355" s="4">
        <v>847236273.19000006</v>
      </c>
      <c r="D355" s="4">
        <v>836304964.85000014</v>
      </c>
    </row>
    <row r="356" spans="1:4" ht="15.75" thickBot="1" x14ac:dyDescent="0.25">
      <c r="A356" s="1" t="s">
        <v>4</v>
      </c>
      <c r="B356" s="5">
        <v>17088508286.166668</v>
      </c>
      <c r="C356" s="5">
        <v>8264740613.9200001</v>
      </c>
      <c r="D356" s="5">
        <v>8823767672.2466679</v>
      </c>
    </row>
    <row r="357" spans="1:4" ht="15.75" thickTop="1" x14ac:dyDescent="0.2">
      <c r="B357" s="4"/>
      <c r="C357" s="4"/>
      <c r="D357" s="4"/>
    </row>
    <row r="358" spans="1:4" x14ac:dyDescent="0.2">
      <c r="A358" s="3">
        <v>36526</v>
      </c>
      <c r="B358" s="4">
        <v>1408418449.23</v>
      </c>
      <c r="C358" s="4">
        <v>686346282.57000005</v>
      </c>
      <c r="D358" s="4">
        <v>722072166.66000009</v>
      </c>
    </row>
    <row r="359" spans="1:4" x14ac:dyDescent="0.2">
      <c r="A359" s="3">
        <v>36557</v>
      </c>
      <c r="B359" s="4">
        <v>1044746110.04</v>
      </c>
      <c r="C359" s="4">
        <v>512197329.31999999</v>
      </c>
      <c r="D359" s="4">
        <v>532548780.72000003</v>
      </c>
    </row>
    <row r="360" spans="1:4" x14ac:dyDescent="0.2">
      <c r="A360" s="3">
        <v>36586</v>
      </c>
      <c r="B360" s="4">
        <v>1728045063.4300001</v>
      </c>
      <c r="C360" s="4">
        <v>859895065.83000004</v>
      </c>
      <c r="D360" s="4">
        <v>868149997.60000002</v>
      </c>
    </row>
    <row r="361" spans="1:4" x14ac:dyDescent="0.2">
      <c r="A361" s="3">
        <v>36617</v>
      </c>
      <c r="B361" s="4">
        <v>1283429227.1500001</v>
      </c>
      <c r="C361" s="4">
        <v>627603526.87</v>
      </c>
      <c r="D361" s="4">
        <v>655825700.28000009</v>
      </c>
    </row>
    <row r="362" spans="1:4" x14ac:dyDescent="0.2">
      <c r="A362" s="3">
        <v>36647</v>
      </c>
      <c r="B362" s="4">
        <v>1149016557.8299999</v>
      </c>
      <c r="C362" s="4">
        <v>564253848.51999998</v>
      </c>
      <c r="D362" s="4">
        <v>584762709.31000006</v>
      </c>
    </row>
    <row r="363" spans="1:4" x14ac:dyDescent="0.2">
      <c r="A363" s="3">
        <v>36678</v>
      </c>
      <c r="B363" s="4">
        <v>1790401885.9099998</v>
      </c>
      <c r="C363" s="4">
        <v>868934027.03999996</v>
      </c>
      <c r="D363" s="4">
        <v>921467858.86999989</v>
      </c>
    </row>
    <row r="364" spans="1:4" x14ac:dyDescent="0.2">
      <c r="A364" s="3">
        <v>36708</v>
      </c>
      <c r="B364" s="4">
        <v>1403469803.8099999</v>
      </c>
      <c r="C364" s="4">
        <v>690707373.5</v>
      </c>
      <c r="D364" s="4">
        <v>712762430.30999994</v>
      </c>
    </row>
    <row r="365" spans="1:4" x14ac:dyDescent="0.2">
      <c r="A365" s="3">
        <v>36739</v>
      </c>
      <c r="B365" s="4">
        <v>1269395110.3599997</v>
      </c>
      <c r="C365" s="4">
        <v>628367415.91999996</v>
      </c>
      <c r="D365" s="4">
        <v>641027694.43999982</v>
      </c>
    </row>
    <row r="366" spans="1:4" x14ac:dyDescent="0.2">
      <c r="A366" s="3">
        <v>36770</v>
      </c>
      <c r="B366" s="4">
        <v>1773006416.7400002</v>
      </c>
      <c r="C366" s="4">
        <v>857360456.13</v>
      </c>
      <c r="D366" s="4">
        <v>915645960.61000013</v>
      </c>
    </row>
    <row r="367" spans="1:4" x14ac:dyDescent="0.2">
      <c r="A367" s="3">
        <v>36800</v>
      </c>
      <c r="B367" s="4">
        <v>1385821533.3400002</v>
      </c>
      <c r="C367" s="4">
        <v>682220619.03999996</v>
      </c>
      <c r="D367" s="4">
        <v>703600914.30000019</v>
      </c>
    </row>
    <row r="368" spans="1:4" x14ac:dyDescent="0.2">
      <c r="A368" s="3">
        <v>36831</v>
      </c>
      <c r="B368" s="4">
        <v>1298157289.8500001</v>
      </c>
      <c r="C368" s="4">
        <v>641734190.09000003</v>
      </c>
      <c r="D368" s="4">
        <v>656423099.76000011</v>
      </c>
    </row>
    <row r="369" spans="1:4" x14ac:dyDescent="0.2">
      <c r="A369" s="3">
        <v>36861</v>
      </c>
      <c r="B369" s="4">
        <v>1747515882.1300001</v>
      </c>
      <c r="C369" s="4">
        <v>823767228.66999996</v>
      </c>
      <c r="D369" s="4">
        <v>923748653.46000016</v>
      </c>
    </row>
    <row r="370" spans="1:4" ht="15.75" thickBot="1" x14ac:dyDescent="0.25">
      <c r="A370" s="1" t="s">
        <v>5</v>
      </c>
      <c r="B370" s="5">
        <v>17281423329.82</v>
      </c>
      <c r="C370" s="5">
        <v>8443387363.5</v>
      </c>
      <c r="D370" s="5">
        <v>8838035966.3199997</v>
      </c>
    </row>
    <row r="371" spans="1:4" ht="15.75" thickTop="1" x14ac:dyDescent="0.2">
      <c r="B371" s="4"/>
      <c r="C371" s="4"/>
      <c r="D371" s="4"/>
    </row>
    <row r="372" spans="1:4" x14ac:dyDescent="0.2">
      <c r="A372" s="3">
        <v>36161</v>
      </c>
      <c r="B372" s="4">
        <v>1228490663.1900001</v>
      </c>
      <c r="C372" s="4">
        <v>600879430.69000006</v>
      </c>
      <c r="D372" s="4">
        <v>627611232.5</v>
      </c>
    </row>
    <row r="373" spans="1:4" x14ac:dyDescent="0.2">
      <c r="A373" s="3">
        <v>36192</v>
      </c>
      <c r="B373" s="4">
        <v>988353050.87</v>
      </c>
      <c r="C373" s="4">
        <v>482218517.75</v>
      </c>
      <c r="D373" s="4">
        <v>506134533.12</v>
      </c>
    </row>
    <row r="374" spans="1:4" x14ac:dyDescent="0.2">
      <c r="A374" s="3">
        <v>36220</v>
      </c>
      <c r="B374" s="4">
        <v>1605602297.2799997</v>
      </c>
      <c r="C374" s="4">
        <v>809952204.98000002</v>
      </c>
      <c r="D374" s="4">
        <v>795650092.29999983</v>
      </c>
    </row>
    <row r="375" spans="1:4" x14ac:dyDescent="0.2">
      <c r="A375" s="3">
        <v>36251</v>
      </c>
      <c r="B375" s="4">
        <v>1179697262.0499997</v>
      </c>
      <c r="C375" s="4">
        <v>580468403.80999994</v>
      </c>
      <c r="D375" s="4">
        <v>599228858.23999977</v>
      </c>
    </row>
    <row r="376" spans="1:4" x14ac:dyDescent="0.2">
      <c r="A376" s="3">
        <v>36281</v>
      </c>
      <c r="B376" s="4">
        <v>1114850951.3000002</v>
      </c>
      <c r="C376" s="4">
        <v>551903371.86000001</v>
      </c>
      <c r="D376" s="4">
        <v>562947579.44000006</v>
      </c>
    </row>
    <row r="377" spans="1:4" x14ac:dyDescent="0.2">
      <c r="A377" s="3">
        <v>36312</v>
      </c>
      <c r="B377" s="4">
        <v>1726912436.2400002</v>
      </c>
      <c r="C377" s="4">
        <v>871000759.62</v>
      </c>
      <c r="D377" s="4">
        <v>855911676.62000024</v>
      </c>
    </row>
    <row r="378" spans="1:4" x14ac:dyDescent="0.2">
      <c r="A378" s="3">
        <v>36342</v>
      </c>
      <c r="B378" s="4">
        <v>1229248577.73</v>
      </c>
      <c r="C378" s="4">
        <v>606759563.94000006</v>
      </c>
      <c r="D378" s="4">
        <v>622489013.79000008</v>
      </c>
    </row>
    <row r="379" spans="1:4" x14ac:dyDescent="0.2">
      <c r="A379" s="3">
        <v>36373</v>
      </c>
      <c r="B379" s="4">
        <v>1175179730.0699999</v>
      </c>
      <c r="C379" s="4">
        <v>579718456.02999997</v>
      </c>
      <c r="D379" s="4">
        <v>595461274.03999996</v>
      </c>
    </row>
    <row r="380" spans="1:4" x14ac:dyDescent="0.2">
      <c r="A380" s="3">
        <v>36404</v>
      </c>
      <c r="B380" s="4">
        <v>1703215251.9500003</v>
      </c>
      <c r="C380" s="4">
        <v>853415791.54999995</v>
      </c>
      <c r="D380" s="4">
        <v>849799460.40000021</v>
      </c>
    </row>
    <row r="381" spans="1:4" x14ac:dyDescent="0.2">
      <c r="A381" s="3">
        <v>36434</v>
      </c>
      <c r="B381" s="4">
        <v>1276529492.6399999</v>
      </c>
      <c r="C381" s="4">
        <v>630866309.33000004</v>
      </c>
      <c r="D381" s="4">
        <v>645663183.30999994</v>
      </c>
    </row>
    <row r="382" spans="1:4" x14ac:dyDescent="0.2">
      <c r="A382" s="3">
        <v>36465</v>
      </c>
      <c r="B382" s="4">
        <v>1206128917.6700001</v>
      </c>
      <c r="C382" s="4">
        <v>597059843.84000003</v>
      </c>
      <c r="D382" s="4">
        <v>609069073.83000004</v>
      </c>
    </row>
    <row r="383" spans="1:4" x14ac:dyDescent="0.2">
      <c r="A383" s="3">
        <v>36495</v>
      </c>
      <c r="B383" s="4">
        <v>1862116810.2499998</v>
      </c>
      <c r="C383" s="4">
        <v>926134472.25</v>
      </c>
      <c r="D383" s="4">
        <v>935982337.99999976</v>
      </c>
    </row>
    <row r="384" spans="1:4" ht="15.75" thickBot="1" x14ac:dyDescent="0.25">
      <c r="A384" s="1" t="s">
        <v>6</v>
      </c>
      <c r="B384" s="5">
        <v>16296325441.24</v>
      </c>
      <c r="C384" s="5">
        <v>8090377125.6499996</v>
      </c>
      <c r="D384" s="5">
        <v>8205948315.5900002</v>
      </c>
    </row>
    <row r="385" spans="1:4" ht="15.75" thickTop="1" x14ac:dyDescent="0.2">
      <c r="B385" s="4"/>
      <c r="C385" s="4"/>
      <c r="D385" s="4"/>
    </row>
    <row r="386" spans="1:4" x14ac:dyDescent="0.2">
      <c r="A386" s="3">
        <v>35796</v>
      </c>
      <c r="B386" s="4">
        <v>1198726457.7600002</v>
      </c>
      <c r="C386" s="4">
        <v>580359598.75999999</v>
      </c>
      <c r="D386" s="4">
        <v>618366859.00000012</v>
      </c>
    </row>
    <row r="387" spans="1:4" x14ac:dyDescent="0.2">
      <c r="A387" s="3">
        <v>35827</v>
      </c>
      <c r="B387" s="4">
        <v>965102207.12999988</v>
      </c>
      <c r="C387" s="4">
        <v>467922182.89999998</v>
      </c>
      <c r="D387" s="4">
        <v>497180024.22999996</v>
      </c>
    </row>
    <row r="388" spans="1:4" x14ac:dyDescent="0.2">
      <c r="A388" s="3">
        <v>35855</v>
      </c>
      <c r="B388" s="4">
        <v>1483387766.8</v>
      </c>
      <c r="C388" s="4">
        <v>744505714.26999998</v>
      </c>
      <c r="D388" s="4">
        <v>738882052.52999997</v>
      </c>
    </row>
    <row r="389" spans="1:4" x14ac:dyDescent="0.2">
      <c r="A389" s="3">
        <v>35886</v>
      </c>
      <c r="B389" s="4">
        <v>1049904909.17</v>
      </c>
      <c r="C389" s="4">
        <v>516132853.99000001</v>
      </c>
      <c r="D389" s="4">
        <v>533772055.17999995</v>
      </c>
    </row>
    <row r="390" spans="1:4" x14ac:dyDescent="0.2">
      <c r="A390" s="3">
        <v>35916</v>
      </c>
      <c r="B390" s="4">
        <v>1076364506.7800002</v>
      </c>
      <c r="C390" s="4">
        <v>527038854.50999999</v>
      </c>
      <c r="D390" s="4">
        <v>549325652.2700001</v>
      </c>
    </row>
    <row r="391" spans="1:4" x14ac:dyDescent="0.2">
      <c r="A391" s="3">
        <v>35947</v>
      </c>
      <c r="B391" s="4">
        <v>1706783199.72</v>
      </c>
      <c r="C391" s="4">
        <v>858834627.63</v>
      </c>
      <c r="D391" s="4">
        <v>847948572.09000003</v>
      </c>
    </row>
    <row r="392" spans="1:4" x14ac:dyDescent="0.2">
      <c r="A392" s="3">
        <v>35977</v>
      </c>
      <c r="B392" s="4">
        <v>1154068246.6799998</v>
      </c>
      <c r="C392" s="4">
        <v>569063117.47000003</v>
      </c>
      <c r="D392" s="4">
        <v>585005129.2099998</v>
      </c>
    </row>
    <row r="393" spans="1:4" x14ac:dyDescent="0.2">
      <c r="A393" s="3">
        <v>36008</v>
      </c>
      <c r="B393" s="4">
        <v>1092267146.79</v>
      </c>
      <c r="C393" s="4">
        <v>542006289.84000003</v>
      </c>
      <c r="D393" s="4">
        <v>550260856.95000005</v>
      </c>
    </row>
    <row r="394" spans="1:4" x14ac:dyDescent="0.2">
      <c r="A394" s="3">
        <v>36039</v>
      </c>
      <c r="B394" s="4">
        <v>1708706187.9099998</v>
      </c>
      <c r="C394" s="4">
        <v>858243380.48000002</v>
      </c>
      <c r="D394" s="4">
        <v>850462807.42999983</v>
      </c>
    </row>
    <row r="395" spans="1:4" x14ac:dyDescent="0.2">
      <c r="A395" s="3">
        <v>36069</v>
      </c>
      <c r="B395" s="4">
        <v>1062867401.9099998</v>
      </c>
      <c r="C395" s="4">
        <v>523545772.05000001</v>
      </c>
      <c r="D395" s="4">
        <v>539321629.8599999</v>
      </c>
    </row>
    <row r="396" spans="1:4" x14ac:dyDescent="0.2">
      <c r="A396" s="3">
        <v>36100</v>
      </c>
      <c r="B396" s="4">
        <v>1098002816.7600002</v>
      </c>
      <c r="C396" s="4">
        <v>541377446.58000004</v>
      </c>
      <c r="D396" s="4">
        <v>556625370.18000007</v>
      </c>
    </row>
    <row r="397" spans="1:4" x14ac:dyDescent="0.2">
      <c r="A397" s="3">
        <v>36130</v>
      </c>
      <c r="B397" s="4">
        <v>1714546754.3499999</v>
      </c>
      <c r="C397" s="4">
        <v>856241083.14999998</v>
      </c>
      <c r="D397" s="4">
        <v>858305671.19999993</v>
      </c>
    </row>
    <row r="398" spans="1:4" ht="15.75" thickBot="1" x14ac:dyDescent="0.25">
      <c r="A398" s="1" t="s">
        <v>7</v>
      </c>
      <c r="B398" s="5">
        <v>15310727601.760002</v>
      </c>
      <c r="C398" s="5">
        <v>7585270921.6300001</v>
      </c>
      <c r="D398" s="5">
        <v>7725456680.1299992</v>
      </c>
    </row>
    <row r="399" spans="1:4" ht="15.75" thickTop="1" x14ac:dyDescent="0.2">
      <c r="B399" s="4"/>
      <c r="C399" s="4"/>
      <c r="D399" s="4"/>
    </row>
    <row r="400" spans="1:4" x14ac:dyDescent="0.2">
      <c r="A400" s="3">
        <v>35431</v>
      </c>
      <c r="B400" s="4">
        <v>1180258457.8899999</v>
      </c>
      <c r="C400" s="4">
        <v>574679962.50999999</v>
      </c>
      <c r="D400" s="4">
        <v>605578495.38</v>
      </c>
    </row>
    <row r="401" spans="1:4" x14ac:dyDescent="0.2">
      <c r="A401" s="3">
        <v>35462</v>
      </c>
      <c r="B401" s="4">
        <v>968328576.75</v>
      </c>
      <c r="C401" s="4">
        <v>471604164.13999999</v>
      </c>
      <c r="D401" s="4">
        <v>496724412.60999995</v>
      </c>
    </row>
    <row r="402" spans="1:4" x14ac:dyDescent="0.2">
      <c r="A402" s="3">
        <v>35490</v>
      </c>
      <c r="B402" s="4">
        <v>1439352193.9100003</v>
      </c>
      <c r="C402" s="4">
        <v>710269304.71000004</v>
      </c>
      <c r="D402" s="4">
        <v>729082889.20000017</v>
      </c>
    </row>
    <row r="403" spans="1:4" x14ac:dyDescent="0.2">
      <c r="A403" s="3">
        <v>35521</v>
      </c>
      <c r="B403" s="4">
        <v>1009682977.8100001</v>
      </c>
      <c r="C403" s="4">
        <v>496090688.02999997</v>
      </c>
      <c r="D403" s="4">
        <v>513592289.78000009</v>
      </c>
    </row>
    <row r="404" spans="1:4" x14ac:dyDescent="0.2">
      <c r="A404" s="3">
        <v>35551</v>
      </c>
      <c r="B404" s="4">
        <v>1005794302.0799999</v>
      </c>
      <c r="C404" s="4">
        <v>489231762.51999998</v>
      </c>
      <c r="D404" s="4">
        <v>516562539.55999994</v>
      </c>
    </row>
    <row r="405" spans="1:4" x14ac:dyDescent="0.2">
      <c r="A405" s="3">
        <v>35582</v>
      </c>
      <c r="B405" s="4">
        <v>1602947328.8099999</v>
      </c>
      <c r="C405" s="4">
        <v>810184823.73000002</v>
      </c>
      <c r="D405" s="4">
        <v>792762505.07999992</v>
      </c>
    </row>
    <row r="406" spans="1:4" x14ac:dyDescent="0.2">
      <c r="A406" s="3">
        <v>35612</v>
      </c>
      <c r="B406" s="4">
        <v>1080405365.3599999</v>
      </c>
      <c r="C406" s="4">
        <v>535745896.82999998</v>
      </c>
      <c r="D406" s="4">
        <v>544659468.52999997</v>
      </c>
    </row>
    <row r="407" spans="1:4" x14ac:dyDescent="0.2">
      <c r="A407" s="3">
        <v>35643</v>
      </c>
      <c r="B407" s="4">
        <v>1047419360.1199999</v>
      </c>
      <c r="C407" s="4">
        <v>519890998.74000001</v>
      </c>
      <c r="D407" s="4">
        <v>527528361.37999994</v>
      </c>
    </row>
    <row r="408" spans="1:4" x14ac:dyDescent="0.2">
      <c r="A408" s="3">
        <v>35674</v>
      </c>
      <c r="B408" s="4">
        <v>1658351383.0899999</v>
      </c>
      <c r="C408" s="4">
        <v>841327102.53999996</v>
      </c>
      <c r="D408" s="4">
        <v>817024280.54999995</v>
      </c>
    </row>
    <row r="409" spans="1:4" x14ac:dyDescent="0.2">
      <c r="A409" s="3">
        <v>35704</v>
      </c>
      <c r="B409" s="4">
        <v>1058004462.42</v>
      </c>
      <c r="C409" s="4">
        <v>522297164.22000003</v>
      </c>
      <c r="D409" s="4">
        <v>535707298.19999993</v>
      </c>
    </row>
    <row r="410" spans="1:4" x14ac:dyDescent="0.2">
      <c r="A410" s="3">
        <v>35735</v>
      </c>
      <c r="B410" s="4">
        <v>1047610720.9400001</v>
      </c>
      <c r="C410" s="4">
        <v>515521162.77999997</v>
      </c>
      <c r="D410" s="4">
        <v>532089558.16000003</v>
      </c>
    </row>
    <row r="411" spans="1:4" x14ac:dyDescent="0.2">
      <c r="A411" s="3">
        <v>35765</v>
      </c>
      <c r="B411" s="4">
        <v>1654977761.0400002</v>
      </c>
      <c r="C411" s="4">
        <v>820991892</v>
      </c>
      <c r="D411" s="4">
        <v>833985869.0400002</v>
      </c>
    </row>
    <row r="412" spans="1:4" ht="15.75" thickBot="1" x14ac:dyDescent="0.25">
      <c r="A412" s="1" t="s">
        <v>8</v>
      </c>
      <c r="B412" s="5">
        <v>14753132890.220001</v>
      </c>
      <c r="C412" s="5">
        <v>7307834922.75</v>
      </c>
      <c r="D412" s="5">
        <v>7445297967.4700003</v>
      </c>
    </row>
    <row r="413" spans="1:4" ht="15.75" thickTop="1" x14ac:dyDescent="0.2">
      <c r="B413" s="4"/>
      <c r="C413" s="4"/>
      <c r="D413" s="4"/>
    </row>
    <row r="414" spans="1:4" x14ac:dyDescent="0.2">
      <c r="A414" s="3">
        <v>35065</v>
      </c>
      <c r="B414" s="4">
        <v>1087877375.6500001</v>
      </c>
      <c r="C414" s="4">
        <v>530785761.63999999</v>
      </c>
      <c r="D414" s="4">
        <v>557091614.00999999</v>
      </c>
    </row>
    <row r="415" spans="1:4" x14ac:dyDescent="0.2">
      <c r="A415" s="3">
        <v>35096</v>
      </c>
      <c r="B415" s="4">
        <v>868112494.00999999</v>
      </c>
      <c r="C415" s="4">
        <v>426018416.94999999</v>
      </c>
      <c r="D415" s="4">
        <v>442094077.06</v>
      </c>
    </row>
    <row r="416" spans="1:4" x14ac:dyDescent="0.2">
      <c r="A416" s="3">
        <v>35125</v>
      </c>
      <c r="B416" s="4">
        <v>1393583881.0299997</v>
      </c>
      <c r="C416" s="4">
        <v>685501034.13999999</v>
      </c>
      <c r="D416" s="4">
        <v>708082846.88999987</v>
      </c>
    </row>
    <row r="417" spans="1:4" x14ac:dyDescent="0.2">
      <c r="A417" s="3">
        <v>35156</v>
      </c>
      <c r="B417" s="4">
        <v>947441089.70000005</v>
      </c>
      <c r="C417" s="4">
        <v>467660040.79000002</v>
      </c>
      <c r="D417" s="4">
        <v>479781048.91000003</v>
      </c>
    </row>
    <row r="418" spans="1:4" x14ac:dyDescent="0.2">
      <c r="A418" s="3">
        <v>35186</v>
      </c>
      <c r="B418" s="4">
        <v>971655408.45000005</v>
      </c>
      <c r="C418" s="4">
        <v>478190909.30000001</v>
      </c>
      <c r="D418" s="4">
        <v>493464499.14999998</v>
      </c>
    </row>
    <row r="419" spans="1:4" x14ac:dyDescent="0.2">
      <c r="A419" s="3">
        <v>35217</v>
      </c>
      <c r="B419" s="4">
        <v>1557255983.3199999</v>
      </c>
      <c r="C419" s="4">
        <v>781446159.88</v>
      </c>
      <c r="D419" s="4">
        <v>775809823.43999994</v>
      </c>
    </row>
    <row r="420" spans="1:4" x14ac:dyDescent="0.2">
      <c r="A420" s="3">
        <v>35247</v>
      </c>
      <c r="B420" s="4">
        <v>1024274792.7</v>
      </c>
      <c r="C420" s="4">
        <v>508281421.99000001</v>
      </c>
      <c r="D420" s="4">
        <v>515993370.70999998</v>
      </c>
    </row>
    <row r="421" spans="1:4" x14ac:dyDescent="0.2">
      <c r="A421" s="3">
        <v>35278</v>
      </c>
      <c r="B421" s="4">
        <v>971433579.16000009</v>
      </c>
      <c r="C421" s="4">
        <v>484135780.47000003</v>
      </c>
      <c r="D421" s="4">
        <v>487297798.69000006</v>
      </c>
    </row>
    <row r="422" spans="1:4" x14ac:dyDescent="0.2">
      <c r="A422" s="3">
        <v>35309</v>
      </c>
      <c r="B422" s="4">
        <v>1596677957.6399999</v>
      </c>
      <c r="C422" s="4">
        <v>808153092.15999997</v>
      </c>
      <c r="D422" s="4">
        <v>788524865.47999978</v>
      </c>
    </row>
    <row r="423" spans="1:4" x14ac:dyDescent="0.2">
      <c r="A423" s="3">
        <v>35339</v>
      </c>
      <c r="B423" s="4">
        <v>993815432.93999994</v>
      </c>
      <c r="C423" s="4">
        <v>491221724.75999999</v>
      </c>
      <c r="D423" s="4">
        <v>502593708.17999995</v>
      </c>
    </row>
    <row r="424" spans="1:4" x14ac:dyDescent="0.2">
      <c r="A424" s="3">
        <v>35370</v>
      </c>
      <c r="B424" s="4">
        <v>1023276687.7</v>
      </c>
      <c r="C424" s="4">
        <v>506652625.37</v>
      </c>
      <c r="D424" s="4">
        <v>516624062.33000004</v>
      </c>
    </row>
    <row r="425" spans="1:4" x14ac:dyDescent="0.2">
      <c r="A425" s="3">
        <v>35400</v>
      </c>
      <c r="B425" s="4">
        <v>1624966064.9000003</v>
      </c>
      <c r="C425" s="4">
        <v>813234598.14999998</v>
      </c>
      <c r="D425" s="4">
        <v>811731466.75000036</v>
      </c>
    </row>
    <row r="426" spans="1:4" ht="15.75" thickBot="1" x14ac:dyDescent="0.25">
      <c r="A426" s="1" t="s">
        <v>9</v>
      </c>
      <c r="B426" s="5">
        <v>14060370747.199999</v>
      </c>
      <c r="C426" s="5">
        <v>6981281565.6000004</v>
      </c>
      <c r="D426" s="5">
        <v>7079089181.5999985</v>
      </c>
    </row>
    <row r="427" spans="1:4" ht="15.75" thickTop="1" x14ac:dyDescent="0.2">
      <c r="B427" s="4"/>
      <c r="C427" s="4"/>
      <c r="D427" s="4"/>
    </row>
    <row r="428" spans="1:4" x14ac:dyDescent="0.2">
      <c r="A428" s="3">
        <v>34700</v>
      </c>
      <c r="B428" s="4">
        <v>1069904985.23</v>
      </c>
      <c r="C428" s="4">
        <v>518823738.31999999</v>
      </c>
      <c r="D428" s="4">
        <v>551081246.90999997</v>
      </c>
    </row>
    <row r="429" spans="1:4" x14ac:dyDescent="0.2">
      <c r="A429" s="3">
        <v>34731</v>
      </c>
      <c r="B429" s="4">
        <v>876655547.76999998</v>
      </c>
      <c r="C429" s="4">
        <v>426083827.88999999</v>
      </c>
      <c r="D429" s="4">
        <v>450571719.88</v>
      </c>
    </row>
    <row r="430" spans="1:4" x14ac:dyDescent="0.2">
      <c r="A430" s="3">
        <v>34759</v>
      </c>
      <c r="B430" s="4">
        <v>1329442463.3900001</v>
      </c>
      <c r="C430" s="4">
        <v>664441922.22000003</v>
      </c>
      <c r="D430" s="4">
        <v>665000541.17000008</v>
      </c>
    </row>
    <row r="431" spans="1:4" x14ac:dyDescent="0.2">
      <c r="A431" s="3">
        <v>34790</v>
      </c>
      <c r="B431" s="4">
        <v>886020778.83999991</v>
      </c>
      <c r="C431" s="4">
        <v>435619174.01999998</v>
      </c>
      <c r="D431" s="4">
        <v>450401604.81999993</v>
      </c>
    </row>
    <row r="432" spans="1:4" x14ac:dyDescent="0.2">
      <c r="A432" s="3">
        <v>34820</v>
      </c>
      <c r="B432" s="4">
        <v>896871340.82999992</v>
      </c>
      <c r="C432" s="4">
        <v>442853631.06999999</v>
      </c>
      <c r="D432" s="4">
        <v>454017709.75999999</v>
      </c>
    </row>
    <row r="433" spans="1:4" x14ac:dyDescent="0.2">
      <c r="A433" s="3">
        <v>34851</v>
      </c>
      <c r="B433" s="4">
        <v>1488488083.4199998</v>
      </c>
      <c r="C433" s="4">
        <v>737929839.30999994</v>
      </c>
      <c r="D433" s="4">
        <v>750558244.1099999</v>
      </c>
    </row>
    <row r="434" spans="1:4" x14ac:dyDescent="0.2">
      <c r="A434" s="3">
        <v>34881</v>
      </c>
      <c r="B434" s="4">
        <v>974827654.36999989</v>
      </c>
      <c r="C434" s="4">
        <v>484915896.50999999</v>
      </c>
      <c r="D434" s="4">
        <v>489911757.85999984</v>
      </c>
    </row>
    <row r="435" spans="1:4" x14ac:dyDescent="0.2">
      <c r="A435" s="3">
        <v>34912</v>
      </c>
      <c r="B435" s="4">
        <v>908856568.47000003</v>
      </c>
      <c r="C435" s="4">
        <v>450662118.47000003</v>
      </c>
      <c r="D435" s="4">
        <v>458194450</v>
      </c>
    </row>
    <row r="436" spans="1:4" x14ac:dyDescent="0.2">
      <c r="A436" s="3">
        <v>34943</v>
      </c>
      <c r="B436" s="4">
        <v>1564098988.3600001</v>
      </c>
      <c r="C436" s="4">
        <v>794029693.58000004</v>
      </c>
      <c r="D436" s="4">
        <v>770069294.78000021</v>
      </c>
    </row>
    <row r="437" spans="1:4" x14ac:dyDescent="0.2">
      <c r="A437" s="3">
        <v>34973</v>
      </c>
      <c r="B437" s="4">
        <v>949520731.70000005</v>
      </c>
      <c r="C437" s="4">
        <v>470087214.89999998</v>
      </c>
      <c r="D437" s="4">
        <v>479433516.80000001</v>
      </c>
    </row>
    <row r="438" spans="1:4" x14ac:dyDescent="0.2">
      <c r="A438" s="3">
        <v>35004</v>
      </c>
      <c r="B438" s="4">
        <v>950880289.80999994</v>
      </c>
      <c r="C438" s="4">
        <v>469973615.48000002</v>
      </c>
      <c r="D438" s="4">
        <v>480906674.32999992</v>
      </c>
    </row>
    <row r="439" spans="1:4" x14ac:dyDescent="0.2">
      <c r="A439" s="3">
        <v>35034</v>
      </c>
      <c r="B439" s="4">
        <v>1599299750.97</v>
      </c>
      <c r="C439" s="4">
        <v>794809692.79999995</v>
      </c>
      <c r="D439" s="4">
        <v>804490058.17000008</v>
      </c>
    </row>
    <row r="440" spans="1:4" ht="15.75" thickBot="1" x14ac:dyDescent="0.25">
      <c r="A440" s="1" t="s">
        <v>10</v>
      </c>
      <c r="B440" s="5">
        <v>13494867183.16</v>
      </c>
      <c r="C440" s="5">
        <v>6690230364.5700006</v>
      </c>
      <c r="D440" s="5">
        <v>6804636818.5900002</v>
      </c>
    </row>
    <row r="441" spans="1:4" ht="15.75" thickTop="1" x14ac:dyDescent="0.2">
      <c r="B441" s="4"/>
      <c r="C441" s="4"/>
      <c r="D441" s="4"/>
    </row>
    <row r="442" spans="1:4" x14ac:dyDescent="0.2">
      <c r="A442" s="3">
        <v>34335</v>
      </c>
      <c r="B442" s="4">
        <v>983732625.30999994</v>
      </c>
      <c r="C442" s="4">
        <v>479398909.54000002</v>
      </c>
      <c r="D442" s="4">
        <v>504333715.76999998</v>
      </c>
    </row>
    <row r="443" spans="1:4" x14ac:dyDescent="0.2">
      <c r="A443" s="3">
        <v>34366</v>
      </c>
      <c r="B443" s="4">
        <v>742865092.82999992</v>
      </c>
      <c r="C443" s="4">
        <v>362974832.36000001</v>
      </c>
      <c r="D443" s="4">
        <v>379890260.46999985</v>
      </c>
    </row>
    <row r="444" spans="1:4" x14ac:dyDescent="0.2">
      <c r="A444" s="3">
        <v>34394</v>
      </c>
      <c r="B444" s="4">
        <v>1303403563.4499998</v>
      </c>
      <c r="C444" s="4">
        <v>657855208.66999996</v>
      </c>
      <c r="D444" s="4">
        <v>645548354.77999985</v>
      </c>
    </row>
    <row r="445" spans="1:4" x14ac:dyDescent="0.2">
      <c r="A445" s="3">
        <v>34425</v>
      </c>
      <c r="B445" s="4">
        <v>880951562</v>
      </c>
      <c r="C445" s="4">
        <v>433731565.63</v>
      </c>
      <c r="D445" s="4">
        <v>447219996.36999995</v>
      </c>
    </row>
    <row r="446" spans="1:4" x14ac:dyDescent="0.2">
      <c r="A446" s="3">
        <v>34455</v>
      </c>
      <c r="B446" s="4">
        <v>878968597.91000009</v>
      </c>
      <c r="C446" s="4">
        <v>432409970.49000001</v>
      </c>
      <c r="D446" s="4">
        <v>446558627.42000002</v>
      </c>
    </row>
    <row r="447" spans="1:4" x14ac:dyDescent="0.2">
      <c r="A447" s="3">
        <v>34486</v>
      </c>
      <c r="B447" s="4">
        <v>1457451257.1799998</v>
      </c>
      <c r="C447" s="4">
        <v>746909778.03999996</v>
      </c>
      <c r="D447" s="4">
        <v>710541479.13999999</v>
      </c>
    </row>
    <row r="448" spans="1:4" x14ac:dyDescent="0.2">
      <c r="A448" s="3">
        <v>34516</v>
      </c>
      <c r="B448" s="4">
        <v>943081357.54999995</v>
      </c>
      <c r="C448" s="4">
        <v>470998779.04000002</v>
      </c>
      <c r="D448" s="4">
        <v>472082578.50999999</v>
      </c>
    </row>
    <row r="449" spans="1:4" x14ac:dyDescent="0.2">
      <c r="A449" s="3">
        <v>34547</v>
      </c>
      <c r="B449" s="4">
        <v>950188253.77999997</v>
      </c>
      <c r="C449" s="4">
        <v>473433929.92000002</v>
      </c>
      <c r="D449" s="4">
        <v>476754323.86000001</v>
      </c>
    </row>
    <row r="450" spans="1:4" x14ac:dyDescent="0.2">
      <c r="A450" s="3">
        <v>34578</v>
      </c>
      <c r="B450" s="4">
        <v>1561277479.4500003</v>
      </c>
      <c r="C450" s="4">
        <v>812920633.90999997</v>
      </c>
      <c r="D450" s="4">
        <v>748356845.5400002</v>
      </c>
    </row>
    <row r="451" spans="1:4" x14ac:dyDescent="0.2">
      <c r="A451" s="3">
        <v>34608</v>
      </c>
      <c r="B451" s="4">
        <v>935914076.73000002</v>
      </c>
      <c r="C451" s="4">
        <v>462349137.17000002</v>
      </c>
      <c r="D451" s="4">
        <v>473564939.55999994</v>
      </c>
    </row>
    <row r="452" spans="1:4" x14ac:dyDescent="0.2">
      <c r="A452" s="3">
        <v>34639</v>
      </c>
      <c r="B452" s="4">
        <v>916799217.01999998</v>
      </c>
      <c r="C452" s="4">
        <v>452710013.5</v>
      </c>
      <c r="D452" s="4">
        <v>464089203.51999998</v>
      </c>
    </row>
    <row r="453" spans="1:4" x14ac:dyDescent="0.2">
      <c r="A453" s="3">
        <v>34669</v>
      </c>
      <c r="B453" s="4">
        <v>1508501988.5300002</v>
      </c>
      <c r="C453" s="4">
        <v>763357851.20000005</v>
      </c>
      <c r="D453" s="4">
        <v>745144137.33000016</v>
      </c>
    </row>
    <row r="454" spans="1:4" ht="15.75" thickBot="1" x14ac:dyDescent="0.25">
      <c r="A454" s="1" t="s">
        <v>11</v>
      </c>
      <c r="B454" s="5">
        <v>13063135071.740002</v>
      </c>
      <c r="C454" s="5">
        <v>6549050609.4700003</v>
      </c>
      <c r="D454" s="5">
        <v>6514084462.2700005</v>
      </c>
    </row>
    <row r="455" spans="1:4" ht="15.75" thickTop="1" x14ac:dyDescent="0.2">
      <c r="B455" s="4"/>
      <c r="C455" s="4"/>
      <c r="D455" s="4"/>
    </row>
    <row r="456" spans="1:4" x14ac:dyDescent="0.2">
      <c r="A456" s="3">
        <v>33970</v>
      </c>
      <c r="B456" s="4">
        <v>945658019.19999993</v>
      </c>
      <c r="C456" s="4">
        <v>465111239.56</v>
      </c>
      <c r="D456" s="4">
        <v>480546779.63999993</v>
      </c>
    </row>
    <row r="457" spans="1:4" x14ac:dyDescent="0.2">
      <c r="A457" s="3">
        <v>34001</v>
      </c>
      <c r="B457" s="4">
        <v>720384829.95000005</v>
      </c>
      <c r="C457" s="4">
        <v>355594038.91000003</v>
      </c>
      <c r="D457" s="4">
        <v>364790791.03999996</v>
      </c>
    </row>
    <row r="458" spans="1:4" x14ac:dyDescent="0.2">
      <c r="A458" s="3">
        <v>34029</v>
      </c>
      <c r="B458" s="4">
        <v>1285904810.8299999</v>
      </c>
      <c r="C458" s="4">
        <v>652172591.16999996</v>
      </c>
      <c r="D458" s="4">
        <v>633732219.65999985</v>
      </c>
    </row>
    <row r="459" spans="1:4" x14ac:dyDescent="0.2">
      <c r="A459" s="3">
        <v>34060</v>
      </c>
      <c r="B459" s="4">
        <v>812323102.93000007</v>
      </c>
      <c r="C459" s="4">
        <v>403520194.69</v>
      </c>
      <c r="D459" s="4">
        <v>408802908.24000001</v>
      </c>
    </row>
    <row r="460" spans="1:4" x14ac:dyDescent="0.2">
      <c r="A460" s="3">
        <v>34090</v>
      </c>
      <c r="B460" s="4">
        <v>823501661.85000002</v>
      </c>
      <c r="C460" s="4">
        <v>408584056.47000003</v>
      </c>
      <c r="D460" s="4">
        <v>414917605.38</v>
      </c>
    </row>
    <row r="461" spans="1:4" x14ac:dyDescent="0.2">
      <c r="A461" s="3">
        <v>34121</v>
      </c>
      <c r="B461" s="4">
        <v>1402414180.3299999</v>
      </c>
      <c r="C461" s="4">
        <v>704802469.54999995</v>
      </c>
      <c r="D461" s="4">
        <v>697611710.77999997</v>
      </c>
    </row>
    <row r="462" spans="1:4" x14ac:dyDescent="0.2">
      <c r="A462" s="3">
        <v>34151</v>
      </c>
      <c r="B462" s="4">
        <v>884356519.04999995</v>
      </c>
      <c r="C462" s="4">
        <v>442891400.13</v>
      </c>
      <c r="D462" s="4">
        <v>441465118.92000002</v>
      </c>
    </row>
    <row r="463" spans="1:4" x14ac:dyDescent="0.2">
      <c r="A463" s="3">
        <v>34182</v>
      </c>
      <c r="B463" s="4">
        <v>849936121.86999989</v>
      </c>
      <c r="C463" s="4">
        <v>426825893.25</v>
      </c>
      <c r="D463" s="4">
        <v>423110228.61999995</v>
      </c>
    </row>
    <row r="464" spans="1:4" x14ac:dyDescent="0.2">
      <c r="A464" s="3">
        <v>34213</v>
      </c>
      <c r="B464" s="4">
        <v>1441418157.0899999</v>
      </c>
      <c r="C464" s="4">
        <v>734536467.92999995</v>
      </c>
      <c r="D464" s="4">
        <v>706881689.15999997</v>
      </c>
    </row>
    <row r="465" spans="1:4" x14ac:dyDescent="0.2">
      <c r="A465" s="3">
        <v>34243</v>
      </c>
      <c r="B465" s="4">
        <v>863930970.48000002</v>
      </c>
      <c r="C465" s="4">
        <v>429293028.88999999</v>
      </c>
      <c r="D465" s="4">
        <v>434637941.59000003</v>
      </c>
    </row>
    <row r="466" spans="1:4" x14ac:dyDescent="0.2">
      <c r="A466" s="3">
        <v>34274</v>
      </c>
      <c r="B466" s="4">
        <v>886428033.79999995</v>
      </c>
      <c r="C466" s="4">
        <v>440792135.58999997</v>
      </c>
      <c r="D466" s="4">
        <v>445635898.20999992</v>
      </c>
    </row>
    <row r="467" spans="1:4" x14ac:dyDescent="0.2">
      <c r="A467" s="3">
        <v>34304</v>
      </c>
      <c r="B467" s="4">
        <v>1465066953.72</v>
      </c>
      <c r="C467" s="4">
        <v>745174543.50999999</v>
      </c>
      <c r="D467" s="4">
        <v>719892410.21000004</v>
      </c>
    </row>
    <row r="468" spans="1:4" ht="15.75" thickBot="1" x14ac:dyDescent="0.25">
      <c r="A468" s="1" t="s">
        <v>12</v>
      </c>
      <c r="B468" s="5">
        <v>12381323361.099998</v>
      </c>
      <c r="C468" s="5">
        <v>6209298059.6500015</v>
      </c>
      <c r="D468" s="5">
        <v>6172025301.4499998</v>
      </c>
    </row>
    <row r="469" spans="1:4" ht="15.75" thickTop="1" x14ac:dyDescent="0.2">
      <c r="B469" s="4"/>
      <c r="C469" s="4"/>
      <c r="D469" s="4"/>
    </row>
    <row r="470" spans="1:4" x14ac:dyDescent="0.2">
      <c r="A470" s="3">
        <v>33604</v>
      </c>
      <c r="B470" s="4">
        <v>917474514.26999986</v>
      </c>
      <c r="C470" s="4">
        <v>458476780.11000001</v>
      </c>
      <c r="D470" s="4">
        <v>458997734.15999985</v>
      </c>
    </row>
    <row r="471" spans="1:4" x14ac:dyDescent="0.2">
      <c r="A471" s="3">
        <v>33635</v>
      </c>
      <c r="B471" s="4">
        <v>671945421.78999996</v>
      </c>
      <c r="C471" s="4">
        <v>333422744.95999998</v>
      </c>
      <c r="D471" s="4">
        <v>338522676.82999998</v>
      </c>
    </row>
    <row r="472" spans="1:4" x14ac:dyDescent="0.2">
      <c r="A472" s="3">
        <v>33664</v>
      </c>
      <c r="B472" s="4">
        <v>1256793736.4000003</v>
      </c>
      <c r="C472" s="4">
        <v>657855605.21000004</v>
      </c>
      <c r="D472" s="4">
        <v>598938131.1900003</v>
      </c>
    </row>
    <row r="473" spans="1:4" x14ac:dyDescent="0.2">
      <c r="A473" s="3">
        <v>33695</v>
      </c>
      <c r="B473" s="4">
        <v>774339329.92999995</v>
      </c>
      <c r="C473" s="4">
        <v>389267526.76999998</v>
      </c>
      <c r="D473" s="4">
        <v>385071803.15999997</v>
      </c>
    </row>
    <row r="474" spans="1:4" x14ac:dyDescent="0.2">
      <c r="A474" s="3">
        <v>33725</v>
      </c>
      <c r="B474" s="4">
        <v>776399976.96000004</v>
      </c>
      <c r="C474" s="4">
        <v>390329520.38</v>
      </c>
      <c r="D474" s="4">
        <v>386070456.58000004</v>
      </c>
    </row>
    <row r="475" spans="1:4" x14ac:dyDescent="0.2">
      <c r="A475" s="3">
        <v>33756</v>
      </c>
      <c r="B475" s="4">
        <v>1327215098.9000001</v>
      </c>
      <c r="C475" s="4">
        <v>695250467.50999999</v>
      </c>
      <c r="D475" s="4">
        <v>631964631.39000022</v>
      </c>
    </row>
    <row r="476" spans="1:4" x14ac:dyDescent="0.2">
      <c r="A476" s="3">
        <v>33786</v>
      </c>
      <c r="B476" s="4">
        <v>851392209.37</v>
      </c>
      <c r="C476" s="4">
        <v>433650686.10000002</v>
      </c>
      <c r="D476" s="4">
        <v>417741523.26999998</v>
      </c>
    </row>
    <row r="477" spans="1:4" x14ac:dyDescent="0.2">
      <c r="A477" s="3">
        <v>33817</v>
      </c>
      <c r="B477" s="4">
        <v>809183618.26999998</v>
      </c>
      <c r="C477" s="4">
        <v>409456616.81</v>
      </c>
      <c r="D477" s="4">
        <v>399727001.45999998</v>
      </c>
    </row>
    <row r="478" spans="1:4" x14ac:dyDescent="0.2">
      <c r="A478" s="3">
        <v>33848</v>
      </c>
      <c r="B478" s="4">
        <v>1343439314</v>
      </c>
      <c r="C478" s="4">
        <v>715201787.63</v>
      </c>
      <c r="D478" s="4">
        <v>628237526.37</v>
      </c>
    </row>
    <row r="479" spans="1:4" x14ac:dyDescent="0.2">
      <c r="A479" s="3">
        <v>33878</v>
      </c>
      <c r="B479" s="4">
        <v>836520680.6500001</v>
      </c>
      <c r="C479" s="4">
        <v>420127557.86000001</v>
      </c>
      <c r="D479" s="4">
        <v>416393122.79000008</v>
      </c>
    </row>
    <row r="480" spans="1:4" x14ac:dyDescent="0.2">
      <c r="A480" s="3">
        <v>33909</v>
      </c>
      <c r="B480" s="4">
        <v>798158164.54999995</v>
      </c>
      <c r="C480" s="4">
        <v>399227696.13999999</v>
      </c>
      <c r="D480" s="4">
        <v>398930468.40999991</v>
      </c>
    </row>
    <row r="481" spans="1:4" x14ac:dyDescent="0.2">
      <c r="A481" s="3">
        <v>33939</v>
      </c>
      <c r="B481" s="4">
        <v>1634601907.7099998</v>
      </c>
      <c r="C481" s="4">
        <v>835213476.01999998</v>
      </c>
      <c r="D481" s="4">
        <v>799388431.68999982</v>
      </c>
    </row>
    <row r="482" spans="1:4" ht="15.75" thickBot="1" x14ac:dyDescent="0.25">
      <c r="A482" s="1" t="s">
        <v>13</v>
      </c>
      <c r="B482" s="5">
        <v>11997463972.799997</v>
      </c>
      <c r="C482" s="5">
        <v>6137480465.5</v>
      </c>
      <c r="D482" s="5">
        <v>5859983507.3000011</v>
      </c>
    </row>
    <row r="483" spans="1:4" ht="15.75" thickTop="1" x14ac:dyDescent="0.2">
      <c r="B483" s="4"/>
      <c r="C483" s="4"/>
      <c r="D483" s="4"/>
    </row>
    <row r="484" spans="1:4" x14ac:dyDescent="0.2">
      <c r="A484" s="3">
        <v>33239</v>
      </c>
      <c r="B484" s="4">
        <v>887655208.80999994</v>
      </c>
      <c r="C484" s="4">
        <v>445049777.63999999</v>
      </c>
      <c r="D484" s="4">
        <v>442605431.16999996</v>
      </c>
    </row>
    <row r="485" spans="1:4" x14ac:dyDescent="0.2">
      <c r="A485" s="3">
        <v>33270</v>
      </c>
      <c r="B485" s="4">
        <v>700831826.20000005</v>
      </c>
      <c r="C485" s="4">
        <v>350837698.38</v>
      </c>
      <c r="D485" s="4">
        <v>349994127.81999999</v>
      </c>
    </row>
    <row r="486" spans="1:4" x14ac:dyDescent="0.2">
      <c r="A486" s="3">
        <v>33298</v>
      </c>
      <c r="B486" s="4">
        <v>1200617019.9300001</v>
      </c>
      <c r="C486" s="4">
        <v>646159252.12</v>
      </c>
      <c r="D486" s="4">
        <v>554457767.81000006</v>
      </c>
    </row>
    <row r="487" spans="1:4" x14ac:dyDescent="0.2">
      <c r="A487" s="3">
        <v>33329</v>
      </c>
      <c r="B487" s="4">
        <v>724157039.43999994</v>
      </c>
      <c r="C487" s="4">
        <v>363134206.02999997</v>
      </c>
      <c r="D487" s="4">
        <v>361022833.40999997</v>
      </c>
    </row>
    <row r="488" spans="1:4" x14ac:dyDescent="0.2">
      <c r="A488" s="3">
        <v>33359</v>
      </c>
      <c r="B488" s="4">
        <v>737738092.71000004</v>
      </c>
      <c r="C488" s="4">
        <v>373051903.50999999</v>
      </c>
      <c r="D488" s="4">
        <v>364686189.19999999</v>
      </c>
    </row>
    <row r="489" spans="1:4" x14ac:dyDescent="0.2">
      <c r="A489" s="3">
        <v>33390</v>
      </c>
      <c r="B489" s="4">
        <v>1306500615.4400001</v>
      </c>
      <c r="C489" s="4">
        <v>694643958.82000005</v>
      </c>
      <c r="D489" s="4">
        <v>611856656.62</v>
      </c>
    </row>
    <row r="490" spans="1:4" x14ac:dyDescent="0.2">
      <c r="A490" s="3">
        <v>33420</v>
      </c>
      <c r="B490" s="4">
        <v>810648836.24000001</v>
      </c>
      <c r="C490" s="4">
        <v>419030317.30000001</v>
      </c>
      <c r="D490" s="4">
        <v>391618518.93999994</v>
      </c>
    </row>
    <row r="491" spans="1:4" x14ac:dyDescent="0.2">
      <c r="A491" s="3">
        <v>33451</v>
      </c>
      <c r="B491" s="4">
        <v>769764662.1099999</v>
      </c>
      <c r="C491" s="4">
        <v>398032389.33999997</v>
      </c>
      <c r="D491" s="4">
        <v>371732272.76999998</v>
      </c>
    </row>
    <row r="492" spans="1:4" x14ac:dyDescent="0.2">
      <c r="A492" s="3">
        <v>33482</v>
      </c>
      <c r="B492" s="4">
        <v>1304805588.3599999</v>
      </c>
      <c r="C492" s="4">
        <v>693334927.66999996</v>
      </c>
      <c r="D492" s="4">
        <v>611470660.68999994</v>
      </c>
    </row>
    <row r="493" spans="1:4" x14ac:dyDescent="0.2">
      <c r="A493" s="3">
        <v>33512</v>
      </c>
      <c r="B493" s="4">
        <v>793748073.72000003</v>
      </c>
      <c r="C493" s="4">
        <v>409960794.80000001</v>
      </c>
      <c r="D493" s="4">
        <v>383787278.92000002</v>
      </c>
    </row>
    <row r="494" spans="1:4" x14ac:dyDescent="0.2">
      <c r="A494" s="3">
        <v>33543</v>
      </c>
      <c r="B494" s="4">
        <v>784112370.12</v>
      </c>
      <c r="C494" s="4">
        <v>394112572.79000002</v>
      </c>
      <c r="D494" s="4">
        <v>389999797.32999998</v>
      </c>
    </row>
    <row r="495" spans="1:4" x14ac:dyDescent="0.2">
      <c r="A495" s="3">
        <v>33573</v>
      </c>
      <c r="B495" s="4">
        <v>1280134022.7999997</v>
      </c>
      <c r="C495" s="4">
        <v>677530559.99000001</v>
      </c>
      <c r="D495" s="4">
        <v>602603462.80999982</v>
      </c>
    </row>
    <row r="496" spans="1:4" ht="15.75" thickBot="1" x14ac:dyDescent="0.25">
      <c r="A496" s="1" t="s">
        <v>14</v>
      </c>
      <c r="B496" s="5">
        <v>11300713355.879999</v>
      </c>
      <c r="C496" s="5">
        <v>5864878358.3900003</v>
      </c>
      <c r="D496" s="5">
        <v>5435834997.4899998</v>
      </c>
    </row>
    <row r="497" spans="1:4" ht="15.75" thickTop="1" x14ac:dyDescent="0.2">
      <c r="B497" s="4"/>
      <c r="C497" s="4"/>
      <c r="D497" s="4"/>
    </row>
    <row r="498" spans="1:4" x14ac:dyDescent="0.2">
      <c r="A498" s="3">
        <v>32874</v>
      </c>
      <c r="B498" s="4">
        <v>933019404.11000013</v>
      </c>
      <c r="C498" s="4">
        <v>474392786.35000002</v>
      </c>
      <c r="D498" s="4">
        <v>458626617.76000005</v>
      </c>
    </row>
    <row r="499" spans="1:4" x14ac:dyDescent="0.2">
      <c r="A499" s="3">
        <v>32905</v>
      </c>
      <c r="B499" s="4">
        <v>685338107.3900001</v>
      </c>
      <c r="C499" s="4">
        <v>346985992.35000002</v>
      </c>
      <c r="D499" s="4">
        <v>338352115.04000002</v>
      </c>
    </row>
    <row r="500" spans="1:4" x14ac:dyDescent="0.2">
      <c r="A500" s="3">
        <v>32933</v>
      </c>
      <c r="B500" s="4">
        <v>1582795745.4000001</v>
      </c>
      <c r="C500" s="4">
        <v>960647856.05999994</v>
      </c>
      <c r="D500" s="4">
        <v>622147889.34000003</v>
      </c>
    </row>
    <row r="501" spans="1:4" x14ac:dyDescent="0.2">
      <c r="A501" s="3">
        <v>32964</v>
      </c>
      <c r="B501" s="4">
        <v>444856826.00000012</v>
      </c>
      <c r="C501" s="4">
        <v>67533476.730000004</v>
      </c>
      <c r="D501" s="4">
        <v>377323349.2700001</v>
      </c>
    </row>
    <row r="502" spans="1:4" x14ac:dyDescent="0.2">
      <c r="A502" s="3">
        <v>32994</v>
      </c>
      <c r="B502" s="4">
        <v>730656575.63</v>
      </c>
      <c r="C502" s="4">
        <v>370708502.87</v>
      </c>
      <c r="D502" s="4">
        <v>359948072.75999999</v>
      </c>
    </row>
    <row r="503" spans="1:4" x14ac:dyDescent="0.2">
      <c r="A503" s="3">
        <v>33025</v>
      </c>
      <c r="B503" s="4">
        <v>1291342978.4299998</v>
      </c>
      <c r="C503" s="4">
        <v>668988542.29999995</v>
      </c>
      <c r="D503" s="4">
        <v>622354436.13</v>
      </c>
    </row>
    <row r="504" spans="1:4" x14ac:dyDescent="0.2">
      <c r="A504" s="3">
        <v>33055</v>
      </c>
      <c r="B504" s="4">
        <v>780443886.17000008</v>
      </c>
      <c r="C504" s="4">
        <v>404052455.04000002</v>
      </c>
      <c r="D504" s="4">
        <v>376391431.13</v>
      </c>
    </row>
    <row r="505" spans="1:4" x14ac:dyDescent="0.2">
      <c r="A505" s="3">
        <v>33086</v>
      </c>
      <c r="B505" s="4">
        <v>782773200.01999998</v>
      </c>
      <c r="C505" s="4">
        <v>404450426.75999999</v>
      </c>
      <c r="D505" s="4">
        <v>378322773.25999993</v>
      </c>
    </row>
    <row r="506" spans="1:4" x14ac:dyDescent="0.2">
      <c r="A506" s="3">
        <v>33117</v>
      </c>
      <c r="B506" s="4">
        <v>1345543017.29</v>
      </c>
      <c r="C506" s="4">
        <v>712456815.05999994</v>
      </c>
      <c r="D506" s="4">
        <v>633086202.23000002</v>
      </c>
    </row>
    <row r="507" spans="1:4" x14ac:dyDescent="0.2">
      <c r="A507" s="3">
        <v>33147</v>
      </c>
      <c r="B507" s="4">
        <v>808380745.63</v>
      </c>
      <c r="C507" s="4">
        <v>415231445.51999998</v>
      </c>
      <c r="D507" s="4">
        <v>393149300.11000001</v>
      </c>
    </row>
    <row r="508" spans="1:4" x14ac:dyDescent="0.2">
      <c r="A508" s="3">
        <v>33178</v>
      </c>
      <c r="B508" s="4">
        <v>774498604.67000008</v>
      </c>
      <c r="C508" s="4">
        <v>396431350.87</v>
      </c>
      <c r="D508" s="4">
        <v>378067253.80000007</v>
      </c>
    </row>
    <row r="509" spans="1:4" x14ac:dyDescent="0.2">
      <c r="A509" s="3">
        <v>33208</v>
      </c>
      <c r="B509" s="4">
        <v>1334290600.23</v>
      </c>
      <c r="C509" s="4">
        <v>715392002.03999996</v>
      </c>
      <c r="D509" s="4">
        <v>618898598.19000018</v>
      </c>
    </row>
    <row r="510" spans="1:4" ht="15.75" thickBot="1" x14ac:dyDescent="0.25">
      <c r="A510" s="1" t="s">
        <v>15</v>
      </c>
      <c r="B510" s="5">
        <v>11493939690.970001</v>
      </c>
      <c r="C510" s="5">
        <v>5937271651.9500008</v>
      </c>
      <c r="D510" s="5">
        <v>5556668039.0200005</v>
      </c>
    </row>
    <row r="511" spans="1:4" ht="15.75" thickTop="1" x14ac:dyDescent="0.2"/>
  </sheetData>
  <phoneticPr fontId="0" type="noConversion"/>
  <printOptions horizontalCentered="1" verticalCentered="1"/>
  <pageMargins left="0.25" right="0.25" top="0.75" bottom="0.75" header="0.3" footer="0.3"/>
  <pageSetup scale="54" orientation="portrait" r:id="rId1"/>
  <headerFooter alignWithMargins="0">
    <oddHeader xml:space="preserve">&amp;C                                                   
&amp;R
</oddHeader>
  </headerFooter>
  <rowBreaks count="6" manualBreakCount="6">
    <brk id="143" max="16383" man="1"/>
    <brk id="215" max="16383" man="1"/>
    <brk id="287" max="4" man="1"/>
    <brk id="342" max="16383" man="1"/>
    <brk id="398" max="16383" man="1"/>
    <brk id="4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CL503"/>
  <sheetViews>
    <sheetView tabSelected="1" showOutlineSymbols="0" zoomScale="70" zoomScaleNormal="70" workbookViewId="0">
      <pane xSplit="1" ySplit="24" topLeftCell="AR2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77734375" defaultRowHeight="15" x14ac:dyDescent="0.2"/>
  <cols>
    <col min="1" max="1" width="9.77734375" style="1" customWidth="1"/>
    <col min="2" max="51" width="16.77734375" style="1" customWidth="1"/>
    <col min="52" max="52" width="18" style="1" bestFit="1" customWidth="1"/>
    <col min="53" max="53" width="18.6640625" style="1" bestFit="1" customWidth="1"/>
    <col min="54" max="54" width="16.77734375" style="1" customWidth="1"/>
    <col min="55" max="16384" width="9.77734375" style="1"/>
  </cols>
  <sheetData>
    <row r="1" spans="1:54" x14ac:dyDescent="0.2">
      <c r="E1" s="1" t="s">
        <v>18</v>
      </c>
    </row>
    <row r="2" spans="1:54" x14ac:dyDescent="0.2">
      <c r="A2" s="1" t="str">
        <f>Totals!A2</f>
        <v>DEPARTMENT OF TAXATION &amp; FINANCE</v>
      </c>
    </row>
    <row r="3" spans="1:54" x14ac:dyDescent="0.2">
      <c r="A3" s="1" t="str">
        <f>Totals!A3</f>
        <v>OFFICE OF TAX POLICY ANALYSIS</v>
      </c>
    </row>
    <row r="4" spans="1:54" x14ac:dyDescent="0.2">
      <c r="A4" s="1" t="str">
        <f>Totals!A4</f>
        <v>SALES TAX CASH COLLECTIONS DATABASE</v>
      </c>
    </row>
    <row r="5" spans="1:54" x14ac:dyDescent="0.2">
      <c r="A5" s="1" t="str">
        <f>Totals!A5</f>
        <v>1990-PRESENT</v>
      </c>
    </row>
    <row r="8" spans="1:54" x14ac:dyDescent="0.2">
      <c r="B8" s="1" t="s">
        <v>80</v>
      </c>
      <c r="C8" s="1" t="s">
        <v>82</v>
      </c>
      <c r="D8" s="1" t="s">
        <v>83</v>
      </c>
      <c r="E8" s="1" t="s">
        <v>84</v>
      </c>
      <c r="F8" s="1" t="s">
        <v>85</v>
      </c>
      <c r="G8" s="1" t="s">
        <v>86</v>
      </c>
      <c r="H8" s="1" t="s">
        <v>31</v>
      </c>
      <c r="I8" s="1" t="s">
        <v>87</v>
      </c>
      <c r="J8" s="1" t="s">
        <v>37</v>
      </c>
      <c r="K8" s="1" t="s">
        <v>88</v>
      </c>
      <c r="L8" s="1" t="s">
        <v>89</v>
      </c>
      <c r="M8" s="1" t="s">
        <v>90</v>
      </c>
      <c r="N8" s="1" t="s">
        <v>91</v>
      </c>
      <c r="O8" s="1" t="s">
        <v>92</v>
      </c>
      <c r="P8" s="1" t="s">
        <v>93</v>
      </c>
      <c r="Q8" s="1" t="s">
        <v>94</v>
      </c>
      <c r="R8" s="1" t="s">
        <v>95</v>
      </c>
      <c r="S8" s="1" t="s">
        <v>96</v>
      </c>
      <c r="T8" s="1" t="s">
        <v>97</v>
      </c>
      <c r="U8" s="1" t="s">
        <v>98</v>
      </c>
      <c r="V8" s="1" t="s">
        <v>99</v>
      </c>
      <c r="W8" s="1" t="s">
        <v>100</v>
      </c>
      <c r="X8" s="1" t="s">
        <v>101</v>
      </c>
      <c r="AC8" s="1" t="s">
        <v>103</v>
      </c>
      <c r="AD8" s="1" t="s">
        <v>104</v>
      </c>
      <c r="AE8" s="1" t="s">
        <v>105</v>
      </c>
      <c r="AF8" s="1" t="s">
        <v>106</v>
      </c>
      <c r="AG8" s="1" t="s">
        <v>107</v>
      </c>
      <c r="AH8" s="1" t="s">
        <v>108</v>
      </c>
      <c r="AI8" s="1" t="s">
        <v>50</v>
      </c>
      <c r="AJ8" s="1" t="s">
        <v>109</v>
      </c>
      <c r="AK8" s="1" t="s">
        <v>55</v>
      </c>
      <c r="AL8" s="1" t="s">
        <v>110</v>
      </c>
      <c r="AM8" s="1" t="s">
        <v>111</v>
      </c>
      <c r="AN8" s="1" t="s">
        <v>112</v>
      </c>
      <c r="AO8" s="1" t="s">
        <v>113</v>
      </c>
      <c r="AP8" s="1" t="s">
        <v>114</v>
      </c>
      <c r="AQ8" s="1" t="s">
        <v>115</v>
      </c>
      <c r="AR8" s="1" t="s">
        <v>116</v>
      </c>
      <c r="AS8" s="1" t="s">
        <v>117</v>
      </c>
      <c r="AT8" s="1" t="s">
        <v>118</v>
      </c>
      <c r="AU8" s="1" t="s">
        <v>119</v>
      </c>
      <c r="AV8" s="1" t="s">
        <v>120</v>
      </c>
      <c r="AW8" s="1" t="s">
        <v>121</v>
      </c>
      <c r="AX8" s="1" t="s">
        <v>122</v>
      </c>
      <c r="AY8" s="1" t="s">
        <v>122</v>
      </c>
    </row>
    <row r="9" spans="1:54" x14ac:dyDescent="0.2">
      <c r="B9" s="1" t="s">
        <v>81</v>
      </c>
      <c r="C9" s="1" t="s">
        <v>81</v>
      </c>
      <c r="D9" s="1" t="s">
        <v>81</v>
      </c>
      <c r="E9" s="1" t="s">
        <v>81</v>
      </c>
      <c r="F9" s="1" t="s">
        <v>81</v>
      </c>
      <c r="G9" s="1" t="s">
        <v>81</v>
      </c>
      <c r="H9" s="1" t="s">
        <v>81</v>
      </c>
      <c r="I9" s="1" t="s">
        <v>81</v>
      </c>
      <c r="J9" s="1" t="s">
        <v>81</v>
      </c>
      <c r="K9" s="1" t="s">
        <v>81</v>
      </c>
      <c r="L9" s="1" t="s">
        <v>81</v>
      </c>
      <c r="M9" s="1" t="s">
        <v>81</v>
      </c>
      <c r="N9" s="1" t="s">
        <v>81</v>
      </c>
      <c r="O9" s="1" t="s">
        <v>81</v>
      </c>
      <c r="P9" s="1" t="s">
        <v>81</v>
      </c>
      <c r="Q9" s="1" t="s">
        <v>81</v>
      </c>
      <c r="R9" s="1" t="s">
        <v>81</v>
      </c>
      <c r="S9" s="1" t="s">
        <v>81</v>
      </c>
      <c r="T9" s="1" t="s">
        <v>81</v>
      </c>
      <c r="U9" s="1" t="s">
        <v>81</v>
      </c>
      <c r="V9" s="1" t="s">
        <v>81</v>
      </c>
      <c r="W9" s="1" t="s">
        <v>164</v>
      </c>
      <c r="X9" s="1" t="s">
        <v>81</v>
      </c>
      <c r="Y9" s="1" t="s">
        <v>102</v>
      </c>
      <c r="Z9" s="1" t="s">
        <v>154</v>
      </c>
      <c r="AA9" s="1" t="s">
        <v>182</v>
      </c>
      <c r="AB9" s="1" t="s">
        <v>163</v>
      </c>
      <c r="AC9" s="1" t="s">
        <v>81</v>
      </c>
      <c r="AD9" s="1" t="s">
        <v>81</v>
      </c>
      <c r="AE9" s="1" t="s">
        <v>81</v>
      </c>
      <c r="AF9" s="1" t="s">
        <v>81</v>
      </c>
      <c r="AG9" s="1" t="s">
        <v>81</v>
      </c>
      <c r="AH9" s="1" t="s">
        <v>81</v>
      </c>
      <c r="AI9" s="1" t="s">
        <v>81</v>
      </c>
      <c r="AJ9" s="1" t="s">
        <v>81</v>
      </c>
      <c r="AK9" s="1" t="s">
        <v>81</v>
      </c>
      <c r="AL9" s="1" t="s">
        <v>81</v>
      </c>
      <c r="AM9" s="1" t="s">
        <v>81</v>
      </c>
      <c r="AN9" s="1" t="s">
        <v>81</v>
      </c>
      <c r="AO9" s="1" t="s">
        <v>81</v>
      </c>
      <c r="AP9" s="1" t="s">
        <v>81</v>
      </c>
      <c r="AQ9" s="1" t="s">
        <v>81</v>
      </c>
      <c r="AR9" s="1" t="s">
        <v>81</v>
      </c>
      <c r="AS9" s="1" t="s">
        <v>81</v>
      </c>
      <c r="AT9" s="1" t="s">
        <v>81</v>
      </c>
      <c r="AU9" s="1" t="s">
        <v>81</v>
      </c>
      <c r="AV9" s="1" t="s">
        <v>81</v>
      </c>
      <c r="AW9" s="1" t="s">
        <v>81</v>
      </c>
      <c r="AX9" s="1" t="s">
        <v>81</v>
      </c>
      <c r="AY9" s="1" t="s">
        <v>123</v>
      </c>
      <c r="AZ9" s="1" t="s">
        <v>152</v>
      </c>
      <c r="BA9" s="1" t="s">
        <v>148</v>
      </c>
      <c r="BB9" s="1" t="s">
        <v>16</v>
      </c>
    </row>
    <row r="11" spans="1:54" x14ac:dyDescent="0.2">
      <c r="A11" s="3">
        <v>45292</v>
      </c>
      <c r="B11" s="4">
        <v>0</v>
      </c>
      <c r="C11" s="4">
        <v>903446.61999999988</v>
      </c>
      <c r="D11" s="4">
        <v>0</v>
      </c>
      <c r="E11" s="4">
        <v>0</v>
      </c>
      <c r="F11" s="4">
        <v>0</v>
      </c>
      <c r="G11" s="4">
        <v>1.3099999999999998</v>
      </c>
      <c r="H11" s="4">
        <v>0</v>
      </c>
      <c r="I11" s="4">
        <v>0</v>
      </c>
      <c r="J11" s="4">
        <v>0</v>
      </c>
      <c r="K11" s="4">
        <v>413.8</v>
      </c>
      <c r="L11" s="4">
        <v>0</v>
      </c>
      <c r="M11" s="4">
        <v>379930.24</v>
      </c>
      <c r="N11" s="4">
        <v>368264.76</v>
      </c>
      <c r="O11" s="4">
        <v>99.87</v>
      </c>
      <c r="P11" s="4">
        <v>1116436.7799999998</v>
      </c>
      <c r="Q11" s="4">
        <v>435438.6</v>
      </c>
      <c r="R11" s="4">
        <v>0</v>
      </c>
      <c r="S11" s="4">
        <v>251015.57</v>
      </c>
      <c r="T11" s="4">
        <v>201540.03</v>
      </c>
      <c r="U11" s="4">
        <v>0</v>
      </c>
      <c r="V11" s="4">
        <v>2339255.63</v>
      </c>
      <c r="W11" s="4">
        <v>872743283.86000013</v>
      </c>
      <c r="X11" s="4">
        <v>637477.56999999995</v>
      </c>
      <c r="Y11" s="4">
        <v>106522156.78000002</v>
      </c>
      <c r="Z11" s="4">
        <v>67156.849999999991</v>
      </c>
      <c r="AA11" s="4">
        <v>0</v>
      </c>
      <c r="AB11" s="4">
        <v>-2.3843313101679087E-8</v>
      </c>
      <c r="AC11" s="4">
        <v>178871.55000000005</v>
      </c>
      <c r="AD11" s="4">
        <v>3360308.55</v>
      </c>
      <c r="AE11" s="4">
        <v>0</v>
      </c>
      <c r="AF11" s="4">
        <v>257546.98</v>
      </c>
      <c r="AG11" s="4">
        <v>181934.03</v>
      </c>
      <c r="AH11" s="4">
        <v>370294.57999999996</v>
      </c>
      <c r="AI11" s="4">
        <v>522236.18000000005</v>
      </c>
      <c r="AJ11" s="4">
        <v>0</v>
      </c>
      <c r="AK11" s="4">
        <v>1542487.36</v>
      </c>
      <c r="AL11" s="4">
        <v>0</v>
      </c>
      <c r="AM11" s="4">
        <v>61340.020000000004</v>
      </c>
      <c r="AN11" s="4">
        <v>0</v>
      </c>
      <c r="AO11" s="4">
        <v>789808.57999999984</v>
      </c>
      <c r="AP11" s="4">
        <v>0</v>
      </c>
      <c r="AQ11" s="4">
        <v>76594.680000000008</v>
      </c>
      <c r="AR11" s="4">
        <v>1291695.1199999999</v>
      </c>
      <c r="AS11" s="4">
        <v>0</v>
      </c>
      <c r="AT11" s="4">
        <v>0</v>
      </c>
      <c r="AU11" s="4">
        <v>217.53</v>
      </c>
      <c r="AV11" s="4">
        <v>1133868.77</v>
      </c>
      <c r="AW11" s="4">
        <v>4943308.05</v>
      </c>
      <c r="AX11" s="4">
        <v>6930534.8100000005</v>
      </c>
      <c r="AY11" s="4">
        <v>3465574.9799999995</v>
      </c>
      <c r="AZ11" s="4">
        <v>0</v>
      </c>
      <c r="BA11" s="4">
        <v>3636178.2</v>
      </c>
      <c r="BB11" s="4">
        <f t="shared" ref="BB11:BB21" si="0">SUM(B11:BA11)</f>
        <v>1014708718.24</v>
      </c>
    </row>
    <row r="12" spans="1:54" x14ac:dyDescent="0.2">
      <c r="A12" s="3">
        <v>45323</v>
      </c>
      <c r="B12" s="4">
        <v>0</v>
      </c>
      <c r="C12" s="4">
        <v>785962.46</v>
      </c>
      <c r="D12" s="4">
        <v>0</v>
      </c>
      <c r="E12" s="4">
        <v>0</v>
      </c>
      <c r="F12" s="4">
        <v>0</v>
      </c>
      <c r="G12" s="4">
        <v>224.78</v>
      </c>
      <c r="H12" s="4">
        <v>0</v>
      </c>
      <c r="I12" s="4">
        <v>0</v>
      </c>
      <c r="J12" s="4">
        <v>0</v>
      </c>
      <c r="K12" s="4">
        <v>83.44</v>
      </c>
      <c r="L12" s="4">
        <v>0</v>
      </c>
      <c r="M12" s="4">
        <v>330388.47999999998</v>
      </c>
      <c r="N12" s="4">
        <v>334619.11000000004</v>
      </c>
      <c r="O12" s="4">
        <v>662.49</v>
      </c>
      <c r="P12" s="4">
        <v>981907.95</v>
      </c>
      <c r="Q12" s="4">
        <v>367971.87</v>
      </c>
      <c r="R12" s="4">
        <v>0</v>
      </c>
      <c r="S12" s="4">
        <v>216205.15</v>
      </c>
      <c r="T12" s="4">
        <v>175605.52</v>
      </c>
      <c r="U12" s="4">
        <v>0</v>
      </c>
      <c r="V12" s="4">
        <v>2057395.12</v>
      </c>
      <c r="W12" s="4">
        <v>758521206.43999994</v>
      </c>
      <c r="X12" s="4">
        <v>577828.01</v>
      </c>
      <c r="Y12" s="4">
        <v>93333473.63000001</v>
      </c>
      <c r="Z12" s="4">
        <v>4749.29</v>
      </c>
      <c r="AA12" s="4">
        <v>68278.100000000006</v>
      </c>
      <c r="AB12" s="4">
        <v>0</v>
      </c>
      <c r="AC12" s="4">
        <v>155565.88</v>
      </c>
      <c r="AD12" s="4">
        <v>2896751.58</v>
      </c>
      <c r="AE12" s="4">
        <v>0</v>
      </c>
      <c r="AF12" s="4">
        <v>217203.08000000002</v>
      </c>
      <c r="AG12" s="4">
        <v>156077.27000000002</v>
      </c>
      <c r="AH12" s="4">
        <v>398976.81000000011</v>
      </c>
      <c r="AI12" s="4">
        <v>456996.87</v>
      </c>
      <c r="AJ12" s="4">
        <v>0</v>
      </c>
      <c r="AK12" s="4">
        <v>1353212.75</v>
      </c>
      <c r="AL12" s="4">
        <v>0</v>
      </c>
      <c r="AM12" s="4">
        <v>53813.35</v>
      </c>
      <c r="AN12" s="4">
        <v>0</v>
      </c>
      <c r="AO12" s="4">
        <v>664660.16999999993</v>
      </c>
      <c r="AP12" s="4">
        <v>0</v>
      </c>
      <c r="AQ12" s="4">
        <v>66201.66</v>
      </c>
      <c r="AR12" s="4">
        <v>1099458.5600000001</v>
      </c>
      <c r="AS12" s="4">
        <v>0</v>
      </c>
      <c r="AT12" s="4">
        <v>0</v>
      </c>
      <c r="AU12" s="4">
        <v>12.4</v>
      </c>
      <c r="AV12" s="4">
        <v>971024.60000000009</v>
      </c>
      <c r="AW12" s="4">
        <v>4430433.12</v>
      </c>
      <c r="AX12" s="4">
        <v>6050804.3999999994</v>
      </c>
      <c r="AY12" s="4">
        <v>3026901.8400000003</v>
      </c>
      <c r="AZ12" s="4">
        <v>0</v>
      </c>
      <c r="BA12" s="4">
        <v>3518936.29</v>
      </c>
      <c r="BB12" s="4">
        <f t="shared" si="0"/>
        <v>883273592.46999979</v>
      </c>
    </row>
    <row r="13" spans="1:54" x14ac:dyDescent="0.2">
      <c r="A13" s="3">
        <v>45352</v>
      </c>
      <c r="B13" s="4">
        <v>0</v>
      </c>
      <c r="C13" s="4">
        <v>1037094.9</v>
      </c>
      <c r="D13" s="4">
        <v>0</v>
      </c>
      <c r="E13" s="4">
        <v>0</v>
      </c>
      <c r="F13" s="4">
        <v>0</v>
      </c>
      <c r="G13" s="4">
        <v>3.3500000000000005</v>
      </c>
      <c r="H13" s="4">
        <v>0</v>
      </c>
      <c r="I13" s="4">
        <v>0</v>
      </c>
      <c r="J13" s="4">
        <v>0</v>
      </c>
      <c r="K13" s="4">
        <v>-1.56</v>
      </c>
      <c r="L13" s="4">
        <v>0</v>
      </c>
      <c r="M13" s="4">
        <v>488562.31</v>
      </c>
      <c r="N13" s="4">
        <v>413805.12</v>
      </c>
      <c r="O13" s="4">
        <v>24.15</v>
      </c>
      <c r="P13" s="4">
        <v>1157435.8399999999</v>
      </c>
      <c r="Q13" s="4">
        <v>523331.28999999992</v>
      </c>
      <c r="R13" s="4">
        <v>0</v>
      </c>
      <c r="S13" s="4">
        <v>208775.35</v>
      </c>
      <c r="T13" s="4">
        <v>556128.37</v>
      </c>
      <c r="U13" s="4">
        <v>0</v>
      </c>
      <c r="V13" s="4">
        <v>2976261.1800000006</v>
      </c>
      <c r="W13" s="4">
        <v>931060898.79999995</v>
      </c>
      <c r="X13" s="4">
        <v>1045929.02</v>
      </c>
      <c r="Y13" s="4">
        <v>124375459.64999999</v>
      </c>
      <c r="Z13" s="4">
        <v>13631392.1</v>
      </c>
      <c r="AA13" s="4">
        <v>227913.38</v>
      </c>
      <c r="AB13" s="4">
        <v>0</v>
      </c>
      <c r="AC13" s="4">
        <v>70854.930000000022</v>
      </c>
      <c r="AD13" s="4">
        <v>3875430.0500000003</v>
      </c>
      <c r="AE13" s="4">
        <v>0</v>
      </c>
      <c r="AF13" s="4">
        <v>170352.82</v>
      </c>
      <c r="AG13" s="4">
        <v>144522.06</v>
      </c>
      <c r="AH13" s="4">
        <v>443586.18999999994</v>
      </c>
      <c r="AI13" s="4">
        <v>589182.90999999992</v>
      </c>
      <c r="AJ13" s="4">
        <v>0</v>
      </c>
      <c r="AK13" s="4">
        <v>2523747.66</v>
      </c>
      <c r="AL13" s="4">
        <v>0</v>
      </c>
      <c r="AM13" s="4">
        <v>18486.850000000002</v>
      </c>
      <c r="AN13" s="4">
        <v>0</v>
      </c>
      <c r="AO13" s="4">
        <v>914768.7699999999</v>
      </c>
      <c r="AP13" s="4">
        <v>0</v>
      </c>
      <c r="AQ13" s="4">
        <v>78509</v>
      </c>
      <c r="AR13" s="4">
        <v>1584090.6500000001</v>
      </c>
      <c r="AS13" s="4">
        <v>0</v>
      </c>
      <c r="AT13" s="4">
        <v>0</v>
      </c>
      <c r="AU13" s="4">
        <v>3279.12</v>
      </c>
      <c r="AV13" s="4">
        <v>1296610.97</v>
      </c>
      <c r="AW13" s="4">
        <v>4715580.83</v>
      </c>
      <c r="AX13" s="4">
        <v>8045963.9199999999</v>
      </c>
      <c r="AY13" s="4">
        <v>4023147.8099999996</v>
      </c>
      <c r="AZ13" s="4">
        <v>0</v>
      </c>
      <c r="BA13" s="4">
        <v>3711871.67</v>
      </c>
      <c r="BB13" s="4">
        <f t="shared" si="0"/>
        <v>1109912999.46</v>
      </c>
    </row>
    <row r="14" spans="1:54" x14ac:dyDescent="0.2">
      <c r="A14" s="3">
        <v>45383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>
        <f t="shared" si="0"/>
        <v>0</v>
      </c>
    </row>
    <row r="15" spans="1:54" x14ac:dyDescent="0.2">
      <c r="A15" s="3">
        <v>45413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>
        <f t="shared" si="0"/>
        <v>0</v>
      </c>
    </row>
    <row r="16" spans="1:54" x14ac:dyDescent="0.2">
      <c r="A16" s="3">
        <v>45444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>
        <f t="shared" si="0"/>
        <v>0</v>
      </c>
    </row>
    <row r="17" spans="1:54" x14ac:dyDescent="0.2">
      <c r="A17" s="3">
        <v>45474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>
        <f t="shared" si="0"/>
        <v>0</v>
      </c>
    </row>
    <row r="18" spans="1:54" x14ac:dyDescent="0.2">
      <c r="A18" s="3">
        <v>45505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>
        <f t="shared" si="0"/>
        <v>0</v>
      </c>
    </row>
    <row r="19" spans="1:54" x14ac:dyDescent="0.2">
      <c r="A19" s="3">
        <v>45536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>
        <f t="shared" si="0"/>
        <v>0</v>
      </c>
    </row>
    <row r="20" spans="1:54" x14ac:dyDescent="0.2">
      <c r="A20" s="3">
        <v>45566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>
        <f t="shared" si="0"/>
        <v>0</v>
      </c>
    </row>
    <row r="21" spans="1:54" x14ac:dyDescent="0.2">
      <c r="A21" s="3">
        <v>45597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>
        <f t="shared" si="0"/>
        <v>0</v>
      </c>
    </row>
    <row r="22" spans="1:54" x14ac:dyDescent="0.2">
      <c r="A22" s="3">
        <v>45627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10"/>
      <c r="Z22" s="10"/>
      <c r="AA22" s="10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>
        <f>SUM(B22:BA22)</f>
        <v>0</v>
      </c>
    </row>
    <row r="23" spans="1:54" ht="15.75" thickBot="1" x14ac:dyDescent="0.25">
      <c r="A23" s="7" t="s">
        <v>184</v>
      </c>
      <c r="B23" s="5">
        <f>SUM(B11:B22)</f>
        <v>0</v>
      </c>
      <c r="C23" s="5">
        <f t="shared" ref="C23:BB23" si="1">SUM(C11:C22)</f>
        <v>2726503.98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229.44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495.68</v>
      </c>
      <c r="L23" s="5">
        <f t="shared" si="1"/>
        <v>0</v>
      </c>
      <c r="M23" s="5">
        <f t="shared" si="1"/>
        <v>1198881.03</v>
      </c>
      <c r="N23" s="5">
        <f t="shared" si="1"/>
        <v>1116688.9900000002</v>
      </c>
      <c r="O23" s="5">
        <f t="shared" si="1"/>
        <v>786.51</v>
      </c>
      <c r="P23" s="5">
        <f t="shared" si="1"/>
        <v>3255780.5699999994</v>
      </c>
      <c r="Q23" s="5">
        <f t="shared" si="1"/>
        <v>1326741.7599999998</v>
      </c>
      <c r="R23" s="5">
        <f t="shared" si="1"/>
        <v>0</v>
      </c>
      <c r="S23" s="5">
        <f t="shared" si="1"/>
        <v>675996.07</v>
      </c>
      <c r="T23" s="5">
        <f t="shared" si="1"/>
        <v>933273.91999999993</v>
      </c>
      <c r="U23" s="5">
        <f t="shared" si="1"/>
        <v>0</v>
      </c>
      <c r="V23" s="5">
        <f t="shared" si="1"/>
        <v>7372911.9300000006</v>
      </c>
      <c r="W23" s="5">
        <f t="shared" si="1"/>
        <v>2562325389.1000004</v>
      </c>
      <c r="X23" s="5">
        <f t="shared" si="1"/>
        <v>2261234.6</v>
      </c>
      <c r="Y23" s="5">
        <f t="shared" si="1"/>
        <v>324231090.06</v>
      </c>
      <c r="Z23" s="5">
        <f t="shared" si="1"/>
        <v>13703298.24</v>
      </c>
      <c r="AA23" s="5">
        <f t="shared" si="1"/>
        <v>296191.48</v>
      </c>
      <c r="AB23" s="5">
        <f t="shared" si="1"/>
        <v>-2.3843313101679087E-8</v>
      </c>
      <c r="AC23" s="5">
        <f t="shared" si="1"/>
        <v>405292.3600000001</v>
      </c>
      <c r="AD23" s="5">
        <f t="shared" si="1"/>
        <v>10132490.18</v>
      </c>
      <c r="AE23" s="5">
        <f t="shared" si="1"/>
        <v>0</v>
      </c>
      <c r="AF23" s="5">
        <f t="shared" si="1"/>
        <v>645102.88000000012</v>
      </c>
      <c r="AG23" s="5">
        <f t="shared" si="1"/>
        <v>482533.36000000004</v>
      </c>
      <c r="AH23" s="5">
        <f t="shared" si="1"/>
        <v>1212857.58</v>
      </c>
      <c r="AI23" s="5">
        <f t="shared" si="1"/>
        <v>1568415.96</v>
      </c>
      <c r="AJ23" s="5">
        <f t="shared" si="1"/>
        <v>0</v>
      </c>
      <c r="AK23" s="5">
        <f t="shared" si="1"/>
        <v>5419447.7700000005</v>
      </c>
      <c r="AL23" s="5">
        <f t="shared" si="1"/>
        <v>0</v>
      </c>
      <c r="AM23" s="5">
        <f t="shared" si="1"/>
        <v>133640.22</v>
      </c>
      <c r="AN23" s="5">
        <f t="shared" si="1"/>
        <v>0</v>
      </c>
      <c r="AO23" s="5">
        <f t="shared" si="1"/>
        <v>2369237.5199999996</v>
      </c>
      <c r="AP23" s="5">
        <f t="shared" si="1"/>
        <v>0</v>
      </c>
      <c r="AQ23" s="5">
        <f t="shared" si="1"/>
        <v>221305.34000000003</v>
      </c>
      <c r="AR23" s="5">
        <f t="shared" si="1"/>
        <v>3975244.33</v>
      </c>
      <c r="AS23" s="5">
        <f t="shared" si="1"/>
        <v>0</v>
      </c>
      <c r="AT23" s="5">
        <f t="shared" si="1"/>
        <v>0</v>
      </c>
      <c r="AU23" s="5">
        <f t="shared" si="1"/>
        <v>3509.0499999999997</v>
      </c>
      <c r="AV23" s="5">
        <f t="shared" si="1"/>
        <v>3401504.34</v>
      </c>
      <c r="AW23" s="5">
        <f t="shared" si="1"/>
        <v>14089322</v>
      </c>
      <c r="AX23" s="5">
        <f t="shared" si="1"/>
        <v>21027303.130000003</v>
      </c>
      <c r="AY23" s="5">
        <f t="shared" si="1"/>
        <v>10515624.629999999</v>
      </c>
      <c r="AZ23" s="5">
        <f t="shared" si="1"/>
        <v>0</v>
      </c>
      <c r="BA23" s="5">
        <f t="shared" si="1"/>
        <v>10866986.16</v>
      </c>
      <c r="BB23" s="5">
        <f t="shared" si="1"/>
        <v>3007895310.1700001</v>
      </c>
    </row>
    <row r="24" spans="1:54" ht="15.75" thickTop="1" x14ac:dyDescent="0.2"/>
    <row r="25" spans="1:54" x14ac:dyDescent="0.2">
      <c r="A25" s="3">
        <v>44927</v>
      </c>
      <c r="B25" s="4">
        <v>0</v>
      </c>
      <c r="C25" s="4">
        <v>956006.74</v>
      </c>
      <c r="D25" s="4">
        <v>0</v>
      </c>
      <c r="E25" s="4">
        <v>0</v>
      </c>
      <c r="F25" s="4">
        <v>0</v>
      </c>
      <c r="G25" s="4">
        <v>1.92</v>
      </c>
      <c r="H25" s="4">
        <v>0</v>
      </c>
      <c r="I25" s="4">
        <v>0</v>
      </c>
      <c r="J25" s="4">
        <v>0</v>
      </c>
      <c r="K25" s="4">
        <v>137.02000000000001</v>
      </c>
      <c r="L25" s="4">
        <v>0</v>
      </c>
      <c r="M25" s="4">
        <v>346908.52</v>
      </c>
      <c r="N25" s="4">
        <v>392708.43000000005</v>
      </c>
      <c r="O25" s="4">
        <v>179.89</v>
      </c>
      <c r="P25" s="4">
        <v>1207045.4499999997</v>
      </c>
      <c r="Q25" s="4">
        <v>451649.52999999997</v>
      </c>
      <c r="R25" s="4">
        <v>0</v>
      </c>
      <c r="S25" s="4">
        <v>241318.00999999998</v>
      </c>
      <c r="T25" s="4">
        <v>211303.94</v>
      </c>
      <c r="U25" s="4">
        <v>0</v>
      </c>
      <c r="V25" s="4">
        <v>2483659.16</v>
      </c>
      <c r="W25" s="4">
        <v>843571822.9599998</v>
      </c>
      <c r="X25" s="4">
        <v>635028.65</v>
      </c>
      <c r="Y25" s="4">
        <v>105130242.24000001</v>
      </c>
      <c r="Z25" s="4">
        <v>149917.79999999999</v>
      </c>
      <c r="AA25" s="4">
        <v>31.66</v>
      </c>
      <c r="AB25" s="4">
        <v>5.7219949667342007E-8</v>
      </c>
      <c r="AC25" s="4">
        <v>176506.47</v>
      </c>
      <c r="AD25" s="4">
        <v>3320763.08</v>
      </c>
      <c r="AE25" s="4">
        <v>0</v>
      </c>
      <c r="AF25" s="4">
        <v>220882.09</v>
      </c>
      <c r="AG25" s="4">
        <v>209741.73000000004</v>
      </c>
      <c r="AH25" s="4">
        <v>450623.57999999996</v>
      </c>
      <c r="AI25" s="4">
        <v>569628.61</v>
      </c>
      <c r="AJ25" s="4">
        <v>0</v>
      </c>
      <c r="AK25" s="4">
        <v>1435864</v>
      </c>
      <c r="AL25" s="4">
        <v>0</v>
      </c>
      <c r="AM25" s="4">
        <v>58419.820000000007</v>
      </c>
      <c r="AN25" s="4">
        <v>0</v>
      </c>
      <c r="AO25" s="4">
        <v>821656.65999999992</v>
      </c>
      <c r="AP25" s="4">
        <v>0</v>
      </c>
      <c r="AQ25" s="4">
        <v>74320.63</v>
      </c>
      <c r="AR25" s="4">
        <v>1143122.2299999997</v>
      </c>
      <c r="AS25" s="4">
        <v>0</v>
      </c>
      <c r="AT25" s="4">
        <v>29.52</v>
      </c>
      <c r="AU25" s="4">
        <v>1.3199999999999998</v>
      </c>
      <c r="AV25" s="4">
        <v>1156225.17</v>
      </c>
      <c r="AW25" s="4">
        <v>5217397.58</v>
      </c>
      <c r="AX25" s="4">
        <v>7305550.9499999993</v>
      </c>
      <c r="AY25" s="4">
        <v>3657065.29</v>
      </c>
      <c r="AZ25" s="4">
        <v>0</v>
      </c>
      <c r="BA25" s="4">
        <v>3355762.3400000003</v>
      </c>
      <c r="BB25" s="4">
        <f t="shared" ref="BB25:BB35" si="2">SUM(B25:BA25)</f>
        <v>984951522.99000001</v>
      </c>
    </row>
    <row r="26" spans="1:54" x14ac:dyDescent="0.2">
      <c r="A26" s="3">
        <v>44958</v>
      </c>
      <c r="B26" s="4">
        <v>0</v>
      </c>
      <c r="C26" s="4">
        <v>846149.85000000009</v>
      </c>
      <c r="D26" s="4">
        <v>0</v>
      </c>
      <c r="E26" s="4">
        <v>0</v>
      </c>
      <c r="F26" s="4">
        <v>0</v>
      </c>
      <c r="G26" s="4">
        <v>0.4</v>
      </c>
      <c r="H26" s="4">
        <v>0</v>
      </c>
      <c r="I26" s="4">
        <v>0</v>
      </c>
      <c r="J26" s="4">
        <v>0</v>
      </c>
      <c r="K26" s="4">
        <v>109.6</v>
      </c>
      <c r="L26" s="4">
        <v>0</v>
      </c>
      <c r="M26" s="4">
        <v>328654.14999999997</v>
      </c>
      <c r="N26" s="4">
        <v>352621.30999999994</v>
      </c>
      <c r="O26" s="4">
        <v>328.27</v>
      </c>
      <c r="P26" s="4">
        <v>1021861.4099999999</v>
      </c>
      <c r="Q26" s="4">
        <v>380075.57</v>
      </c>
      <c r="R26" s="4">
        <v>0</v>
      </c>
      <c r="S26" s="4">
        <v>203062.11000000002</v>
      </c>
      <c r="T26" s="4">
        <v>185922.3</v>
      </c>
      <c r="U26" s="4">
        <v>0</v>
      </c>
      <c r="V26" s="4">
        <v>2242514.2199999997</v>
      </c>
      <c r="W26" s="4">
        <v>717827873.41000009</v>
      </c>
      <c r="X26" s="4">
        <v>516095.73</v>
      </c>
      <c r="Y26" s="4">
        <v>90033645.320000008</v>
      </c>
      <c r="Z26" s="4">
        <v>20065.95</v>
      </c>
      <c r="AA26" s="4">
        <v>1.98</v>
      </c>
      <c r="AB26" s="4">
        <v>0</v>
      </c>
      <c r="AC26" s="4">
        <v>146827.69</v>
      </c>
      <c r="AD26" s="4">
        <v>2992022.0100000002</v>
      </c>
      <c r="AE26" s="4">
        <v>0</v>
      </c>
      <c r="AF26" s="4">
        <v>193279.39</v>
      </c>
      <c r="AG26" s="4">
        <v>174791.53999999998</v>
      </c>
      <c r="AH26" s="4">
        <v>347047.82999999996</v>
      </c>
      <c r="AI26" s="4">
        <v>481862.12</v>
      </c>
      <c r="AJ26" s="4">
        <v>0</v>
      </c>
      <c r="AK26" s="4">
        <v>1319815.23</v>
      </c>
      <c r="AL26" s="4">
        <v>0</v>
      </c>
      <c r="AM26" s="4">
        <v>49654.58</v>
      </c>
      <c r="AN26" s="4">
        <v>0</v>
      </c>
      <c r="AO26" s="4">
        <v>744663.7</v>
      </c>
      <c r="AP26" s="4">
        <v>0</v>
      </c>
      <c r="AQ26" s="4">
        <v>64909.17</v>
      </c>
      <c r="AR26" s="4">
        <v>1037410.17</v>
      </c>
      <c r="AS26" s="4">
        <v>0</v>
      </c>
      <c r="AT26" s="4">
        <v>0.56999999999999995</v>
      </c>
      <c r="AU26" s="4">
        <v>0</v>
      </c>
      <c r="AV26" s="4">
        <v>931539.79999999981</v>
      </c>
      <c r="AW26" s="4">
        <v>4128168.3400000003</v>
      </c>
      <c r="AX26" s="4">
        <v>6413878.8100000005</v>
      </c>
      <c r="AY26" s="4">
        <v>3210827.6899999995</v>
      </c>
      <c r="AZ26" s="4">
        <v>0</v>
      </c>
      <c r="BA26" s="4">
        <v>2654901.5599999996</v>
      </c>
      <c r="BB26" s="4">
        <f t="shared" si="2"/>
        <v>838850581.78000033</v>
      </c>
    </row>
    <row r="27" spans="1:54" x14ac:dyDescent="0.2">
      <c r="A27" s="3">
        <v>44986</v>
      </c>
      <c r="B27" s="4">
        <v>0</v>
      </c>
      <c r="C27" s="4">
        <v>787283.33000000007</v>
      </c>
      <c r="D27" s="4">
        <v>0</v>
      </c>
      <c r="E27" s="4">
        <v>0</v>
      </c>
      <c r="F27" s="4">
        <v>0</v>
      </c>
      <c r="G27" s="4">
        <v>1.0000000000436557E-2</v>
      </c>
      <c r="H27" s="4">
        <v>0</v>
      </c>
      <c r="I27" s="4">
        <v>0</v>
      </c>
      <c r="J27" s="4">
        <v>0</v>
      </c>
      <c r="K27" s="4">
        <v>42.68</v>
      </c>
      <c r="L27" s="4">
        <v>0</v>
      </c>
      <c r="M27" s="4">
        <v>430532.48999999993</v>
      </c>
      <c r="N27" s="4">
        <v>358320.51</v>
      </c>
      <c r="O27" s="4">
        <v>120.55</v>
      </c>
      <c r="P27" s="4">
        <v>1081503.9800000002</v>
      </c>
      <c r="Q27" s="4">
        <v>493172.31</v>
      </c>
      <c r="R27" s="4">
        <v>0</v>
      </c>
      <c r="S27" s="4">
        <v>295431.62</v>
      </c>
      <c r="T27" s="4">
        <v>501174.82</v>
      </c>
      <c r="U27" s="4">
        <v>0</v>
      </c>
      <c r="V27" s="4">
        <v>2418344.7999999998</v>
      </c>
      <c r="W27" s="4">
        <v>921526457.5200001</v>
      </c>
      <c r="X27" s="4">
        <v>696882.41999999993</v>
      </c>
      <c r="Y27" s="4">
        <v>119755183.59999999</v>
      </c>
      <c r="Z27" s="4">
        <v>13280816.590000004</v>
      </c>
      <c r="AA27" s="4">
        <v>207975.94999999998</v>
      </c>
      <c r="AB27" s="4">
        <v>-3.3527612686157227E-8</v>
      </c>
      <c r="AC27" s="4">
        <v>157835.03000000003</v>
      </c>
      <c r="AD27" s="4">
        <v>3426450.07</v>
      </c>
      <c r="AE27" s="4">
        <v>0</v>
      </c>
      <c r="AF27" s="4">
        <v>281440.36</v>
      </c>
      <c r="AG27" s="4">
        <v>112558.70999999999</v>
      </c>
      <c r="AH27" s="4">
        <v>453714.66000000003</v>
      </c>
      <c r="AI27" s="4">
        <v>473550.35</v>
      </c>
      <c r="AJ27" s="4">
        <v>0</v>
      </c>
      <c r="AK27" s="4">
        <v>1942839.34</v>
      </c>
      <c r="AL27" s="4">
        <v>0</v>
      </c>
      <c r="AM27" s="4">
        <v>51006.149999999994</v>
      </c>
      <c r="AN27" s="4">
        <v>0</v>
      </c>
      <c r="AO27" s="4">
        <v>939617.59000000008</v>
      </c>
      <c r="AP27" s="4">
        <v>0</v>
      </c>
      <c r="AQ27" s="4">
        <v>80509.149999999994</v>
      </c>
      <c r="AR27" s="4">
        <v>1513348.84</v>
      </c>
      <c r="AS27" s="4">
        <v>0</v>
      </c>
      <c r="AT27" s="4">
        <v>0.42000000000000004</v>
      </c>
      <c r="AU27" s="4">
        <v>4163.6999999999989</v>
      </c>
      <c r="AV27" s="4">
        <v>1194090.9499999997</v>
      </c>
      <c r="AW27" s="4">
        <v>5010697.3400000008</v>
      </c>
      <c r="AX27" s="4">
        <v>6056642.7300000004</v>
      </c>
      <c r="AY27" s="4">
        <v>3019601.8199999994</v>
      </c>
      <c r="AZ27" s="4">
        <v>0</v>
      </c>
      <c r="BA27" s="4">
        <v>5076191.0500000007</v>
      </c>
      <c r="BB27" s="4">
        <f t="shared" si="2"/>
        <v>1091627501.4400003</v>
      </c>
    </row>
    <row r="28" spans="1:54" x14ac:dyDescent="0.2">
      <c r="A28" s="3">
        <v>45017</v>
      </c>
      <c r="B28" s="4">
        <v>0</v>
      </c>
      <c r="C28" s="4">
        <v>835274.21</v>
      </c>
      <c r="D28" s="4">
        <v>0</v>
      </c>
      <c r="E28" s="4">
        <v>0</v>
      </c>
      <c r="F28" s="4">
        <v>0</v>
      </c>
      <c r="G28" s="4">
        <v>126.72999999999999</v>
      </c>
      <c r="H28" s="4">
        <v>0</v>
      </c>
      <c r="I28" s="4">
        <v>0</v>
      </c>
      <c r="J28" s="4">
        <v>439.49</v>
      </c>
      <c r="K28" s="4">
        <v>265.62</v>
      </c>
      <c r="L28" s="4">
        <v>0</v>
      </c>
      <c r="M28" s="4">
        <v>335484.16000000003</v>
      </c>
      <c r="N28" s="4">
        <v>358320.52</v>
      </c>
      <c r="O28" s="4">
        <v>199.09</v>
      </c>
      <c r="P28" s="4">
        <v>1043563.01</v>
      </c>
      <c r="Q28" s="4">
        <v>376703.12999999995</v>
      </c>
      <c r="R28" s="4">
        <v>0</v>
      </c>
      <c r="S28" s="4">
        <v>176389.57</v>
      </c>
      <c r="T28" s="4">
        <v>28602.469999999972</v>
      </c>
      <c r="U28" s="4">
        <v>0</v>
      </c>
      <c r="V28" s="4">
        <v>2524256.5499999998</v>
      </c>
      <c r="W28" s="4">
        <v>756211907.23000002</v>
      </c>
      <c r="X28" s="4">
        <v>645777.18999999994</v>
      </c>
      <c r="Y28" s="4">
        <v>97119646.169999987</v>
      </c>
      <c r="Z28" s="4">
        <v>65074.41</v>
      </c>
      <c r="AA28" s="4">
        <v>0</v>
      </c>
      <c r="AB28" s="4">
        <v>0</v>
      </c>
      <c r="AC28" s="4">
        <v>152030.40999999997</v>
      </c>
      <c r="AD28" s="4">
        <v>3161241.9000000004</v>
      </c>
      <c r="AE28" s="4">
        <v>0</v>
      </c>
      <c r="AF28" s="4">
        <v>173446.66999999998</v>
      </c>
      <c r="AG28" s="4">
        <v>122664.47</v>
      </c>
      <c r="AH28" s="4">
        <v>382939.4</v>
      </c>
      <c r="AI28" s="4">
        <v>506285.5</v>
      </c>
      <c r="AJ28" s="4">
        <v>0</v>
      </c>
      <c r="AK28" s="4">
        <v>1453993.3699999999</v>
      </c>
      <c r="AL28" s="4">
        <v>0</v>
      </c>
      <c r="AM28" s="4">
        <v>36563.119999999995</v>
      </c>
      <c r="AN28" s="4">
        <v>0</v>
      </c>
      <c r="AO28" s="4">
        <v>732288.02</v>
      </c>
      <c r="AP28" s="4">
        <v>0</v>
      </c>
      <c r="AQ28" s="4">
        <v>67427.08</v>
      </c>
      <c r="AR28" s="4">
        <v>1108717</v>
      </c>
      <c r="AS28" s="4">
        <v>0</v>
      </c>
      <c r="AT28" s="4">
        <v>0</v>
      </c>
      <c r="AU28" s="4">
        <v>73</v>
      </c>
      <c r="AV28" s="4">
        <v>1055492.18</v>
      </c>
      <c r="AW28" s="4">
        <v>4451691.3199999994</v>
      </c>
      <c r="AX28" s="4">
        <v>6451305.4500000011</v>
      </c>
      <c r="AY28" s="4">
        <v>3226856.9099999997</v>
      </c>
      <c r="AZ28" s="4">
        <v>0</v>
      </c>
      <c r="BA28" s="4">
        <v>3937038.47</v>
      </c>
      <c r="BB28" s="4">
        <f t="shared" si="2"/>
        <v>886742083.81999993</v>
      </c>
    </row>
    <row r="29" spans="1:54" x14ac:dyDescent="0.2">
      <c r="A29" s="3">
        <v>45047</v>
      </c>
      <c r="B29" s="4">
        <v>0</v>
      </c>
      <c r="C29" s="4">
        <v>810860.11999999988</v>
      </c>
      <c r="D29" s="4">
        <v>0</v>
      </c>
      <c r="E29" s="4">
        <v>0</v>
      </c>
      <c r="F29" s="4">
        <v>0</v>
      </c>
      <c r="G29" s="4">
        <v>310.87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346056.27</v>
      </c>
      <c r="N29" s="4">
        <v>348986.14</v>
      </c>
      <c r="O29" s="4">
        <v>482.96</v>
      </c>
      <c r="P29" s="4">
        <v>1030937.59</v>
      </c>
      <c r="Q29" s="4">
        <v>376838.75</v>
      </c>
      <c r="R29" s="4">
        <v>0</v>
      </c>
      <c r="S29" s="4">
        <v>190541.24</v>
      </c>
      <c r="T29" s="4">
        <v>198138.84999999998</v>
      </c>
      <c r="U29" s="4">
        <v>0</v>
      </c>
      <c r="V29" s="4">
        <v>2347403.61</v>
      </c>
      <c r="W29" s="4">
        <v>743906941.12999988</v>
      </c>
      <c r="X29" s="4">
        <v>588419.5</v>
      </c>
      <c r="Y29" s="4">
        <v>94986205.449999988</v>
      </c>
      <c r="Z29" s="4">
        <v>13319.02</v>
      </c>
      <c r="AA29" s="4">
        <v>0</v>
      </c>
      <c r="AB29" s="4">
        <v>4.7693902160972357E-9</v>
      </c>
      <c r="AC29" s="4">
        <v>149984.49</v>
      </c>
      <c r="AD29" s="4">
        <v>3085274.4699999997</v>
      </c>
      <c r="AE29" s="4">
        <v>0</v>
      </c>
      <c r="AF29" s="4">
        <v>172861.43999999997</v>
      </c>
      <c r="AG29" s="4">
        <v>127587.16000000002</v>
      </c>
      <c r="AH29" s="4">
        <v>394024.92</v>
      </c>
      <c r="AI29" s="4">
        <v>514595.71000000008</v>
      </c>
      <c r="AJ29" s="4">
        <v>0</v>
      </c>
      <c r="AK29" s="4">
        <v>1492407.02</v>
      </c>
      <c r="AL29" s="4">
        <v>0</v>
      </c>
      <c r="AM29" s="4">
        <v>36915.120000000003</v>
      </c>
      <c r="AN29" s="4">
        <v>0</v>
      </c>
      <c r="AO29" s="4">
        <v>754700.6100000001</v>
      </c>
      <c r="AP29" s="4">
        <v>0</v>
      </c>
      <c r="AQ29" s="4">
        <v>70538.490000000005</v>
      </c>
      <c r="AR29" s="4">
        <v>1144270.3599999999</v>
      </c>
      <c r="AS29" s="4">
        <v>0</v>
      </c>
      <c r="AT29" s="4">
        <v>0</v>
      </c>
      <c r="AU29" s="4">
        <v>-3.54</v>
      </c>
      <c r="AV29" s="4">
        <v>1017581.4000000001</v>
      </c>
      <c r="AW29" s="4">
        <v>4310314.5600000005</v>
      </c>
      <c r="AX29" s="4">
        <v>6267886.8200000003</v>
      </c>
      <c r="AY29" s="4">
        <v>3134437.54</v>
      </c>
      <c r="AZ29" s="4">
        <v>0</v>
      </c>
      <c r="BA29" s="4">
        <v>3821154.2800000003</v>
      </c>
      <c r="BB29" s="4">
        <f t="shared" si="2"/>
        <v>871639972.34999979</v>
      </c>
    </row>
    <row r="30" spans="1:54" x14ac:dyDescent="0.2">
      <c r="A30" s="3">
        <v>45078</v>
      </c>
      <c r="B30" s="4">
        <v>0</v>
      </c>
      <c r="C30" s="4">
        <v>1018681.8899999999</v>
      </c>
      <c r="D30" s="4">
        <v>0</v>
      </c>
      <c r="E30" s="4">
        <v>0</v>
      </c>
      <c r="F30" s="4">
        <v>0</v>
      </c>
      <c r="G30" s="4">
        <v>-95.96</v>
      </c>
      <c r="H30" s="4">
        <v>0</v>
      </c>
      <c r="I30" s="4">
        <v>0</v>
      </c>
      <c r="J30" s="4">
        <v>-1.4100000000000001</v>
      </c>
      <c r="K30" s="4">
        <v>-0.85</v>
      </c>
      <c r="L30" s="4">
        <v>0</v>
      </c>
      <c r="M30" s="4">
        <v>585074.32999999984</v>
      </c>
      <c r="N30" s="4">
        <v>429299.44999999995</v>
      </c>
      <c r="O30" s="4">
        <v>84.86</v>
      </c>
      <c r="P30" s="4">
        <v>1471324.0999999999</v>
      </c>
      <c r="Q30" s="4">
        <v>553998.61</v>
      </c>
      <c r="R30" s="4">
        <v>0</v>
      </c>
      <c r="S30" s="4">
        <v>277820.8600000001</v>
      </c>
      <c r="T30" s="4">
        <v>499195.94</v>
      </c>
      <c r="U30" s="4">
        <v>0</v>
      </c>
      <c r="V30" s="4">
        <v>3342120.8</v>
      </c>
      <c r="W30" s="4">
        <v>993846412.9000001</v>
      </c>
      <c r="X30" s="4">
        <v>1015394.45</v>
      </c>
      <c r="Y30" s="4">
        <v>136593535.82999998</v>
      </c>
      <c r="Z30" s="4">
        <v>14696154.180000002</v>
      </c>
      <c r="AA30" s="4">
        <v>280379.91000000003</v>
      </c>
      <c r="AB30" s="4">
        <v>-1.3969838619232178E-8</v>
      </c>
      <c r="AC30" s="4">
        <v>77978.339999999982</v>
      </c>
      <c r="AD30" s="4">
        <v>3995062.5199999996</v>
      </c>
      <c r="AE30" s="4">
        <v>0</v>
      </c>
      <c r="AF30" s="4">
        <v>218655.56000000006</v>
      </c>
      <c r="AG30" s="4">
        <v>235678.22000000003</v>
      </c>
      <c r="AH30" s="4">
        <v>539912.04</v>
      </c>
      <c r="AI30" s="4">
        <v>855146.99999999988</v>
      </c>
      <c r="AJ30" s="4">
        <v>0</v>
      </c>
      <c r="AK30" s="4">
        <v>2717033.1799999997</v>
      </c>
      <c r="AL30" s="4">
        <v>0</v>
      </c>
      <c r="AM30" s="4">
        <v>33988.439999999995</v>
      </c>
      <c r="AN30" s="4">
        <v>0</v>
      </c>
      <c r="AO30" s="4">
        <v>1106947.52</v>
      </c>
      <c r="AP30" s="4">
        <v>0</v>
      </c>
      <c r="AQ30" s="4">
        <v>79591.23000000001</v>
      </c>
      <c r="AR30" s="4">
        <v>1996920.1500000004</v>
      </c>
      <c r="AS30" s="4">
        <v>0</v>
      </c>
      <c r="AT30" s="4">
        <v>7.8</v>
      </c>
      <c r="AU30" s="4">
        <v>3977.02</v>
      </c>
      <c r="AV30" s="4">
        <v>1467592.7699999998</v>
      </c>
      <c r="AW30" s="4">
        <v>4799663.0999999996</v>
      </c>
      <c r="AX30" s="4">
        <v>7124189.4299999988</v>
      </c>
      <c r="AY30" s="4">
        <v>3561857.7</v>
      </c>
      <c r="AZ30" s="4">
        <v>0</v>
      </c>
      <c r="BA30" s="4">
        <v>4654299.92</v>
      </c>
      <c r="BB30" s="4">
        <f t="shared" si="2"/>
        <v>1188077881.8300004</v>
      </c>
    </row>
    <row r="31" spans="1:54" x14ac:dyDescent="0.2">
      <c r="A31" s="3">
        <v>45108</v>
      </c>
      <c r="B31" s="4">
        <v>0</v>
      </c>
      <c r="C31" s="4">
        <v>886188.87999999989</v>
      </c>
      <c r="D31" s="4">
        <v>0</v>
      </c>
      <c r="E31" s="4">
        <v>0</v>
      </c>
      <c r="F31" s="4">
        <v>0</v>
      </c>
      <c r="G31" s="4">
        <v>6.45</v>
      </c>
      <c r="H31" s="4">
        <v>0</v>
      </c>
      <c r="I31" s="4">
        <v>0</v>
      </c>
      <c r="J31" s="4">
        <v>0</v>
      </c>
      <c r="K31" s="4">
        <v>61.04</v>
      </c>
      <c r="L31" s="4">
        <v>0</v>
      </c>
      <c r="M31" s="4">
        <v>403862.19999999995</v>
      </c>
      <c r="N31" s="4">
        <v>381591.73000000004</v>
      </c>
      <c r="O31" s="4">
        <v>124.94</v>
      </c>
      <c r="P31" s="4">
        <v>1112912.8399999999</v>
      </c>
      <c r="Q31" s="4">
        <v>397779.63</v>
      </c>
      <c r="R31" s="4">
        <v>0</v>
      </c>
      <c r="S31" s="4">
        <v>180055.12</v>
      </c>
      <c r="T31" s="4">
        <v>356137.16000000003</v>
      </c>
      <c r="U31" s="4">
        <v>0</v>
      </c>
      <c r="V31" s="4">
        <v>2201473.25</v>
      </c>
      <c r="W31" s="4">
        <v>777153982.04000008</v>
      </c>
      <c r="X31" s="4">
        <v>1025361.1</v>
      </c>
      <c r="Y31" s="4">
        <v>99498915.609999999</v>
      </c>
      <c r="Z31" s="4">
        <v>32928.119999999995</v>
      </c>
      <c r="AA31" s="4">
        <v>75.360000000000014</v>
      </c>
      <c r="AB31" s="4">
        <v>0</v>
      </c>
      <c r="AC31" s="4">
        <v>90018.639999999985</v>
      </c>
      <c r="AD31" s="4">
        <v>3174860.41</v>
      </c>
      <c r="AE31" s="4">
        <v>0</v>
      </c>
      <c r="AF31" s="4">
        <v>178885.02000000002</v>
      </c>
      <c r="AG31" s="4">
        <v>150241.16999999998</v>
      </c>
      <c r="AH31" s="4">
        <v>432031.89</v>
      </c>
      <c r="AI31" s="4">
        <v>551527.37</v>
      </c>
      <c r="AJ31" s="4">
        <v>0</v>
      </c>
      <c r="AK31" s="4">
        <v>1615398.6400000001</v>
      </c>
      <c r="AL31" s="4">
        <v>0</v>
      </c>
      <c r="AM31" s="4">
        <v>34724.069999999992</v>
      </c>
      <c r="AN31" s="4">
        <v>0</v>
      </c>
      <c r="AO31" s="4">
        <v>781507.48</v>
      </c>
      <c r="AP31" s="4">
        <v>0</v>
      </c>
      <c r="AQ31" s="4">
        <v>63860.540000000008</v>
      </c>
      <c r="AR31" s="4">
        <v>1764694.37</v>
      </c>
      <c r="AS31" s="4">
        <v>0</v>
      </c>
      <c r="AT31" s="4">
        <v>19.260000000000002</v>
      </c>
      <c r="AU31" s="4">
        <v>54.86</v>
      </c>
      <c r="AV31" s="4">
        <v>1082390.19</v>
      </c>
      <c r="AW31" s="4">
        <v>4451426.13</v>
      </c>
      <c r="AX31" s="4">
        <v>6031206.6300000008</v>
      </c>
      <c r="AY31" s="4">
        <v>3015926.84</v>
      </c>
      <c r="AZ31" s="4">
        <v>0</v>
      </c>
      <c r="BA31" s="4">
        <v>4059066.71</v>
      </c>
      <c r="BB31" s="4">
        <f t="shared" si="2"/>
        <v>911109295.69000018</v>
      </c>
    </row>
    <row r="32" spans="1:54" x14ac:dyDescent="0.2">
      <c r="A32" s="3">
        <v>45139</v>
      </c>
      <c r="B32" s="4">
        <v>0</v>
      </c>
      <c r="C32" s="4">
        <v>883626.37</v>
      </c>
      <c r="D32" s="4">
        <v>0</v>
      </c>
      <c r="E32" s="4">
        <v>0</v>
      </c>
      <c r="F32" s="4">
        <v>39.49</v>
      </c>
      <c r="G32" s="4">
        <v>4.3500000000000005</v>
      </c>
      <c r="H32" s="4">
        <v>0</v>
      </c>
      <c r="I32" s="4">
        <v>0</v>
      </c>
      <c r="J32" s="4">
        <v>0</v>
      </c>
      <c r="K32" s="4">
        <v>91.56</v>
      </c>
      <c r="L32" s="4">
        <v>0</v>
      </c>
      <c r="M32" s="4">
        <v>402088.78999999992</v>
      </c>
      <c r="N32" s="4">
        <v>361310.15</v>
      </c>
      <c r="O32" s="4">
        <v>231.33999999999997</v>
      </c>
      <c r="P32" s="4">
        <v>1092948.98</v>
      </c>
      <c r="Q32" s="4">
        <v>412426.33000000007</v>
      </c>
      <c r="R32" s="4">
        <v>0</v>
      </c>
      <c r="S32" s="4">
        <v>179738.21</v>
      </c>
      <c r="T32" s="4">
        <v>344439.33000000007</v>
      </c>
      <c r="U32" s="4">
        <v>0</v>
      </c>
      <c r="V32" s="4">
        <v>2240850.3899999997</v>
      </c>
      <c r="W32" s="4">
        <v>759856782.29999995</v>
      </c>
      <c r="X32" s="4">
        <v>1008117.1799999999</v>
      </c>
      <c r="Y32" s="4">
        <v>97080445.559999987</v>
      </c>
      <c r="Z32" s="4">
        <v>44937.99</v>
      </c>
      <c r="AA32" s="4">
        <v>0</v>
      </c>
      <c r="AB32" s="4">
        <v>0</v>
      </c>
      <c r="AC32" s="4">
        <v>100515.85999999999</v>
      </c>
      <c r="AD32" s="4">
        <v>3142218.63</v>
      </c>
      <c r="AE32" s="4">
        <v>0</v>
      </c>
      <c r="AF32" s="4">
        <v>159045.09</v>
      </c>
      <c r="AG32" s="4">
        <v>136440.98000000001</v>
      </c>
      <c r="AH32" s="4">
        <v>396537.08999999997</v>
      </c>
      <c r="AI32" s="4">
        <v>539335.64</v>
      </c>
      <c r="AJ32" s="4">
        <v>0</v>
      </c>
      <c r="AK32" s="4">
        <v>1618842.53</v>
      </c>
      <c r="AL32" s="4">
        <v>0</v>
      </c>
      <c r="AM32" s="4">
        <v>40086.960000000006</v>
      </c>
      <c r="AN32" s="4">
        <v>0</v>
      </c>
      <c r="AO32" s="4">
        <v>770651.16</v>
      </c>
      <c r="AP32" s="4">
        <v>0</v>
      </c>
      <c r="AQ32" s="4">
        <v>60953.200000000004</v>
      </c>
      <c r="AR32" s="4">
        <v>1732728.4100000001</v>
      </c>
      <c r="AS32" s="4">
        <v>0</v>
      </c>
      <c r="AT32" s="4">
        <v>19.260000000000002</v>
      </c>
      <c r="AU32" s="4">
        <v>16.23</v>
      </c>
      <c r="AV32" s="4">
        <v>1055830.01</v>
      </c>
      <c r="AW32" s="4">
        <v>4354006.8500000006</v>
      </c>
      <c r="AX32" s="4">
        <v>5966239.7999999998</v>
      </c>
      <c r="AY32" s="4">
        <v>2984145.6799999997</v>
      </c>
      <c r="AZ32" s="4">
        <v>0</v>
      </c>
      <c r="BA32" s="4">
        <v>4215878.3599999994</v>
      </c>
      <c r="BB32" s="4">
        <f t="shared" si="2"/>
        <v>891181570.05999982</v>
      </c>
    </row>
    <row r="33" spans="1:54" x14ac:dyDescent="0.2">
      <c r="A33" s="3">
        <v>45170</v>
      </c>
      <c r="B33" s="4">
        <v>0</v>
      </c>
      <c r="C33" s="4">
        <v>1074353.42</v>
      </c>
      <c r="D33" s="4">
        <v>0</v>
      </c>
      <c r="E33" s="4">
        <v>0</v>
      </c>
      <c r="F33" s="4">
        <v>-0.11</v>
      </c>
      <c r="G33" s="4">
        <v>-4.05</v>
      </c>
      <c r="H33" s="4">
        <v>0</v>
      </c>
      <c r="I33" s="4">
        <v>0</v>
      </c>
      <c r="J33" s="4">
        <v>0</v>
      </c>
      <c r="K33" s="4">
        <v>-0.44</v>
      </c>
      <c r="L33" s="4">
        <v>0</v>
      </c>
      <c r="M33" s="4">
        <v>544908.37</v>
      </c>
      <c r="N33" s="4">
        <v>396793.22000000003</v>
      </c>
      <c r="O33" s="4">
        <v>5.3100000000000023</v>
      </c>
      <c r="P33" s="4">
        <v>1520618.0999999999</v>
      </c>
      <c r="Q33" s="4">
        <v>591790.43000000005</v>
      </c>
      <c r="R33" s="4">
        <v>0</v>
      </c>
      <c r="S33" s="4">
        <v>236942.52000000002</v>
      </c>
      <c r="T33" s="4">
        <v>652265.06000000017</v>
      </c>
      <c r="U33" s="4">
        <v>0</v>
      </c>
      <c r="V33" s="4">
        <v>2991848.2</v>
      </c>
      <c r="W33" s="4">
        <v>983240813.31000018</v>
      </c>
      <c r="X33" s="4">
        <v>1056851.44</v>
      </c>
      <c r="Y33" s="4">
        <v>134153054.60000001</v>
      </c>
      <c r="Z33" s="4">
        <v>20107722.109999999</v>
      </c>
      <c r="AA33" s="4">
        <v>388351.37000000005</v>
      </c>
      <c r="AB33" s="4">
        <v>-4.6566128730773926E-9</v>
      </c>
      <c r="AC33" s="4">
        <v>156247.35999999999</v>
      </c>
      <c r="AD33" s="4">
        <v>4174239.89</v>
      </c>
      <c r="AE33" s="4">
        <v>0</v>
      </c>
      <c r="AF33" s="4">
        <v>387672.64</v>
      </c>
      <c r="AG33" s="4">
        <v>267144.27</v>
      </c>
      <c r="AH33" s="4">
        <v>544473.83000000007</v>
      </c>
      <c r="AI33" s="4">
        <v>691199.19</v>
      </c>
      <c r="AJ33" s="4">
        <v>0</v>
      </c>
      <c r="AK33" s="4">
        <v>2343721.0499999998</v>
      </c>
      <c r="AL33" s="4">
        <v>0</v>
      </c>
      <c r="AM33" s="4">
        <v>18953.77</v>
      </c>
      <c r="AN33" s="4">
        <v>0</v>
      </c>
      <c r="AO33" s="4">
        <v>983538.42999999993</v>
      </c>
      <c r="AP33" s="4">
        <v>0</v>
      </c>
      <c r="AQ33" s="4">
        <v>92767.49</v>
      </c>
      <c r="AR33" s="4">
        <v>2162504.29</v>
      </c>
      <c r="AS33" s="4">
        <v>0</v>
      </c>
      <c r="AT33" s="4">
        <v>-0.11</v>
      </c>
      <c r="AU33" s="4">
        <v>3649.2200000000003</v>
      </c>
      <c r="AV33" s="4">
        <v>1466761.5799999998</v>
      </c>
      <c r="AW33" s="4">
        <v>5246483.17</v>
      </c>
      <c r="AX33" s="4">
        <v>7917318.1100000013</v>
      </c>
      <c r="AY33" s="4">
        <v>3958903.54</v>
      </c>
      <c r="AZ33" s="4">
        <v>0</v>
      </c>
      <c r="BA33" s="4">
        <v>4336776.97</v>
      </c>
      <c r="BB33" s="4">
        <f t="shared" si="2"/>
        <v>1181708667.55</v>
      </c>
    </row>
    <row r="34" spans="1:54" x14ac:dyDescent="0.2">
      <c r="A34" s="3">
        <v>45200</v>
      </c>
      <c r="B34" s="4">
        <v>0</v>
      </c>
      <c r="C34" s="4">
        <v>809239.7300000001</v>
      </c>
      <c r="D34" s="4">
        <v>0</v>
      </c>
      <c r="E34" s="4">
        <v>0</v>
      </c>
      <c r="F34" s="4">
        <v>0</v>
      </c>
      <c r="G34" s="4">
        <v>343.77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327449.21000000008</v>
      </c>
      <c r="N34" s="4">
        <v>362982.1</v>
      </c>
      <c r="O34" s="4">
        <v>141.38999999999999</v>
      </c>
      <c r="P34" s="4">
        <v>1126297.22</v>
      </c>
      <c r="Q34" s="4">
        <v>385009.03</v>
      </c>
      <c r="R34" s="4">
        <v>0</v>
      </c>
      <c r="S34" s="4">
        <v>158041.13</v>
      </c>
      <c r="T34" s="4">
        <v>197139.97999999998</v>
      </c>
      <c r="U34" s="4">
        <v>0</v>
      </c>
      <c r="V34" s="4">
        <v>2240673.08</v>
      </c>
      <c r="W34" s="4">
        <v>809270609.18999994</v>
      </c>
      <c r="X34" s="4">
        <v>730651.83</v>
      </c>
      <c r="Y34" s="4">
        <v>99990994.230000004</v>
      </c>
      <c r="Z34" s="4">
        <v>50562.95</v>
      </c>
      <c r="AA34" s="4">
        <v>0</v>
      </c>
      <c r="AB34" s="4">
        <v>-5.7221768656745553E-8</v>
      </c>
      <c r="AC34" s="4">
        <v>91825.75</v>
      </c>
      <c r="AD34" s="4">
        <v>3307908.09</v>
      </c>
      <c r="AE34" s="4">
        <v>0</v>
      </c>
      <c r="AF34" s="4">
        <v>221957.59999999998</v>
      </c>
      <c r="AG34" s="4">
        <v>175945.33</v>
      </c>
      <c r="AH34" s="4">
        <v>444425.41000000003</v>
      </c>
      <c r="AI34" s="4">
        <v>475510.33000000007</v>
      </c>
      <c r="AJ34" s="4">
        <v>0</v>
      </c>
      <c r="AK34" s="4">
        <v>1591612.04</v>
      </c>
      <c r="AL34" s="4">
        <v>0</v>
      </c>
      <c r="AM34" s="4">
        <v>31941.940000000006</v>
      </c>
      <c r="AN34" s="4">
        <v>0</v>
      </c>
      <c r="AO34" s="4">
        <v>780804.26</v>
      </c>
      <c r="AP34" s="4">
        <v>0</v>
      </c>
      <c r="AQ34" s="4">
        <v>61437.360000000008</v>
      </c>
      <c r="AR34" s="4">
        <v>1310558.21</v>
      </c>
      <c r="AS34" s="4">
        <v>0</v>
      </c>
      <c r="AT34" s="4">
        <v>19.260000000000002</v>
      </c>
      <c r="AU34" s="4">
        <v>24.36</v>
      </c>
      <c r="AV34" s="4">
        <v>1138239.8</v>
      </c>
      <c r="AW34" s="4">
        <v>4529355.6899999995</v>
      </c>
      <c r="AX34" s="4">
        <v>6316508.209999999</v>
      </c>
      <c r="AY34" s="4">
        <v>3159157.87</v>
      </c>
      <c r="AZ34" s="4">
        <v>0</v>
      </c>
      <c r="BA34" s="4">
        <v>4138046.23</v>
      </c>
      <c r="BB34" s="4">
        <f t="shared" si="2"/>
        <v>943425412.58000028</v>
      </c>
    </row>
    <row r="35" spans="1:54" x14ac:dyDescent="0.2">
      <c r="A35" s="3">
        <v>45231</v>
      </c>
      <c r="B35" s="4">
        <v>0</v>
      </c>
      <c r="C35" s="4">
        <v>828478.66999999993</v>
      </c>
      <c r="D35" s="4">
        <v>0</v>
      </c>
      <c r="E35" s="4">
        <v>0</v>
      </c>
      <c r="F35" s="4">
        <v>0</v>
      </c>
      <c r="G35" s="4">
        <v>5.54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323885.37</v>
      </c>
      <c r="N35" s="4">
        <v>358080.43000000005</v>
      </c>
      <c r="O35" s="4">
        <v>116.41</v>
      </c>
      <c r="P35" s="4">
        <v>1155014.33</v>
      </c>
      <c r="Q35" s="4">
        <v>387479.92000000004</v>
      </c>
      <c r="R35" s="4">
        <v>0</v>
      </c>
      <c r="S35" s="4">
        <v>169464.62</v>
      </c>
      <c r="T35" s="4">
        <v>223937.69</v>
      </c>
      <c r="U35" s="4">
        <v>0</v>
      </c>
      <c r="V35" s="4">
        <v>2082319.69</v>
      </c>
      <c r="W35" s="4">
        <v>815456448.84999979</v>
      </c>
      <c r="X35" s="4">
        <v>723250.1399999999</v>
      </c>
      <c r="Y35" s="4">
        <v>99930266.230000004</v>
      </c>
      <c r="Z35" s="4">
        <v>8709.32</v>
      </c>
      <c r="AA35" s="4">
        <v>3693.7</v>
      </c>
      <c r="AB35" s="4">
        <v>0</v>
      </c>
      <c r="AC35" s="4">
        <v>95667.26</v>
      </c>
      <c r="AD35" s="4">
        <v>3220764.9499999997</v>
      </c>
      <c r="AE35" s="4">
        <v>0</v>
      </c>
      <c r="AF35" s="4">
        <v>152889.02000000002</v>
      </c>
      <c r="AG35" s="4">
        <v>170078.77</v>
      </c>
      <c r="AH35" s="4">
        <v>445484.55000000005</v>
      </c>
      <c r="AI35" s="4">
        <v>478917.41</v>
      </c>
      <c r="AJ35" s="4">
        <v>0</v>
      </c>
      <c r="AK35" s="4">
        <v>1599952.2200000002</v>
      </c>
      <c r="AL35" s="4">
        <v>0</v>
      </c>
      <c r="AM35" s="4">
        <v>33842.11</v>
      </c>
      <c r="AN35" s="4">
        <v>0</v>
      </c>
      <c r="AO35" s="4">
        <v>742255.21</v>
      </c>
      <c r="AP35" s="4">
        <v>0</v>
      </c>
      <c r="AQ35" s="4">
        <v>63487.909999999996</v>
      </c>
      <c r="AR35" s="4">
        <v>1359005.9499999997</v>
      </c>
      <c r="AS35" s="4">
        <v>0</v>
      </c>
      <c r="AT35" s="4">
        <v>19.260000000000002</v>
      </c>
      <c r="AU35" s="4">
        <v>78.25</v>
      </c>
      <c r="AV35" s="4">
        <v>1160325.1400000001</v>
      </c>
      <c r="AW35" s="4">
        <v>4658361.24</v>
      </c>
      <c r="AX35" s="4">
        <v>6298378.1500000004</v>
      </c>
      <c r="AY35" s="4">
        <v>3149581.88</v>
      </c>
      <c r="AZ35" s="4">
        <v>0</v>
      </c>
      <c r="BA35" s="4">
        <v>4333129.76</v>
      </c>
      <c r="BB35" s="4">
        <f t="shared" si="2"/>
        <v>949613369.94999981</v>
      </c>
    </row>
    <row r="36" spans="1:54" x14ac:dyDescent="0.2">
      <c r="A36" s="3">
        <v>45261</v>
      </c>
      <c r="B36" s="4">
        <v>0</v>
      </c>
      <c r="C36" s="4">
        <v>1183650.19</v>
      </c>
      <c r="D36" s="4">
        <v>0</v>
      </c>
      <c r="E36" s="4">
        <v>0</v>
      </c>
      <c r="F36" s="4">
        <v>0</v>
      </c>
      <c r="G36" s="4">
        <v>4.9399999999999995</v>
      </c>
      <c r="H36" s="4">
        <v>0</v>
      </c>
      <c r="I36" s="4">
        <v>0</v>
      </c>
      <c r="J36" s="4">
        <v>0</v>
      </c>
      <c r="K36" s="4">
        <v>2508.3100000000004</v>
      </c>
      <c r="L36" s="4">
        <v>0</v>
      </c>
      <c r="M36" s="4">
        <v>554063.49</v>
      </c>
      <c r="N36" s="4">
        <v>404126.41000000003</v>
      </c>
      <c r="O36" s="4">
        <v>138.29</v>
      </c>
      <c r="P36" s="4">
        <v>1370098.36</v>
      </c>
      <c r="Q36" s="4">
        <v>670227.53</v>
      </c>
      <c r="R36" s="4">
        <v>0</v>
      </c>
      <c r="S36" s="4">
        <v>289708.64999999997</v>
      </c>
      <c r="T36" s="4">
        <v>627187.54000000015</v>
      </c>
      <c r="U36" s="4">
        <v>0</v>
      </c>
      <c r="V36" s="4">
        <v>3358177.0999999996</v>
      </c>
      <c r="W36" s="4">
        <v>1012880491.23</v>
      </c>
      <c r="X36" s="4">
        <v>774998.14</v>
      </c>
      <c r="Y36" s="10">
        <v>140754203.04999998</v>
      </c>
      <c r="Z36" s="10">
        <v>16248188.130000001</v>
      </c>
      <c r="AA36" s="10">
        <v>286399.28000000003</v>
      </c>
      <c r="AB36" s="4">
        <v>0</v>
      </c>
      <c r="AC36" s="4">
        <v>128301.61</v>
      </c>
      <c r="AD36" s="4">
        <v>4323465.16</v>
      </c>
      <c r="AE36" s="4">
        <v>0</v>
      </c>
      <c r="AF36" s="4">
        <v>201418.11999999997</v>
      </c>
      <c r="AG36" s="4">
        <v>227009.97999999998</v>
      </c>
      <c r="AH36" s="4">
        <v>538566.28999999992</v>
      </c>
      <c r="AI36" s="4">
        <v>882079.1100000001</v>
      </c>
      <c r="AJ36" s="4">
        <v>0</v>
      </c>
      <c r="AK36" s="4">
        <v>2563475.7199999997</v>
      </c>
      <c r="AL36" s="4">
        <v>0</v>
      </c>
      <c r="AM36" s="4">
        <v>41732.880000000005</v>
      </c>
      <c r="AN36" s="4">
        <v>0</v>
      </c>
      <c r="AO36" s="4">
        <v>967409.09999999986</v>
      </c>
      <c r="AP36" s="4">
        <v>0</v>
      </c>
      <c r="AQ36" s="4">
        <v>86519.840000000011</v>
      </c>
      <c r="AR36" s="4">
        <v>1900823.27</v>
      </c>
      <c r="AS36" s="4">
        <v>0</v>
      </c>
      <c r="AT36" s="4">
        <v>-0.12</v>
      </c>
      <c r="AU36" s="4">
        <v>3447.0899999999997</v>
      </c>
      <c r="AV36" s="4">
        <v>1177146.92</v>
      </c>
      <c r="AW36" s="4">
        <v>5437800.4800000004</v>
      </c>
      <c r="AX36" s="4">
        <v>8124543.580000001</v>
      </c>
      <c r="AY36" s="4">
        <v>4062798.5899999989</v>
      </c>
      <c r="AZ36" s="4">
        <v>0</v>
      </c>
      <c r="BA36" s="4">
        <v>4240185.12</v>
      </c>
      <c r="BB36" s="4">
        <f>SUM(B36:BA36)</f>
        <v>1214310893.3799996</v>
      </c>
    </row>
    <row r="37" spans="1:54" ht="15.75" thickBot="1" x14ac:dyDescent="0.25">
      <c r="A37" s="7" t="s">
        <v>183</v>
      </c>
      <c r="B37" s="5">
        <f>SUM(B25:B36)</f>
        <v>0</v>
      </c>
      <c r="C37" s="5">
        <f t="shared" ref="C37:BB37" si="3">SUM(C25:C36)</f>
        <v>10919793.399999999</v>
      </c>
      <c r="D37" s="5">
        <f t="shared" si="3"/>
        <v>0</v>
      </c>
      <c r="E37" s="5">
        <f t="shared" si="3"/>
        <v>0</v>
      </c>
      <c r="F37" s="5">
        <f t="shared" si="3"/>
        <v>39.380000000000003</v>
      </c>
      <c r="G37" s="5">
        <f t="shared" si="3"/>
        <v>704.97000000000048</v>
      </c>
      <c r="H37" s="5">
        <f t="shared" si="3"/>
        <v>0</v>
      </c>
      <c r="I37" s="5">
        <f t="shared" si="3"/>
        <v>0</v>
      </c>
      <c r="J37" s="5">
        <f t="shared" si="3"/>
        <v>438.08</v>
      </c>
      <c r="K37" s="5">
        <f t="shared" si="3"/>
        <v>3214.5400000000004</v>
      </c>
      <c r="L37" s="5">
        <f t="shared" si="3"/>
        <v>0</v>
      </c>
      <c r="M37" s="5">
        <f t="shared" si="3"/>
        <v>4928967.3500000006</v>
      </c>
      <c r="N37" s="5">
        <f t="shared" si="3"/>
        <v>4505140.4000000004</v>
      </c>
      <c r="O37" s="5">
        <f t="shared" si="3"/>
        <v>2153.3000000000002</v>
      </c>
      <c r="P37" s="5">
        <f t="shared" si="3"/>
        <v>14234125.369999999</v>
      </c>
      <c r="Q37" s="5">
        <f t="shared" si="3"/>
        <v>5477150.7700000005</v>
      </c>
      <c r="R37" s="5">
        <f t="shared" si="3"/>
        <v>0</v>
      </c>
      <c r="S37" s="5">
        <f t="shared" si="3"/>
        <v>2598513.66</v>
      </c>
      <c r="T37" s="5">
        <f t="shared" si="3"/>
        <v>4025445.08</v>
      </c>
      <c r="U37" s="5">
        <f t="shared" si="3"/>
        <v>0</v>
      </c>
      <c r="V37" s="5">
        <f t="shared" si="3"/>
        <v>30473640.850000001</v>
      </c>
      <c r="W37" s="5">
        <f t="shared" si="3"/>
        <v>10134750542.07</v>
      </c>
      <c r="X37" s="5">
        <f t="shared" si="3"/>
        <v>9416827.7699999996</v>
      </c>
      <c r="Y37" s="5">
        <f t="shared" si="3"/>
        <v>1315026337.8899999</v>
      </c>
      <c r="Z37" s="5">
        <f t="shared" si="3"/>
        <v>64718396.570000008</v>
      </c>
      <c r="AA37" s="5">
        <f t="shared" si="3"/>
        <v>1166909.21</v>
      </c>
      <c r="AB37" s="5">
        <f t="shared" si="3"/>
        <v>-4.7386492951773107E-8</v>
      </c>
      <c r="AC37" s="5">
        <f t="shared" si="3"/>
        <v>1523738.9100000001</v>
      </c>
      <c r="AD37" s="5">
        <f t="shared" si="3"/>
        <v>41324271.180000007</v>
      </c>
      <c r="AE37" s="5">
        <f t="shared" si="3"/>
        <v>0</v>
      </c>
      <c r="AF37" s="5">
        <f t="shared" si="3"/>
        <v>2562433.0000000005</v>
      </c>
      <c r="AG37" s="5">
        <f t="shared" si="3"/>
        <v>2109882.33</v>
      </c>
      <c r="AH37" s="5">
        <f t="shared" si="3"/>
        <v>5369781.4899999993</v>
      </c>
      <c r="AI37" s="5">
        <f t="shared" si="3"/>
        <v>7019638.3400000008</v>
      </c>
      <c r="AJ37" s="5">
        <f t="shared" si="3"/>
        <v>0</v>
      </c>
      <c r="AK37" s="5">
        <f t="shared" si="3"/>
        <v>21694954.339999996</v>
      </c>
      <c r="AL37" s="5">
        <f t="shared" si="3"/>
        <v>0</v>
      </c>
      <c r="AM37" s="5">
        <f t="shared" si="3"/>
        <v>467828.96</v>
      </c>
      <c r="AN37" s="5">
        <f t="shared" si="3"/>
        <v>0</v>
      </c>
      <c r="AO37" s="5">
        <f t="shared" si="3"/>
        <v>10126039.74</v>
      </c>
      <c r="AP37" s="5">
        <f t="shared" si="3"/>
        <v>0</v>
      </c>
      <c r="AQ37" s="5">
        <f t="shared" si="3"/>
        <v>866322.09</v>
      </c>
      <c r="AR37" s="5">
        <f t="shared" si="3"/>
        <v>18174103.25</v>
      </c>
      <c r="AS37" s="5">
        <f t="shared" si="3"/>
        <v>0</v>
      </c>
      <c r="AT37" s="5">
        <f t="shared" si="3"/>
        <v>115.12000000000002</v>
      </c>
      <c r="AU37" s="5">
        <f t="shared" si="3"/>
        <v>15481.509999999998</v>
      </c>
      <c r="AV37" s="5">
        <f t="shared" si="3"/>
        <v>13903215.91</v>
      </c>
      <c r="AW37" s="5">
        <f t="shared" si="3"/>
        <v>56595365.799999997</v>
      </c>
      <c r="AX37" s="5">
        <f t="shared" si="3"/>
        <v>80273648.670000002</v>
      </c>
      <c r="AY37" s="5">
        <f t="shared" si="3"/>
        <v>40141161.349999994</v>
      </c>
      <c r="AZ37" s="5">
        <f t="shared" si="3"/>
        <v>0</v>
      </c>
      <c r="BA37" s="5">
        <f t="shared" si="3"/>
        <v>48822430.769999996</v>
      </c>
      <c r="BB37" s="5">
        <f t="shared" si="3"/>
        <v>11953238753.42</v>
      </c>
    </row>
    <row r="38" spans="1:54" ht="15.75" thickTop="1" x14ac:dyDescent="0.2"/>
    <row r="39" spans="1:54" x14ac:dyDescent="0.2">
      <c r="A39" s="3">
        <v>44562</v>
      </c>
      <c r="B39" s="4">
        <v>0</v>
      </c>
      <c r="C39" s="4">
        <v>922073.71</v>
      </c>
      <c r="D39" s="4">
        <v>0</v>
      </c>
      <c r="E39" s="4">
        <v>0</v>
      </c>
      <c r="F39" s="4">
        <v>0</v>
      </c>
      <c r="G39" s="4">
        <v>5.46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330375.59999999998</v>
      </c>
      <c r="N39" s="4">
        <v>376414.41</v>
      </c>
      <c r="O39" s="4">
        <v>126.36</v>
      </c>
      <c r="P39" s="4">
        <v>992225.47</v>
      </c>
      <c r="Q39" s="4">
        <v>373872.43000000005</v>
      </c>
      <c r="R39" s="4">
        <v>0</v>
      </c>
      <c r="S39" s="4">
        <v>213370.53999999998</v>
      </c>
      <c r="T39" s="4">
        <v>83806.450000000012</v>
      </c>
      <c r="U39" s="4">
        <v>0</v>
      </c>
      <c r="V39" s="4">
        <v>2452651.3000000003</v>
      </c>
      <c r="W39" s="4">
        <v>775413156.94999993</v>
      </c>
      <c r="X39" s="4">
        <v>541997.34000000008</v>
      </c>
      <c r="Y39" s="4">
        <v>97043752.200000003</v>
      </c>
      <c r="Z39" s="4">
        <v>18709.87</v>
      </c>
      <c r="AA39" s="4"/>
      <c r="AB39" s="4">
        <v>3.3378455555066466E-8</v>
      </c>
      <c r="AC39" s="4">
        <v>141639.47</v>
      </c>
      <c r="AD39" s="4">
        <v>2976559.41</v>
      </c>
      <c r="AE39" s="4">
        <v>0</v>
      </c>
      <c r="AF39" s="4">
        <v>177511.67</v>
      </c>
      <c r="AG39" s="4">
        <v>0</v>
      </c>
      <c r="AH39" s="4">
        <v>443110.56999999995</v>
      </c>
      <c r="AI39" s="4">
        <v>479889.84</v>
      </c>
      <c r="AJ39" s="4">
        <v>0</v>
      </c>
      <c r="AK39" s="4">
        <v>1352969.2799999998</v>
      </c>
      <c r="AL39" s="4">
        <v>0</v>
      </c>
      <c r="AM39" s="4">
        <v>51663.289999999994</v>
      </c>
      <c r="AN39" s="4">
        <v>0</v>
      </c>
      <c r="AO39" s="4">
        <v>764978.05</v>
      </c>
      <c r="AP39" s="4">
        <v>0</v>
      </c>
      <c r="AQ39" s="4">
        <v>73507.290000000008</v>
      </c>
      <c r="AR39" s="4">
        <v>1107818.33</v>
      </c>
      <c r="AS39" s="4">
        <v>0</v>
      </c>
      <c r="AT39" s="4">
        <v>0.56999999999999995</v>
      </c>
      <c r="AU39" s="4">
        <v>0</v>
      </c>
      <c r="AV39" s="4">
        <v>1011317.7599999999</v>
      </c>
      <c r="AW39" s="4">
        <v>5135091.88</v>
      </c>
      <c r="AX39" s="4">
        <v>6702496.1399999987</v>
      </c>
      <c r="AY39" s="4">
        <v>3351820.01</v>
      </c>
      <c r="AZ39" s="4">
        <v>0</v>
      </c>
      <c r="BA39" s="4">
        <v>3822374.1399999997</v>
      </c>
      <c r="BB39" s="4">
        <f>SUM(B39:BA39)</f>
        <v>906355285.78999996</v>
      </c>
    </row>
    <row r="40" spans="1:54" x14ac:dyDescent="0.2">
      <c r="A40" s="3">
        <v>44593</v>
      </c>
      <c r="B40" s="4">
        <v>0</v>
      </c>
      <c r="C40" s="4">
        <v>802710.14</v>
      </c>
      <c r="D40" s="4">
        <v>0</v>
      </c>
      <c r="E40" s="4">
        <v>0</v>
      </c>
      <c r="F40" s="4">
        <v>0.04</v>
      </c>
      <c r="G40" s="4">
        <v>18759.329999999998</v>
      </c>
      <c r="H40" s="4">
        <v>0</v>
      </c>
      <c r="I40" s="4">
        <v>0</v>
      </c>
      <c r="J40" s="4">
        <v>0.1</v>
      </c>
      <c r="K40" s="4">
        <v>110.56</v>
      </c>
      <c r="L40" s="4">
        <v>0</v>
      </c>
      <c r="M40" s="4">
        <v>273026.31999999995</v>
      </c>
      <c r="N40" s="4">
        <v>315524.50999999995</v>
      </c>
      <c r="O40" s="4">
        <v>160.94999999999999</v>
      </c>
      <c r="P40" s="4">
        <v>845226.48</v>
      </c>
      <c r="Q40" s="4">
        <v>323672.11</v>
      </c>
      <c r="R40" s="4">
        <v>0</v>
      </c>
      <c r="S40" s="4">
        <v>175997.65000000002</v>
      </c>
      <c r="T40" s="4">
        <v>135864.84999999998</v>
      </c>
      <c r="U40" s="4">
        <v>0</v>
      </c>
      <c r="V40" s="4">
        <v>1940570.4700000002</v>
      </c>
      <c r="W40" s="4">
        <v>643343893.37000012</v>
      </c>
      <c r="X40" s="4">
        <v>469866.25</v>
      </c>
      <c r="Y40" s="4">
        <v>80199114.469999984</v>
      </c>
      <c r="Z40" s="4">
        <v>227990.90000000002</v>
      </c>
      <c r="AA40" s="4"/>
      <c r="AB40" s="4">
        <v>1.4304532669484615E-8</v>
      </c>
      <c r="AC40" s="4">
        <v>118101.84</v>
      </c>
      <c r="AD40" s="4">
        <v>2465142.7200000002</v>
      </c>
      <c r="AE40" s="4">
        <v>0</v>
      </c>
      <c r="AF40" s="4">
        <v>141727.01999999999</v>
      </c>
      <c r="AG40" s="4">
        <v>0</v>
      </c>
      <c r="AH40" s="4">
        <v>357731.82</v>
      </c>
      <c r="AI40" s="4">
        <v>396618.11999999994</v>
      </c>
      <c r="AJ40" s="4">
        <v>0</v>
      </c>
      <c r="AK40" s="4">
        <v>1151657.7000000002</v>
      </c>
      <c r="AL40" s="4">
        <v>0</v>
      </c>
      <c r="AM40" s="4">
        <v>42004.15</v>
      </c>
      <c r="AN40" s="4">
        <v>0</v>
      </c>
      <c r="AO40" s="4">
        <v>666807.52999999991</v>
      </c>
      <c r="AP40" s="4">
        <v>0</v>
      </c>
      <c r="AQ40" s="4">
        <v>56907.200000000004</v>
      </c>
      <c r="AR40" s="4">
        <v>907815.74</v>
      </c>
      <c r="AS40" s="4">
        <v>0</v>
      </c>
      <c r="AT40" s="4">
        <v>29.52</v>
      </c>
      <c r="AU40" s="4">
        <v>0</v>
      </c>
      <c r="AV40" s="4">
        <v>853023.02</v>
      </c>
      <c r="AW40" s="4">
        <v>4268394.74</v>
      </c>
      <c r="AX40" s="4">
        <v>5689082.3799999999</v>
      </c>
      <c r="AY40" s="4">
        <v>2845401.93</v>
      </c>
      <c r="AZ40" s="4">
        <v>0</v>
      </c>
      <c r="BA40" s="4">
        <v>3186480.8899999997</v>
      </c>
      <c r="BB40" s="4">
        <f t="shared" ref="BB40:BB50" si="4">SUM(B40:BA40)</f>
        <v>752219414.82000017</v>
      </c>
    </row>
    <row r="41" spans="1:54" x14ac:dyDescent="0.2">
      <c r="A41" s="3">
        <v>44621</v>
      </c>
      <c r="B41" s="4">
        <v>0</v>
      </c>
      <c r="C41" s="4">
        <v>993852.1399999999</v>
      </c>
      <c r="D41" s="4">
        <v>0</v>
      </c>
      <c r="E41" s="4">
        <v>0</v>
      </c>
      <c r="F41" s="4">
        <v>0.04</v>
      </c>
      <c r="G41" s="4">
        <v>-68.709999999999994</v>
      </c>
      <c r="H41" s="4">
        <v>0</v>
      </c>
      <c r="I41" s="4">
        <v>0</v>
      </c>
      <c r="J41" s="4">
        <v>998.42000000000007</v>
      </c>
      <c r="K41" s="4">
        <v>19.25</v>
      </c>
      <c r="L41" s="4">
        <v>0</v>
      </c>
      <c r="M41" s="4">
        <v>389914.01</v>
      </c>
      <c r="N41" s="4">
        <v>380204.93</v>
      </c>
      <c r="O41" s="4">
        <v>97.23</v>
      </c>
      <c r="P41" s="4">
        <v>1430892.75</v>
      </c>
      <c r="Q41" s="4">
        <v>597091.28</v>
      </c>
      <c r="R41" s="4">
        <v>0</v>
      </c>
      <c r="S41" s="4">
        <v>279112.16000000003</v>
      </c>
      <c r="T41" s="4">
        <v>281929.63</v>
      </c>
      <c r="U41" s="4">
        <v>0</v>
      </c>
      <c r="V41" s="4">
        <v>2718254.96</v>
      </c>
      <c r="W41" s="4">
        <v>812363007.73000014</v>
      </c>
      <c r="X41" s="4">
        <v>692872.98</v>
      </c>
      <c r="Y41" s="4">
        <v>112581225.68000001</v>
      </c>
      <c r="Z41" s="4">
        <v>12686074.66</v>
      </c>
      <c r="AA41" s="4"/>
      <c r="AB41" s="4">
        <v>0</v>
      </c>
      <c r="AC41" s="4">
        <v>157539.35</v>
      </c>
      <c r="AD41" s="4">
        <v>4107288.39</v>
      </c>
      <c r="AE41" s="4">
        <v>0</v>
      </c>
      <c r="AF41" s="4">
        <v>294754.63</v>
      </c>
      <c r="AG41" s="4">
        <v>86156.56</v>
      </c>
      <c r="AH41" s="4">
        <v>511381.26000000007</v>
      </c>
      <c r="AI41" s="4">
        <v>672033.67000000016</v>
      </c>
      <c r="AJ41" s="4">
        <v>0</v>
      </c>
      <c r="AK41" s="4">
        <v>1875014.2000000002</v>
      </c>
      <c r="AL41" s="4">
        <v>0</v>
      </c>
      <c r="AM41" s="4">
        <v>45199.49</v>
      </c>
      <c r="AN41" s="4">
        <v>0</v>
      </c>
      <c r="AO41" s="4">
        <v>913684.47000000009</v>
      </c>
      <c r="AP41" s="4">
        <v>0</v>
      </c>
      <c r="AQ41" s="4">
        <v>84396.84</v>
      </c>
      <c r="AR41" s="4">
        <v>1242611.3</v>
      </c>
      <c r="AS41" s="4">
        <v>0</v>
      </c>
      <c r="AT41" s="4">
        <v>0.45999999999999996</v>
      </c>
      <c r="AU41" s="4">
        <v>2539.9300000000003</v>
      </c>
      <c r="AV41" s="4">
        <v>1391888.42</v>
      </c>
      <c r="AW41" s="4">
        <v>4374203.66</v>
      </c>
      <c r="AX41" s="4">
        <v>7494935.5499999989</v>
      </c>
      <c r="AY41" s="4">
        <v>3747693.1899999995</v>
      </c>
      <c r="AZ41" s="4">
        <v>0</v>
      </c>
      <c r="BA41" s="4">
        <v>-82727.45999999973</v>
      </c>
      <c r="BB41" s="4">
        <f t="shared" si="4"/>
        <v>972314073.05000007</v>
      </c>
    </row>
    <row r="42" spans="1:54" x14ac:dyDescent="0.2">
      <c r="A42" s="3">
        <v>44652</v>
      </c>
      <c r="B42" s="4">
        <v>0</v>
      </c>
      <c r="C42" s="4">
        <v>940478.45</v>
      </c>
      <c r="D42" s="4">
        <v>0</v>
      </c>
      <c r="E42" s="4">
        <v>0</v>
      </c>
      <c r="F42" s="4">
        <v>7.77</v>
      </c>
      <c r="G42" s="4">
        <v>1442.18</v>
      </c>
      <c r="H42" s="4">
        <v>0</v>
      </c>
      <c r="I42" s="4">
        <v>0</v>
      </c>
      <c r="J42" s="4">
        <v>0.13</v>
      </c>
      <c r="K42" s="4">
        <v>285.31</v>
      </c>
      <c r="L42" s="4">
        <v>0</v>
      </c>
      <c r="M42" s="4">
        <v>339018.75</v>
      </c>
      <c r="N42" s="4">
        <v>408105.74</v>
      </c>
      <c r="O42" s="4">
        <v>276.89</v>
      </c>
      <c r="P42" s="4">
        <v>1049452.56</v>
      </c>
      <c r="Q42" s="4">
        <v>390837.45999999996</v>
      </c>
      <c r="R42" s="4">
        <v>0</v>
      </c>
      <c r="S42" s="4">
        <v>168357.99</v>
      </c>
      <c r="T42" s="4">
        <v>368302.00999999995</v>
      </c>
      <c r="U42" s="4">
        <v>0</v>
      </c>
      <c r="V42" s="4">
        <v>2335891.29</v>
      </c>
      <c r="W42" s="4">
        <v>726172356.26999986</v>
      </c>
      <c r="X42" s="4">
        <v>589785.01</v>
      </c>
      <c r="Y42" s="4">
        <v>87608788.890000001</v>
      </c>
      <c r="Z42" s="4">
        <v>34131.21</v>
      </c>
      <c r="AA42" s="4"/>
      <c r="AB42" s="4">
        <v>5.7220404414692894E-8</v>
      </c>
      <c r="AC42" s="4">
        <v>119526.1</v>
      </c>
      <c r="AD42" s="4">
        <v>3103386.84</v>
      </c>
      <c r="AE42" s="4">
        <v>0</v>
      </c>
      <c r="AF42" s="4">
        <v>199767.32</v>
      </c>
      <c r="AG42" s="4">
        <v>196757.73</v>
      </c>
      <c r="AH42" s="4">
        <v>441409.72000000003</v>
      </c>
      <c r="AI42" s="4">
        <v>586582.01</v>
      </c>
      <c r="AJ42" s="4">
        <v>0</v>
      </c>
      <c r="AK42" s="4">
        <v>1467528.0500000003</v>
      </c>
      <c r="AL42" s="4">
        <v>0</v>
      </c>
      <c r="AM42" s="4">
        <v>34066.729999999996</v>
      </c>
      <c r="AN42" s="4">
        <v>0</v>
      </c>
      <c r="AO42" s="4">
        <v>837900.75</v>
      </c>
      <c r="AP42" s="4">
        <v>0</v>
      </c>
      <c r="AQ42" s="4">
        <v>76894.13</v>
      </c>
      <c r="AR42" s="4">
        <v>1185388.2000000002</v>
      </c>
      <c r="AS42" s="4">
        <v>0</v>
      </c>
      <c r="AT42" s="4">
        <v>1.1399999999999999</v>
      </c>
      <c r="AU42" s="4">
        <v>0</v>
      </c>
      <c r="AV42" s="4">
        <v>1069468.79</v>
      </c>
      <c r="AW42" s="4">
        <v>4136254.58</v>
      </c>
      <c r="AX42" s="4">
        <v>6411166.2600000007</v>
      </c>
      <c r="AY42" s="4">
        <v>3207431.13</v>
      </c>
      <c r="AZ42" s="4">
        <v>0</v>
      </c>
      <c r="BA42" s="4">
        <v>1818419.05</v>
      </c>
      <c r="BB42" s="4">
        <f t="shared" si="4"/>
        <v>845299466.43999994</v>
      </c>
    </row>
    <row r="43" spans="1:54" x14ac:dyDescent="0.2">
      <c r="A43" s="3">
        <v>44682</v>
      </c>
      <c r="B43" s="4">
        <v>0</v>
      </c>
      <c r="C43" s="4">
        <v>921665.69000000006</v>
      </c>
      <c r="D43" s="4">
        <v>0</v>
      </c>
      <c r="E43" s="4">
        <v>0</v>
      </c>
      <c r="F43" s="4">
        <v>-0.44</v>
      </c>
      <c r="G43" s="4">
        <v>12.559999999999999</v>
      </c>
      <c r="H43" s="4">
        <v>0</v>
      </c>
      <c r="I43" s="4">
        <v>0</v>
      </c>
      <c r="J43" s="4">
        <v>-0.78</v>
      </c>
      <c r="K43" s="4">
        <v>-0.27</v>
      </c>
      <c r="L43" s="4">
        <v>0</v>
      </c>
      <c r="M43" s="4">
        <v>354824.28</v>
      </c>
      <c r="N43" s="4">
        <v>403489.17000000004</v>
      </c>
      <c r="O43" s="4">
        <v>167.1</v>
      </c>
      <c r="P43" s="4">
        <v>1027929.0499999998</v>
      </c>
      <c r="Q43" s="4">
        <v>383361.64</v>
      </c>
      <c r="R43" s="4">
        <v>0</v>
      </c>
      <c r="S43" s="4">
        <v>166679.26999999999</v>
      </c>
      <c r="T43" s="4">
        <v>188142.34999999998</v>
      </c>
      <c r="U43" s="4">
        <v>0</v>
      </c>
      <c r="V43" s="4">
        <v>2293487.7199999997</v>
      </c>
      <c r="W43" s="4">
        <v>720383719.55999994</v>
      </c>
      <c r="X43" s="4">
        <v>552751.84000000008</v>
      </c>
      <c r="Y43" s="4">
        <v>87146463.900000006</v>
      </c>
      <c r="Z43" s="4">
        <v>65927.28</v>
      </c>
      <c r="AA43" s="4"/>
      <c r="AB43" s="4">
        <v>0</v>
      </c>
      <c r="AC43" s="4">
        <v>115805.4</v>
      </c>
      <c r="AD43" s="4">
        <v>3003818.23</v>
      </c>
      <c r="AE43" s="4">
        <v>0</v>
      </c>
      <c r="AF43" s="4">
        <v>195199.86000000002</v>
      </c>
      <c r="AG43" s="4">
        <v>185298.46000000002</v>
      </c>
      <c r="AH43" s="4">
        <v>442812.48000000004</v>
      </c>
      <c r="AI43" s="4">
        <v>587987.00000000012</v>
      </c>
      <c r="AJ43" s="4">
        <v>0</v>
      </c>
      <c r="AK43" s="4">
        <v>1376223.02</v>
      </c>
      <c r="AL43" s="4">
        <v>0</v>
      </c>
      <c r="AM43" s="4">
        <v>34605.81</v>
      </c>
      <c r="AN43" s="4">
        <v>0</v>
      </c>
      <c r="AO43" s="4">
        <v>827551.36</v>
      </c>
      <c r="AP43" s="4">
        <v>0</v>
      </c>
      <c r="AQ43" s="4">
        <v>69540.320000000007</v>
      </c>
      <c r="AR43" s="4">
        <v>1104721.21</v>
      </c>
      <c r="AS43" s="4">
        <v>0</v>
      </c>
      <c r="AT43" s="4">
        <v>0.53999999999999992</v>
      </c>
      <c r="AU43" s="4">
        <v>0</v>
      </c>
      <c r="AV43" s="4">
        <v>1094793.95</v>
      </c>
      <c r="AW43" s="4">
        <v>4226895.2300000004</v>
      </c>
      <c r="AX43" s="4">
        <v>6428385.0899999999</v>
      </c>
      <c r="AY43" s="4">
        <v>3215139.45</v>
      </c>
      <c r="AZ43" s="4">
        <v>0</v>
      </c>
      <c r="BA43" s="4">
        <v>1695952.05</v>
      </c>
      <c r="BB43" s="4">
        <f t="shared" si="4"/>
        <v>838493349.38000011</v>
      </c>
    </row>
    <row r="44" spans="1:54" x14ac:dyDescent="0.2">
      <c r="A44" s="3">
        <v>44713</v>
      </c>
      <c r="B44" s="4">
        <v>0</v>
      </c>
      <c r="C44" s="4">
        <v>768128.08000000007</v>
      </c>
      <c r="D44" s="4">
        <v>0</v>
      </c>
      <c r="E44" s="4">
        <v>0</v>
      </c>
      <c r="F44" s="4">
        <v>-0.02</v>
      </c>
      <c r="G44" s="4">
        <v>3.9899999999999998</v>
      </c>
      <c r="H44" s="4">
        <v>0</v>
      </c>
      <c r="I44" s="4">
        <v>0</v>
      </c>
      <c r="J44" s="4">
        <v>0</v>
      </c>
      <c r="K44" s="4">
        <v>-0.69</v>
      </c>
      <c r="L44" s="4">
        <v>0</v>
      </c>
      <c r="M44" s="4">
        <v>389474.77</v>
      </c>
      <c r="N44" s="4">
        <v>312896.82999999996</v>
      </c>
      <c r="O44" s="4">
        <v>122.83999999999999</v>
      </c>
      <c r="P44" s="4">
        <v>1420645.0099999998</v>
      </c>
      <c r="Q44" s="4">
        <v>495915.09</v>
      </c>
      <c r="R44" s="4">
        <v>0</v>
      </c>
      <c r="S44" s="4">
        <v>344666.72</v>
      </c>
      <c r="T44" s="4">
        <v>434887.25</v>
      </c>
      <c r="U44" s="4">
        <v>0</v>
      </c>
      <c r="V44" s="4">
        <v>2334659.4899999998</v>
      </c>
      <c r="W44" s="4">
        <v>959369169.21999991</v>
      </c>
      <c r="X44" s="4">
        <v>1091041.3399999999</v>
      </c>
      <c r="Y44" s="4">
        <v>140676444.30000001</v>
      </c>
      <c r="Z44" s="4">
        <v>14857523.939999999</v>
      </c>
      <c r="AA44" s="4"/>
      <c r="AB44" s="4">
        <v>0</v>
      </c>
      <c r="AC44" s="4">
        <v>211120.59000000003</v>
      </c>
      <c r="AD44" s="4">
        <v>3983467.46</v>
      </c>
      <c r="AE44" s="4">
        <v>0</v>
      </c>
      <c r="AF44" s="4">
        <v>207091.65</v>
      </c>
      <c r="AG44" s="4">
        <v>49814.159999999996</v>
      </c>
      <c r="AH44" s="4">
        <v>372215.56999999995</v>
      </c>
      <c r="AI44" s="4">
        <v>518112.76</v>
      </c>
      <c r="AJ44" s="4">
        <v>0</v>
      </c>
      <c r="AK44" s="4">
        <v>1611416.67</v>
      </c>
      <c r="AL44" s="4">
        <v>0</v>
      </c>
      <c r="AM44" s="4">
        <v>42272.98</v>
      </c>
      <c r="AN44" s="4">
        <v>0</v>
      </c>
      <c r="AO44" s="4">
        <v>726197.58000000007</v>
      </c>
      <c r="AP44" s="4">
        <v>0</v>
      </c>
      <c r="AQ44" s="4">
        <v>59770.709999999992</v>
      </c>
      <c r="AR44" s="4">
        <v>1627575.4500000002</v>
      </c>
      <c r="AS44" s="4">
        <v>0</v>
      </c>
      <c r="AT44" s="4">
        <v>0.56999999999999995</v>
      </c>
      <c r="AU44" s="4">
        <v>2605.0300000000002</v>
      </c>
      <c r="AV44" s="4">
        <v>1213099.07</v>
      </c>
      <c r="AW44" s="4">
        <v>5394323.0799999991</v>
      </c>
      <c r="AX44" s="4">
        <v>7909222.1300000008</v>
      </c>
      <c r="AY44" s="4">
        <v>3955563.1599999997</v>
      </c>
      <c r="AZ44" s="4">
        <v>0</v>
      </c>
      <c r="BA44" s="4">
        <v>8307006.9199999999</v>
      </c>
      <c r="BB44" s="4">
        <f t="shared" si="4"/>
        <v>1158686453.7000003</v>
      </c>
    </row>
    <row r="45" spans="1:54" x14ac:dyDescent="0.2">
      <c r="A45" s="3">
        <v>44743</v>
      </c>
      <c r="B45" s="4">
        <v>0</v>
      </c>
      <c r="C45" s="4">
        <v>888482.90000000014</v>
      </c>
      <c r="D45" s="4">
        <v>0</v>
      </c>
      <c r="E45" s="4">
        <v>0</v>
      </c>
      <c r="F45" s="4">
        <v>0</v>
      </c>
      <c r="G45" s="4">
        <v>-2.31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344177.83</v>
      </c>
      <c r="N45" s="4">
        <v>360059.30000000005</v>
      </c>
      <c r="O45" s="4">
        <v>197.81</v>
      </c>
      <c r="P45" s="4">
        <v>1093726.26</v>
      </c>
      <c r="Q45" s="4">
        <v>379385.85</v>
      </c>
      <c r="R45" s="4">
        <v>0</v>
      </c>
      <c r="S45" s="4">
        <v>171981.28</v>
      </c>
      <c r="T45" s="4">
        <v>335298.58999999997</v>
      </c>
      <c r="U45" s="4">
        <v>0</v>
      </c>
      <c r="V45" s="4">
        <v>2366595.9700000002</v>
      </c>
      <c r="W45" s="4">
        <v>775803088.05000007</v>
      </c>
      <c r="X45" s="4">
        <v>957026.12</v>
      </c>
      <c r="Y45" s="4">
        <v>93570226.700000018</v>
      </c>
      <c r="Z45" s="4">
        <v>14544.159999999998</v>
      </c>
      <c r="AA45" s="4"/>
      <c r="AB45" s="4">
        <v>-4.7686626203358173E-8</v>
      </c>
      <c r="AC45" s="4">
        <v>104622.01000000001</v>
      </c>
      <c r="AD45" s="4">
        <v>3045720.86</v>
      </c>
      <c r="AE45" s="4">
        <v>0</v>
      </c>
      <c r="AF45" s="4">
        <v>154294.85</v>
      </c>
      <c r="AG45" s="4">
        <v>205603.61000000002</v>
      </c>
      <c r="AH45" s="4">
        <v>409080.73000000004</v>
      </c>
      <c r="AI45" s="4">
        <v>534399.16</v>
      </c>
      <c r="AJ45" s="4">
        <v>0</v>
      </c>
      <c r="AK45" s="4">
        <v>1499562.38</v>
      </c>
      <c r="AL45" s="4">
        <v>0</v>
      </c>
      <c r="AM45" s="4">
        <v>30107.989999999998</v>
      </c>
      <c r="AN45" s="4">
        <v>0</v>
      </c>
      <c r="AO45" s="4">
        <v>796078.56</v>
      </c>
      <c r="AP45" s="4">
        <v>0</v>
      </c>
      <c r="AQ45" s="4">
        <v>69040.95</v>
      </c>
      <c r="AR45" s="4">
        <v>1543766.5099999998</v>
      </c>
      <c r="AS45" s="4">
        <v>0</v>
      </c>
      <c r="AT45" s="4">
        <v>0.56999999999999995</v>
      </c>
      <c r="AU45" s="4">
        <v>0</v>
      </c>
      <c r="AV45" s="4">
        <v>1078489.53</v>
      </c>
      <c r="AW45" s="4">
        <v>4312724.3599999994</v>
      </c>
      <c r="AX45" s="4">
        <v>6252791.3900000006</v>
      </c>
      <c r="AY45" s="4">
        <v>3126691.7</v>
      </c>
      <c r="AZ45" s="4">
        <v>0</v>
      </c>
      <c r="BA45" s="4">
        <v>2846194.97</v>
      </c>
      <c r="BB45" s="4">
        <f t="shared" si="4"/>
        <v>902293958.64000022</v>
      </c>
    </row>
    <row r="46" spans="1:54" x14ac:dyDescent="0.2">
      <c r="A46" s="3">
        <v>44774</v>
      </c>
      <c r="B46" s="4">
        <v>0</v>
      </c>
      <c r="C46" s="4">
        <v>850450.72000000009</v>
      </c>
      <c r="D46" s="4">
        <v>0</v>
      </c>
      <c r="E46" s="4">
        <v>0</v>
      </c>
      <c r="F46" s="4">
        <v>0</v>
      </c>
      <c r="G46" s="4">
        <v>0.20999999999999996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334180.25</v>
      </c>
      <c r="N46" s="4">
        <v>370843.54000000004</v>
      </c>
      <c r="O46" s="4">
        <v>145.79</v>
      </c>
      <c r="P46" s="4">
        <v>1057731.4300000002</v>
      </c>
      <c r="Q46" s="4">
        <v>360869.6</v>
      </c>
      <c r="R46" s="4">
        <v>0</v>
      </c>
      <c r="S46" s="4">
        <v>166711.29999999999</v>
      </c>
      <c r="T46" s="4">
        <v>313153.12</v>
      </c>
      <c r="U46" s="4">
        <v>0</v>
      </c>
      <c r="V46" s="4">
        <v>2310041.9299999997</v>
      </c>
      <c r="W46" s="4">
        <v>750789758.68999982</v>
      </c>
      <c r="X46" s="4">
        <v>1030140.1399999999</v>
      </c>
      <c r="Y46" s="4">
        <v>90540202.729999989</v>
      </c>
      <c r="Z46" s="4">
        <v>31445.34</v>
      </c>
      <c r="AA46" s="4"/>
      <c r="AB46" s="4">
        <v>4.7693902160972357E-9</v>
      </c>
      <c r="AC46" s="4">
        <v>80615.210000000006</v>
      </c>
      <c r="AD46" s="4">
        <v>2903814.5100000002</v>
      </c>
      <c r="AE46" s="4">
        <v>0</v>
      </c>
      <c r="AF46" s="4">
        <v>187365.97000000003</v>
      </c>
      <c r="AG46" s="4">
        <v>199396.83000000002</v>
      </c>
      <c r="AH46" s="4">
        <v>406735.85000000003</v>
      </c>
      <c r="AI46" s="4">
        <v>519800.82000000007</v>
      </c>
      <c r="AJ46" s="4">
        <v>0</v>
      </c>
      <c r="AK46" s="4">
        <v>1369261.3699999999</v>
      </c>
      <c r="AL46" s="4">
        <v>0</v>
      </c>
      <c r="AM46" s="4">
        <v>29774.720000000001</v>
      </c>
      <c r="AN46" s="4">
        <v>0</v>
      </c>
      <c r="AO46" s="4">
        <v>763544.89000000013</v>
      </c>
      <c r="AP46" s="4">
        <v>0</v>
      </c>
      <c r="AQ46" s="4">
        <v>66368.37</v>
      </c>
      <c r="AR46" s="4">
        <v>1494903.43</v>
      </c>
      <c r="AS46" s="4">
        <v>0</v>
      </c>
      <c r="AT46" s="4">
        <v>0.56999999999999995</v>
      </c>
      <c r="AU46" s="4">
        <v>0</v>
      </c>
      <c r="AV46" s="4">
        <v>996538.47000000009</v>
      </c>
      <c r="AW46" s="4">
        <v>4372120.74</v>
      </c>
      <c r="AX46" s="4">
        <v>6173456.6199999992</v>
      </c>
      <c r="AY46" s="4">
        <v>3087132.81</v>
      </c>
      <c r="AZ46" s="4">
        <v>0</v>
      </c>
      <c r="BA46" s="4">
        <v>2896811.95</v>
      </c>
      <c r="BB46" s="4">
        <f t="shared" si="4"/>
        <v>873703317.92000008</v>
      </c>
    </row>
    <row r="47" spans="1:54" x14ac:dyDescent="0.2">
      <c r="A47" s="3">
        <v>44805</v>
      </c>
      <c r="B47" s="4">
        <v>0</v>
      </c>
      <c r="C47" s="4">
        <v>1302965.5</v>
      </c>
      <c r="D47" s="4">
        <v>0</v>
      </c>
      <c r="E47" s="4">
        <v>0</v>
      </c>
      <c r="F47" s="4">
        <v>0</v>
      </c>
      <c r="G47" s="4">
        <v>0.01</v>
      </c>
      <c r="H47" s="4">
        <v>0</v>
      </c>
      <c r="I47" s="4">
        <v>0</v>
      </c>
      <c r="J47" s="4">
        <v>0</v>
      </c>
      <c r="K47" s="4">
        <v>8.2900000000000009</v>
      </c>
      <c r="L47" s="4">
        <v>0</v>
      </c>
      <c r="M47" s="4">
        <v>633250.78999999992</v>
      </c>
      <c r="N47" s="4">
        <v>432690.56000000011</v>
      </c>
      <c r="O47" s="4">
        <v>191.06</v>
      </c>
      <c r="P47" s="4">
        <v>1606888.2700000003</v>
      </c>
      <c r="Q47" s="4">
        <v>668209.31999999995</v>
      </c>
      <c r="R47" s="4">
        <v>0</v>
      </c>
      <c r="S47" s="4">
        <v>311514.61000000004</v>
      </c>
      <c r="T47" s="4">
        <v>512588.18000000005</v>
      </c>
      <c r="U47" s="4">
        <v>0</v>
      </c>
      <c r="V47" s="4">
        <v>2719917.7699999996</v>
      </c>
      <c r="W47" s="4">
        <v>874929271.38000023</v>
      </c>
      <c r="X47" s="4">
        <v>1162645.7100000002</v>
      </c>
      <c r="Y47" s="4">
        <v>131366902.48</v>
      </c>
      <c r="Z47" s="4">
        <v>20957555.490000002</v>
      </c>
      <c r="AA47" s="4"/>
      <c r="AB47" s="4">
        <v>0</v>
      </c>
      <c r="AC47" s="4">
        <v>98671.010000000009</v>
      </c>
      <c r="AD47" s="4">
        <v>4410131.8100000005</v>
      </c>
      <c r="AE47" s="4">
        <v>0</v>
      </c>
      <c r="AF47" s="4">
        <v>192103.04000000004</v>
      </c>
      <c r="AG47" s="4">
        <v>48484.520000000004</v>
      </c>
      <c r="AH47" s="4">
        <v>519175.84</v>
      </c>
      <c r="AI47" s="4">
        <v>628382.8600000001</v>
      </c>
      <c r="AJ47" s="4">
        <v>0</v>
      </c>
      <c r="AK47" s="4">
        <v>2233855.5999999996</v>
      </c>
      <c r="AL47" s="4">
        <v>0</v>
      </c>
      <c r="AM47" s="4">
        <v>41455.679999999993</v>
      </c>
      <c r="AN47" s="4">
        <v>0</v>
      </c>
      <c r="AO47" s="4">
        <v>863811.84999999986</v>
      </c>
      <c r="AP47" s="4">
        <v>0</v>
      </c>
      <c r="AQ47" s="4">
        <v>70144.45</v>
      </c>
      <c r="AR47" s="4">
        <v>2576868.6599999997</v>
      </c>
      <c r="AS47" s="4">
        <v>0</v>
      </c>
      <c r="AT47" s="4">
        <v>0.55999999999999994</v>
      </c>
      <c r="AU47" s="4">
        <v>3924.3900000000003</v>
      </c>
      <c r="AV47" s="4">
        <v>1504869.8499999996</v>
      </c>
      <c r="AW47" s="4">
        <v>5718993.4199999999</v>
      </c>
      <c r="AX47" s="4">
        <v>6818056.0199999996</v>
      </c>
      <c r="AY47" s="4">
        <v>3409376.2800000003</v>
      </c>
      <c r="AZ47" s="4">
        <v>0</v>
      </c>
      <c r="BA47" s="4">
        <v>7446269.6500000013</v>
      </c>
      <c r="BB47" s="4">
        <f t="shared" si="4"/>
        <v>1073189174.9100001</v>
      </c>
    </row>
    <row r="48" spans="1:54" x14ac:dyDescent="0.2">
      <c r="A48" s="3">
        <v>44835</v>
      </c>
      <c r="B48" s="4">
        <v>0</v>
      </c>
      <c r="C48" s="4">
        <v>773877.44</v>
      </c>
      <c r="D48" s="4">
        <v>0</v>
      </c>
      <c r="E48" s="4">
        <v>0</v>
      </c>
      <c r="F48" s="4">
        <v>0</v>
      </c>
      <c r="G48" s="4">
        <v>0.57000000000000006</v>
      </c>
      <c r="H48" s="4">
        <v>0</v>
      </c>
      <c r="I48" s="4">
        <v>0</v>
      </c>
      <c r="J48" s="4">
        <v>0</v>
      </c>
      <c r="K48" s="4">
        <v>82.11</v>
      </c>
      <c r="L48" s="4">
        <v>0</v>
      </c>
      <c r="M48" s="4">
        <v>340459.02999999997</v>
      </c>
      <c r="N48" s="4">
        <v>336002.73</v>
      </c>
      <c r="O48" s="4">
        <v>1149.06</v>
      </c>
      <c r="P48" s="4">
        <v>1130537.27</v>
      </c>
      <c r="Q48" s="4">
        <v>379621.81</v>
      </c>
      <c r="R48" s="4">
        <v>0</v>
      </c>
      <c r="S48" s="4">
        <v>159890.05000000002</v>
      </c>
      <c r="T48" s="4">
        <v>193706.84000000003</v>
      </c>
      <c r="U48" s="4">
        <v>0</v>
      </c>
      <c r="V48" s="4">
        <v>2249070.35</v>
      </c>
      <c r="W48" s="4">
        <v>788549402.33000004</v>
      </c>
      <c r="X48" s="4">
        <v>674683.15</v>
      </c>
      <c r="Y48" s="4">
        <v>97082263.429999977</v>
      </c>
      <c r="Z48" s="4">
        <v>4504.1900000000005</v>
      </c>
      <c r="AA48" s="4"/>
      <c r="AB48" s="4">
        <v>0</v>
      </c>
      <c r="AC48" s="4">
        <v>82816.84</v>
      </c>
      <c r="AD48" s="4">
        <v>3230479.25</v>
      </c>
      <c r="AE48" s="4">
        <v>0</v>
      </c>
      <c r="AF48" s="4">
        <v>202998.57</v>
      </c>
      <c r="AG48" s="4">
        <v>200277.7</v>
      </c>
      <c r="AH48" s="4">
        <v>363049.96</v>
      </c>
      <c r="AI48" s="4">
        <v>523911.83000000007</v>
      </c>
      <c r="AJ48" s="4">
        <v>0</v>
      </c>
      <c r="AK48" s="4">
        <v>1421304.2999999998</v>
      </c>
      <c r="AL48" s="4">
        <v>0</v>
      </c>
      <c r="AM48" s="4">
        <v>29946.800000000003</v>
      </c>
      <c r="AN48" s="4">
        <v>0</v>
      </c>
      <c r="AO48" s="4">
        <v>728311.76</v>
      </c>
      <c r="AP48" s="4">
        <v>0</v>
      </c>
      <c r="AQ48" s="4">
        <v>66598.67</v>
      </c>
      <c r="AR48" s="4">
        <v>1176463.01</v>
      </c>
      <c r="AS48" s="4">
        <v>0</v>
      </c>
      <c r="AT48" s="4">
        <v>26.01</v>
      </c>
      <c r="AU48" s="4">
        <v>1.99</v>
      </c>
      <c r="AV48" s="4">
        <v>1029729.43</v>
      </c>
      <c r="AW48" s="4">
        <v>4517247.9799999995</v>
      </c>
      <c r="AX48" s="4">
        <v>6481429</v>
      </c>
      <c r="AY48" s="4">
        <v>3242245.9000000004</v>
      </c>
      <c r="AZ48" s="4">
        <v>0</v>
      </c>
      <c r="BA48" s="4">
        <v>3634760.3999999994</v>
      </c>
      <c r="BB48" s="4">
        <f t="shared" si="4"/>
        <v>918806849.75999999</v>
      </c>
    </row>
    <row r="49" spans="1:54" x14ac:dyDescent="0.2">
      <c r="A49" s="3">
        <v>44866</v>
      </c>
      <c r="B49" s="4">
        <v>0</v>
      </c>
      <c r="C49" s="4">
        <v>808472.92000000016</v>
      </c>
      <c r="D49" s="4">
        <v>0</v>
      </c>
      <c r="E49" s="4">
        <v>0</v>
      </c>
      <c r="F49" s="4">
        <v>0</v>
      </c>
      <c r="G49" s="4">
        <v>0.12</v>
      </c>
      <c r="H49" s="4">
        <v>0</v>
      </c>
      <c r="I49" s="4">
        <v>0</v>
      </c>
      <c r="J49" s="4">
        <v>0</v>
      </c>
      <c r="K49" s="4">
        <v>134.37</v>
      </c>
      <c r="L49" s="4">
        <v>0</v>
      </c>
      <c r="M49" s="4">
        <v>324281.56</v>
      </c>
      <c r="N49" s="4">
        <v>330213.68000000005</v>
      </c>
      <c r="O49" s="4">
        <v>192.48000000000002</v>
      </c>
      <c r="P49" s="4">
        <v>1162187.8599999999</v>
      </c>
      <c r="Q49" s="4">
        <v>374438.18000000005</v>
      </c>
      <c r="R49" s="4">
        <v>0</v>
      </c>
      <c r="S49" s="4">
        <v>146379.96</v>
      </c>
      <c r="T49" s="4">
        <v>219398.5</v>
      </c>
      <c r="U49" s="4">
        <v>0</v>
      </c>
      <c r="V49" s="4">
        <v>2284949.5200000005</v>
      </c>
      <c r="W49" s="4">
        <v>770454416.31000006</v>
      </c>
      <c r="X49" s="4">
        <v>720529.3</v>
      </c>
      <c r="Y49" s="4">
        <v>94856609.040000007</v>
      </c>
      <c r="Z49" s="4">
        <v>2162.61</v>
      </c>
      <c r="AA49" s="4"/>
      <c r="AB49" s="4">
        <v>-4.7675712266936898E-9</v>
      </c>
      <c r="AC49" s="4">
        <v>82649.73000000001</v>
      </c>
      <c r="AD49" s="4">
        <v>3185272.8200000003</v>
      </c>
      <c r="AE49" s="4">
        <v>0</v>
      </c>
      <c r="AF49" s="4">
        <v>184513.05000000002</v>
      </c>
      <c r="AG49" s="4">
        <v>195539.55</v>
      </c>
      <c r="AH49" s="4">
        <v>408073.05999999994</v>
      </c>
      <c r="AI49" s="4">
        <v>511464.00000000006</v>
      </c>
      <c r="AJ49" s="4">
        <v>0</v>
      </c>
      <c r="AK49" s="4">
        <v>961818.40999999992</v>
      </c>
      <c r="AL49" s="4">
        <v>0</v>
      </c>
      <c r="AM49" s="4">
        <v>30228.9</v>
      </c>
      <c r="AN49" s="4">
        <v>0</v>
      </c>
      <c r="AO49" s="4">
        <v>727279.05</v>
      </c>
      <c r="AP49" s="4">
        <v>0</v>
      </c>
      <c r="AQ49" s="4">
        <v>66330.679999999993</v>
      </c>
      <c r="AR49" s="4">
        <v>1232369.2999999998</v>
      </c>
      <c r="AS49" s="4">
        <v>0</v>
      </c>
      <c r="AT49" s="4">
        <v>0.96</v>
      </c>
      <c r="AU49" s="4">
        <v>0</v>
      </c>
      <c r="AV49" s="4">
        <v>993739.33000000007</v>
      </c>
      <c r="AW49" s="4">
        <v>4533658.1500000004</v>
      </c>
      <c r="AX49" s="4">
        <v>6378661.8899999987</v>
      </c>
      <c r="AY49" s="4">
        <v>3189658.46</v>
      </c>
      <c r="AZ49" s="4">
        <v>0</v>
      </c>
      <c r="BA49" s="4">
        <v>3221067.92</v>
      </c>
      <c r="BB49" s="4">
        <f t="shared" si="4"/>
        <v>897586691.66999972</v>
      </c>
    </row>
    <row r="50" spans="1:54" x14ac:dyDescent="0.2">
      <c r="A50" s="3">
        <v>44896</v>
      </c>
      <c r="B50" s="4">
        <v>0</v>
      </c>
      <c r="C50" s="4">
        <v>968744.34000000008</v>
      </c>
      <c r="D50" s="4">
        <v>0</v>
      </c>
      <c r="E50" s="4">
        <v>0</v>
      </c>
      <c r="F50" s="4">
        <v>1.64</v>
      </c>
      <c r="G50" s="4">
        <v>-242.9</v>
      </c>
      <c r="H50" s="4">
        <v>0</v>
      </c>
      <c r="I50" s="4">
        <v>0</v>
      </c>
      <c r="J50" s="4">
        <v>0</v>
      </c>
      <c r="K50" s="4">
        <v>45.32</v>
      </c>
      <c r="L50" s="4">
        <v>0</v>
      </c>
      <c r="M50" s="4">
        <v>444254.36</v>
      </c>
      <c r="N50" s="4">
        <v>444215.73</v>
      </c>
      <c r="O50" s="4">
        <v>-463.05999999999995</v>
      </c>
      <c r="P50" s="4">
        <v>1438255.6300000001</v>
      </c>
      <c r="Q50" s="4">
        <v>542383.16</v>
      </c>
      <c r="R50" s="4">
        <v>0</v>
      </c>
      <c r="S50" s="4">
        <v>300728.12000000005</v>
      </c>
      <c r="T50" s="4">
        <v>375864</v>
      </c>
      <c r="U50" s="4">
        <v>0</v>
      </c>
      <c r="V50" s="4">
        <v>2500134.59</v>
      </c>
      <c r="W50" s="4">
        <v>968568234.79999995</v>
      </c>
      <c r="X50" s="4">
        <v>918605.17999999993</v>
      </c>
      <c r="Y50" s="10">
        <v>129197742.30000003</v>
      </c>
      <c r="Z50" s="10">
        <v>16326342.640000001</v>
      </c>
      <c r="AA50" s="10">
        <v>261032.54</v>
      </c>
      <c r="AB50" s="4">
        <v>0</v>
      </c>
      <c r="AC50" s="4">
        <v>190725.59000000003</v>
      </c>
      <c r="AD50" s="4">
        <v>3925576.79</v>
      </c>
      <c r="AE50" s="4">
        <v>0</v>
      </c>
      <c r="AF50" s="4">
        <v>215182.94</v>
      </c>
      <c r="AG50" s="4">
        <v>142731.63</v>
      </c>
      <c r="AH50" s="4">
        <v>610818.66999999993</v>
      </c>
      <c r="AI50" s="4">
        <v>487802.94999999995</v>
      </c>
      <c r="AJ50" s="4">
        <v>0</v>
      </c>
      <c r="AK50" s="4">
        <v>2387884.9400000004</v>
      </c>
      <c r="AL50" s="4">
        <v>0</v>
      </c>
      <c r="AM50" s="4">
        <v>54989.77</v>
      </c>
      <c r="AN50" s="4">
        <v>0</v>
      </c>
      <c r="AO50" s="4">
        <v>951377.37</v>
      </c>
      <c r="AP50" s="4">
        <v>0</v>
      </c>
      <c r="AQ50" s="4">
        <v>83754.89</v>
      </c>
      <c r="AR50" s="4">
        <v>1704732.27</v>
      </c>
      <c r="AS50" s="4">
        <v>0</v>
      </c>
      <c r="AT50" s="4">
        <v>29.37</v>
      </c>
      <c r="AU50" s="4">
        <v>3087</v>
      </c>
      <c r="AV50" s="4">
        <v>1591327.45</v>
      </c>
      <c r="AW50" s="4">
        <v>5384904.9900000002</v>
      </c>
      <c r="AX50" s="4">
        <v>7533766.3300000001</v>
      </c>
      <c r="AY50" s="4">
        <v>3768128.13</v>
      </c>
      <c r="AZ50" s="4">
        <v>0</v>
      </c>
      <c r="BA50" s="4">
        <v>6015036.3399999999</v>
      </c>
      <c r="BB50" s="4">
        <f t="shared" si="4"/>
        <v>1157337735.8099999</v>
      </c>
    </row>
    <row r="51" spans="1:54" ht="15.75" thickBot="1" x14ac:dyDescent="0.25">
      <c r="A51" s="7" t="s">
        <v>181</v>
      </c>
      <c r="B51" s="5">
        <f>SUM(B39:B50)</f>
        <v>0</v>
      </c>
      <c r="C51" s="5">
        <f t="shared" ref="C51:BB51" si="5">SUM(C39:C50)</f>
        <v>10941902.030000001</v>
      </c>
      <c r="D51" s="5">
        <f t="shared" si="5"/>
        <v>0</v>
      </c>
      <c r="E51" s="5">
        <f t="shared" si="5"/>
        <v>0</v>
      </c>
      <c r="F51" s="5">
        <f t="shared" si="5"/>
        <v>9.0299999999999994</v>
      </c>
      <c r="G51" s="5">
        <f t="shared" si="5"/>
        <v>19910.509999999995</v>
      </c>
      <c r="H51" s="5">
        <f t="shared" si="5"/>
        <v>0</v>
      </c>
      <c r="I51" s="5">
        <f t="shared" si="5"/>
        <v>0</v>
      </c>
      <c r="J51" s="5">
        <f t="shared" si="5"/>
        <v>997.87000000000012</v>
      </c>
      <c r="K51" s="5">
        <f t="shared" si="5"/>
        <v>684.25000000000011</v>
      </c>
      <c r="L51" s="5">
        <f t="shared" si="5"/>
        <v>0</v>
      </c>
      <c r="M51" s="5">
        <f t="shared" si="5"/>
        <v>4497237.55</v>
      </c>
      <c r="N51" s="5">
        <f t="shared" si="5"/>
        <v>4470661.13</v>
      </c>
      <c r="O51" s="5">
        <f t="shared" si="5"/>
        <v>2364.5100000000002</v>
      </c>
      <c r="P51" s="5">
        <f t="shared" si="5"/>
        <v>14255698.039999999</v>
      </c>
      <c r="Q51" s="5">
        <f t="shared" si="5"/>
        <v>5269657.93</v>
      </c>
      <c r="R51" s="5">
        <f t="shared" si="5"/>
        <v>0</v>
      </c>
      <c r="S51" s="5">
        <f t="shared" si="5"/>
        <v>2605389.6500000004</v>
      </c>
      <c r="T51" s="5">
        <f t="shared" si="5"/>
        <v>3442941.77</v>
      </c>
      <c r="U51" s="5">
        <f t="shared" si="5"/>
        <v>0</v>
      </c>
      <c r="V51" s="5">
        <f t="shared" si="5"/>
        <v>28506225.359999999</v>
      </c>
      <c r="W51" s="5">
        <f t="shared" si="5"/>
        <v>9566139474.6599998</v>
      </c>
      <c r="X51" s="5">
        <f t="shared" si="5"/>
        <v>9401944.3599999994</v>
      </c>
      <c r="Y51" s="5">
        <f t="shared" si="5"/>
        <v>1241869736.1200001</v>
      </c>
      <c r="Z51" s="5">
        <f t="shared" si="5"/>
        <v>65226912.289999999</v>
      </c>
      <c r="AA51" s="5"/>
      <c r="AB51" s="5">
        <f t="shared" si="5"/>
        <v>5.7218585425289348E-8</v>
      </c>
      <c r="AC51" s="5">
        <f t="shared" si="5"/>
        <v>1503833.1400000001</v>
      </c>
      <c r="AD51" s="5">
        <f t="shared" si="5"/>
        <v>40340659.090000004</v>
      </c>
      <c r="AE51" s="5">
        <f t="shared" si="5"/>
        <v>0</v>
      </c>
      <c r="AF51" s="5">
        <f t="shared" si="5"/>
        <v>2352510.5700000003</v>
      </c>
      <c r="AG51" s="5">
        <f t="shared" si="5"/>
        <v>1510060.75</v>
      </c>
      <c r="AH51" s="5">
        <f t="shared" si="5"/>
        <v>5285595.5299999993</v>
      </c>
      <c r="AI51" s="5">
        <f t="shared" si="5"/>
        <v>6446985.0200000014</v>
      </c>
      <c r="AJ51" s="5">
        <f t="shared" si="5"/>
        <v>0</v>
      </c>
      <c r="AK51" s="5">
        <f t="shared" si="5"/>
        <v>18708495.920000002</v>
      </c>
      <c r="AL51" s="5">
        <f t="shared" si="5"/>
        <v>0</v>
      </c>
      <c r="AM51" s="5">
        <f t="shared" si="5"/>
        <v>466316.31000000006</v>
      </c>
      <c r="AN51" s="5">
        <f t="shared" si="5"/>
        <v>0</v>
      </c>
      <c r="AO51" s="5">
        <f t="shared" si="5"/>
        <v>9567523.2200000007</v>
      </c>
      <c r="AP51" s="5">
        <f t="shared" si="5"/>
        <v>0</v>
      </c>
      <c r="AQ51" s="5">
        <f t="shared" si="5"/>
        <v>843254.50000000012</v>
      </c>
      <c r="AR51" s="5">
        <f t="shared" si="5"/>
        <v>16905033.41</v>
      </c>
      <c r="AS51" s="5">
        <f t="shared" si="5"/>
        <v>0</v>
      </c>
      <c r="AT51" s="5">
        <f t="shared" si="5"/>
        <v>90.84</v>
      </c>
      <c r="AU51" s="5">
        <f t="shared" si="5"/>
        <v>12158.340000000002</v>
      </c>
      <c r="AV51" s="5">
        <f t="shared" si="5"/>
        <v>13828285.07</v>
      </c>
      <c r="AW51" s="5">
        <f t="shared" si="5"/>
        <v>56374812.809999995</v>
      </c>
      <c r="AX51" s="5">
        <f t="shared" si="5"/>
        <v>80273448.799999997</v>
      </c>
      <c r="AY51" s="5">
        <f t="shared" si="5"/>
        <v>40146282.149999999</v>
      </c>
      <c r="AZ51" s="5">
        <f t="shared" si="5"/>
        <v>0</v>
      </c>
      <c r="BA51" s="5">
        <f t="shared" si="5"/>
        <v>44807646.820000008</v>
      </c>
      <c r="BB51" s="5">
        <f t="shared" si="5"/>
        <v>11296285771.889999</v>
      </c>
    </row>
    <row r="52" spans="1:54" ht="15.75" thickTop="1" x14ac:dyDescent="0.2"/>
    <row r="53" spans="1:54" x14ac:dyDescent="0.2">
      <c r="A53" s="3">
        <v>44197</v>
      </c>
      <c r="B53" s="4">
        <v>0</v>
      </c>
      <c r="C53" s="4">
        <v>772838.54</v>
      </c>
      <c r="D53" s="4">
        <v>0</v>
      </c>
      <c r="E53" s="4">
        <v>0</v>
      </c>
      <c r="F53" s="4">
        <v>0.04</v>
      </c>
      <c r="G53" s="4">
        <v>-128.97999999999999</v>
      </c>
      <c r="H53" s="4">
        <v>0</v>
      </c>
      <c r="I53" s="4">
        <v>0</v>
      </c>
      <c r="J53" s="4">
        <v>0.1</v>
      </c>
      <c r="K53" s="4">
        <v>0.08</v>
      </c>
      <c r="L53" s="4">
        <v>0</v>
      </c>
      <c r="M53" s="4">
        <v>267175.87</v>
      </c>
      <c r="N53" s="4">
        <v>299309.95000000007</v>
      </c>
      <c r="O53" s="4">
        <v>148.26999999999998</v>
      </c>
      <c r="P53" s="4">
        <v>893747.54</v>
      </c>
      <c r="Q53" s="4">
        <v>317173.36</v>
      </c>
      <c r="R53" s="4">
        <v>0</v>
      </c>
      <c r="S53" s="4">
        <v>170399.08000000002</v>
      </c>
      <c r="T53" s="4">
        <v>145537.34</v>
      </c>
      <c r="U53" s="4">
        <v>0</v>
      </c>
      <c r="V53" s="4">
        <v>1964279.2899999998</v>
      </c>
      <c r="W53" s="4">
        <v>699420513.12000012</v>
      </c>
      <c r="X53" s="4">
        <v>473345.5</v>
      </c>
      <c r="Y53" s="4">
        <v>84608677.51000002</v>
      </c>
      <c r="Z53" s="4">
        <v>4766.4000000000005</v>
      </c>
      <c r="AA53" s="4"/>
      <c r="AB53" s="4">
        <v>-4.7675712266936898E-9</v>
      </c>
      <c r="AC53" s="4">
        <v>117535.96999999999</v>
      </c>
      <c r="AD53" s="4">
        <v>2523638.8199999998</v>
      </c>
      <c r="AE53" s="4">
        <v>0</v>
      </c>
      <c r="AF53" s="4">
        <v>141805.04000000004</v>
      </c>
      <c r="AG53" s="4">
        <v>0</v>
      </c>
      <c r="AH53" s="4">
        <v>342339.75</v>
      </c>
      <c r="AI53" s="4">
        <v>383213.09</v>
      </c>
      <c r="AJ53" s="4">
        <v>0</v>
      </c>
      <c r="AK53" s="4">
        <v>1226537.69</v>
      </c>
      <c r="AL53" s="4">
        <v>0</v>
      </c>
      <c r="AM53" s="4">
        <v>41579.520000000004</v>
      </c>
      <c r="AN53" s="4">
        <v>0</v>
      </c>
      <c r="AO53" s="4">
        <v>656146.99</v>
      </c>
      <c r="AP53" s="4">
        <v>0</v>
      </c>
      <c r="AQ53" s="4">
        <v>55212.38</v>
      </c>
      <c r="AR53" s="4">
        <v>867873.78</v>
      </c>
      <c r="AS53" s="4">
        <v>0</v>
      </c>
      <c r="AT53" s="4">
        <v>0.56999999999999995</v>
      </c>
      <c r="AU53" s="4">
        <v>2570.67</v>
      </c>
      <c r="AV53" s="4">
        <v>857812.54</v>
      </c>
      <c r="AW53" s="4">
        <v>4505316.24</v>
      </c>
      <c r="AX53" s="4">
        <v>5662161.7199999997</v>
      </c>
      <c r="AY53" s="4">
        <v>2832744.0100000002</v>
      </c>
      <c r="AZ53" s="4">
        <v>0</v>
      </c>
      <c r="BA53" s="4">
        <v>4179923.03</v>
      </c>
      <c r="BB53" s="4">
        <f>SUM(B53:BA53)</f>
        <v>813734194.82000017</v>
      </c>
    </row>
    <row r="54" spans="1:54" x14ac:dyDescent="0.2">
      <c r="A54" s="3">
        <v>44228</v>
      </c>
      <c r="B54" s="4">
        <v>0</v>
      </c>
      <c r="C54" s="4">
        <v>644340.01</v>
      </c>
      <c r="D54" s="4">
        <v>0</v>
      </c>
      <c r="E54" s="4">
        <v>0</v>
      </c>
      <c r="F54" s="4">
        <v>22.76</v>
      </c>
      <c r="G54" s="4">
        <v>12.840000000000002</v>
      </c>
      <c r="H54" s="4">
        <v>0</v>
      </c>
      <c r="I54" s="4">
        <v>0</v>
      </c>
      <c r="J54" s="4">
        <v>50.1</v>
      </c>
      <c r="K54" s="4">
        <v>0.08</v>
      </c>
      <c r="L54" s="4">
        <v>0</v>
      </c>
      <c r="M54" s="4">
        <v>226001.13</v>
      </c>
      <c r="N54" s="4">
        <v>248437.03000000003</v>
      </c>
      <c r="O54" s="4">
        <v>154.09</v>
      </c>
      <c r="P54" s="4">
        <v>753049.92</v>
      </c>
      <c r="Q54" s="4">
        <v>260904.28999999998</v>
      </c>
      <c r="R54" s="4">
        <v>0</v>
      </c>
      <c r="S54" s="4">
        <v>146894.25</v>
      </c>
      <c r="T54" s="4">
        <v>124824.48</v>
      </c>
      <c r="U54" s="4">
        <v>0</v>
      </c>
      <c r="V54" s="4">
        <v>1649223.18</v>
      </c>
      <c r="W54" s="4">
        <v>582813002.66999996</v>
      </c>
      <c r="X54" s="4">
        <v>410139.95</v>
      </c>
      <c r="Y54" s="4">
        <v>71335698.739999995</v>
      </c>
      <c r="Z54" s="4">
        <v>49905.070000000007</v>
      </c>
      <c r="AA54" s="4"/>
      <c r="AB54" s="4">
        <v>-1.1918018572032452E-8</v>
      </c>
      <c r="AC54" s="4">
        <v>103769.06999999998</v>
      </c>
      <c r="AD54" s="4">
        <v>2181872.6599999997</v>
      </c>
      <c r="AE54" s="4">
        <v>0</v>
      </c>
      <c r="AF54" s="4">
        <v>124405.76999999997</v>
      </c>
      <c r="AG54" s="4">
        <v>0</v>
      </c>
      <c r="AH54" s="4">
        <v>311000.16000000003</v>
      </c>
      <c r="AI54" s="4">
        <v>324117.13999999996</v>
      </c>
      <c r="AJ54" s="4">
        <v>0</v>
      </c>
      <c r="AK54" s="4">
        <v>1397558.6199999999</v>
      </c>
      <c r="AL54" s="4">
        <v>0</v>
      </c>
      <c r="AM54" s="4">
        <v>35068.92</v>
      </c>
      <c r="AN54" s="4">
        <v>0</v>
      </c>
      <c r="AO54" s="4">
        <v>533497.73</v>
      </c>
      <c r="AP54" s="4">
        <v>0</v>
      </c>
      <c r="AQ54" s="4">
        <v>49428.93</v>
      </c>
      <c r="AR54" s="4">
        <v>718935.99000000011</v>
      </c>
      <c r="AS54" s="4">
        <v>0</v>
      </c>
      <c r="AT54" s="4">
        <v>0.56999999999999995</v>
      </c>
      <c r="AU54" s="4">
        <v>-2570.62</v>
      </c>
      <c r="AV54" s="4">
        <v>728034.75</v>
      </c>
      <c r="AW54" s="4">
        <v>3730173.68</v>
      </c>
      <c r="AX54" s="4">
        <v>4739643.18</v>
      </c>
      <c r="AY54" s="4">
        <v>2370567.4000000004</v>
      </c>
      <c r="AZ54" s="4">
        <v>0</v>
      </c>
      <c r="BA54" s="4">
        <v>3594300.2</v>
      </c>
      <c r="BB54" s="4">
        <f t="shared" ref="BB54:BB64" si="6">SUM(B54:BA54)</f>
        <v>679602464.73999989</v>
      </c>
    </row>
    <row r="55" spans="1:54" x14ac:dyDescent="0.2">
      <c r="A55" s="3">
        <v>44256</v>
      </c>
      <c r="B55" s="4">
        <v>0</v>
      </c>
      <c r="C55" s="4">
        <v>1035358.48</v>
      </c>
      <c r="D55" s="4">
        <v>0</v>
      </c>
      <c r="E55" s="4">
        <v>0</v>
      </c>
      <c r="F55" s="4">
        <v>-6.0000000000000005E-2</v>
      </c>
      <c r="G55" s="4">
        <v>438.64000000000004</v>
      </c>
      <c r="H55" s="4">
        <v>0</v>
      </c>
      <c r="I55" s="4">
        <v>0</v>
      </c>
      <c r="J55" s="4">
        <v>453.74</v>
      </c>
      <c r="K55" s="4">
        <v>8.6100000000000012</v>
      </c>
      <c r="L55" s="4">
        <v>0</v>
      </c>
      <c r="M55" s="4">
        <v>394026.94</v>
      </c>
      <c r="N55" s="4">
        <v>477059.10000000003</v>
      </c>
      <c r="O55" s="4">
        <v>115.59</v>
      </c>
      <c r="P55" s="4">
        <v>894313.41</v>
      </c>
      <c r="Q55" s="4">
        <v>424200.59</v>
      </c>
      <c r="R55" s="4">
        <v>0</v>
      </c>
      <c r="S55" s="4">
        <v>248376.22</v>
      </c>
      <c r="T55" s="4">
        <v>145119.32000000004</v>
      </c>
      <c r="U55" s="4">
        <v>0</v>
      </c>
      <c r="V55" s="4">
        <v>2753024.91</v>
      </c>
      <c r="W55" s="4">
        <v>453879504.93000001</v>
      </c>
      <c r="X55" s="4">
        <v>503534.58</v>
      </c>
      <c r="Y55" s="4">
        <v>81789381.890000015</v>
      </c>
      <c r="Z55" s="4">
        <v>8884037.290000001</v>
      </c>
      <c r="AA55" s="4"/>
      <c r="AB55" s="4">
        <v>-2.6077032089233398E-8</v>
      </c>
      <c r="AC55" s="4">
        <v>148251.47</v>
      </c>
      <c r="AD55" s="4">
        <v>3499427.91</v>
      </c>
      <c r="AE55" s="4">
        <v>0</v>
      </c>
      <c r="AF55" s="4">
        <v>203196.24000000002</v>
      </c>
      <c r="AG55" s="4">
        <v>0</v>
      </c>
      <c r="AH55" s="4">
        <v>547559.0199999999</v>
      </c>
      <c r="AI55" s="4">
        <v>683426.62999999989</v>
      </c>
      <c r="AJ55" s="4">
        <v>0</v>
      </c>
      <c r="AK55" s="4">
        <v>1218425.32</v>
      </c>
      <c r="AL55" s="4">
        <v>0</v>
      </c>
      <c r="AM55" s="4">
        <v>44613.8</v>
      </c>
      <c r="AN55" s="4">
        <v>0</v>
      </c>
      <c r="AO55" s="4">
        <v>932694.13000000012</v>
      </c>
      <c r="AP55" s="4">
        <v>0</v>
      </c>
      <c r="AQ55" s="4">
        <v>95300.69</v>
      </c>
      <c r="AR55" s="4">
        <v>1173098.02</v>
      </c>
      <c r="AS55" s="4">
        <v>0</v>
      </c>
      <c r="AT55" s="4">
        <v>0.55999999999999994</v>
      </c>
      <c r="AU55" s="4">
        <v>2579.5499999999997</v>
      </c>
      <c r="AV55" s="4">
        <v>1189449.7599999998</v>
      </c>
      <c r="AW55" s="4">
        <v>3808451.1899999995</v>
      </c>
      <c r="AX55" s="4">
        <v>6790278.5899999989</v>
      </c>
      <c r="AY55" s="4">
        <v>3396559.0300000007</v>
      </c>
      <c r="AZ55" s="4">
        <v>0</v>
      </c>
      <c r="BA55" s="4">
        <v>-5530997.4800000004</v>
      </c>
      <c r="BB55" s="4">
        <f t="shared" si="6"/>
        <v>569631268.6099999</v>
      </c>
    </row>
    <row r="56" spans="1:54" x14ac:dyDescent="0.2">
      <c r="A56" s="3">
        <v>44287</v>
      </c>
      <c r="B56" s="4">
        <v>0</v>
      </c>
      <c r="C56" s="4">
        <v>816655.32000000007</v>
      </c>
      <c r="D56" s="4">
        <v>0</v>
      </c>
      <c r="E56" s="4">
        <v>0</v>
      </c>
      <c r="F56" s="4">
        <v>0.05</v>
      </c>
      <c r="G56" s="4">
        <v>382.09000000000003</v>
      </c>
      <c r="H56" s="4">
        <v>0</v>
      </c>
      <c r="I56" s="4">
        <v>0</v>
      </c>
      <c r="J56" s="4">
        <v>192.6</v>
      </c>
      <c r="K56" s="4">
        <v>0.15</v>
      </c>
      <c r="L56" s="4">
        <v>0</v>
      </c>
      <c r="M56" s="4">
        <v>285854.18</v>
      </c>
      <c r="N56" s="4">
        <v>351025.58</v>
      </c>
      <c r="O56" s="4">
        <v>208.69</v>
      </c>
      <c r="P56" s="4">
        <v>961271.3</v>
      </c>
      <c r="Q56" s="4">
        <v>336784.74</v>
      </c>
      <c r="R56" s="4">
        <v>0</v>
      </c>
      <c r="S56" s="4">
        <v>175808.67000000004</v>
      </c>
      <c r="T56" s="4">
        <v>389100.28</v>
      </c>
      <c r="U56" s="4">
        <v>0</v>
      </c>
      <c r="V56" s="4">
        <v>1897344.3499999996</v>
      </c>
      <c r="W56" s="4">
        <v>657268519.45000005</v>
      </c>
      <c r="X56" s="4">
        <v>537721.53</v>
      </c>
      <c r="Y56" s="4">
        <v>82715159.160000011</v>
      </c>
      <c r="Z56" s="4">
        <v>9506.3799999999992</v>
      </c>
      <c r="AA56" s="4"/>
      <c r="AB56" s="4">
        <v>-4.2913598008453846E-8</v>
      </c>
      <c r="AC56" s="4">
        <v>107686.88</v>
      </c>
      <c r="AD56" s="4">
        <v>2465019.5</v>
      </c>
      <c r="AE56" s="4">
        <v>0</v>
      </c>
      <c r="AF56" s="4">
        <v>157588.39000000001</v>
      </c>
      <c r="AG56" s="4">
        <v>4.5</v>
      </c>
      <c r="AH56" s="4">
        <v>301163.13999999996</v>
      </c>
      <c r="AI56" s="4">
        <v>459044.76</v>
      </c>
      <c r="AJ56" s="4">
        <v>0</v>
      </c>
      <c r="AK56" s="4">
        <v>1341761.8999999999</v>
      </c>
      <c r="AL56" s="4">
        <v>0</v>
      </c>
      <c r="AM56" s="4">
        <v>30614.559999999998</v>
      </c>
      <c r="AN56" s="4">
        <v>0</v>
      </c>
      <c r="AO56" s="4">
        <v>708012.89</v>
      </c>
      <c r="AP56" s="4">
        <v>0</v>
      </c>
      <c r="AQ56" s="4">
        <v>59788.3</v>
      </c>
      <c r="AR56" s="4">
        <v>984066.99</v>
      </c>
      <c r="AS56" s="4">
        <v>0</v>
      </c>
      <c r="AT56" s="4">
        <v>0.56999999999999995</v>
      </c>
      <c r="AU56" s="4">
        <v>0</v>
      </c>
      <c r="AV56" s="4">
        <v>962606.83</v>
      </c>
      <c r="AW56" s="4">
        <v>3931014.6100000003</v>
      </c>
      <c r="AX56" s="4">
        <v>5424561.7799999993</v>
      </c>
      <c r="AY56" s="4">
        <v>2714700.38</v>
      </c>
      <c r="AZ56" s="4">
        <v>0</v>
      </c>
      <c r="BA56" s="4">
        <v>3745116.45</v>
      </c>
      <c r="BB56" s="4">
        <f t="shared" si="6"/>
        <v>769138286.94999993</v>
      </c>
    </row>
    <row r="57" spans="1:54" x14ac:dyDescent="0.2">
      <c r="A57" s="3">
        <v>44317</v>
      </c>
      <c r="B57" s="4">
        <v>0</v>
      </c>
      <c r="C57" s="4">
        <v>798736.24</v>
      </c>
      <c r="D57" s="4">
        <v>0</v>
      </c>
      <c r="E57" s="4">
        <v>0</v>
      </c>
      <c r="F57" s="4">
        <v>0.04</v>
      </c>
      <c r="G57" s="4">
        <v>-198.82</v>
      </c>
      <c r="H57" s="4">
        <v>0</v>
      </c>
      <c r="I57" s="4">
        <v>0</v>
      </c>
      <c r="J57" s="4">
        <v>0.1</v>
      </c>
      <c r="K57" s="4">
        <v>0.08</v>
      </c>
      <c r="L57" s="4">
        <v>0</v>
      </c>
      <c r="M57" s="4">
        <v>281394.68</v>
      </c>
      <c r="N57" s="4">
        <v>348767.86</v>
      </c>
      <c r="O57" s="4">
        <v>384.42</v>
      </c>
      <c r="P57" s="4">
        <v>952626.59000000008</v>
      </c>
      <c r="Q57" s="4">
        <v>335417.57999999996</v>
      </c>
      <c r="R57" s="4">
        <v>0</v>
      </c>
      <c r="S57" s="4">
        <v>181773.75</v>
      </c>
      <c r="T57" s="4">
        <v>170680.19</v>
      </c>
      <c r="U57" s="4">
        <v>0</v>
      </c>
      <c r="V57" s="4">
        <v>1856435.7399999998</v>
      </c>
      <c r="W57" s="4">
        <v>635826509.13999987</v>
      </c>
      <c r="X57" s="4">
        <v>558817.85</v>
      </c>
      <c r="Y57" s="4">
        <v>80612038.159999996</v>
      </c>
      <c r="Z57" s="4">
        <v>3992.71</v>
      </c>
      <c r="AA57" s="4"/>
      <c r="AB57" s="4">
        <v>-2.1456799004226923E-8</v>
      </c>
      <c r="AC57" s="4">
        <v>106118.33</v>
      </c>
      <c r="AD57" s="4">
        <v>2484816.13</v>
      </c>
      <c r="AE57" s="4">
        <v>0</v>
      </c>
      <c r="AF57" s="4">
        <v>151886.25999999998</v>
      </c>
      <c r="AG57" s="4">
        <v>0</v>
      </c>
      <c r="AH57" s="4">
        <v>358020.17</v>
      </c>
      <c r="AI57" s="4">
        <v>449030.56000000006</v>
      </c>
      <c r="AJ57" s="4">
        <v>0</v>
      </c>
      <c r="AK57" s="4">
        <v>1312115.8700000001</v>
      </c>
      <c r="AL57" s="4">
        <v>0</v>
      </c>
      <c r="AM57" s="4">
        <v>30050.680000000004</v>
      </c>
      <c r="AN57" s="4">
        <v>0</v>
      </c>
      <c r="AO57" s="4">
        <v>695404.99</v>
      </c>
      <c r="AP57" s="4">
        <v>0</v>
      </c>
      <c r="AQ57" s="4">
        <v>58711.360000000001</v>
      </c>
      <c r="AR57" s="4">
        <v>943783.48</v>
      </c>
      <c r="AS57" s="4">
        <v>0</v>
      </c>
      <c r="AT57" s="4">
        <v>0.56999999999999995</v>
      </c>
      <c r="AU57" s="4">
        <v>0</v>
      </c>
      <c r="AV57" s="4">
        <v>904168.24</v>
      </c>
      <c r="AW57" s="4">
        <v>3881585.2300000004</v>
      </c>
      <c r="AX57" s="4">
        <v>5287000.76</v>
      </c>
      <c r="AY57" s="4">
        <v>2644938.3600000003</v>
      </c>
      <c r="AZ57" s="4">
        <v>0</v>
      </c>
      <c r="BA57" s="4">
        <v>3727630.7199999997</v>
      </c>
      <c r="BB57" s="4">
        <f t="shared" si="6"/>
        <v>744962638.01999998</v>
      </c>
    </row>
    <row r="58" spans="1:54" x14ac:dyDescent="0.2">
      <c r="A58" s="3">
        <v>44348</v>
      </c>
      <c r="B58" s="4">
        <v>0</v>
      </c>
      <c r="C58" s="4">
        <v>1151609.8499999999</v>
      </c>
      <c r="D58" s="4">
        <v>0</v>
      </c>
      <c r="E58" s="4">
        <v>0</v>
      </c>
      <c r="F58" s="4">
        <v>0.04</v>
      </c>
      <c r="G58" s="4">
        <v>1139.05</v>
      </c>
      <c r="H58" s="4">
        <v>0</v>
      </c>
      <c r="I58" s="4">
        <v>0</v>
      </c>
      <c r="J58" s="4">
        <v>-0.54</v>
      </c>
      <c r="K58" s="4">
        <v>0.08</v>
      </c>
      <c r="L58" s="4">
        <v>0</v>
      </c>
      <c r="M58" s="4">
        <v>505925.02999999991</v>
      </c>
      <c r="N58" s="4">
        <v>515123.42000000004</v>
      </c>
      <c r="O58" s="4">
        <v>204.33</v>
      </c>
      <c r="P58" s="4">
        <v>1364053.45</v>
      </c>
      <c r="Q58" s="4">
        <v>549503.10000000009</v>
      </c>
      <c r="R58" s="4">
        <v>0</v>
      </c>
      <c r="S58" s="4">
        <v>215831.14</v>
      </c>
      <c r="T58" s="4">
        <v>472082.47000000003</v>
      </c>
      <c r="U58" s="4">
        <v>0</v>
      </c>
      <c r="V58" s="4">
        <v>3211616.5200000005</v>
      </c>
      <c r="W58" s="4">
        <v>633196905.56999993</v>
      </c>
      <c r="X58" s="4">
        <v>733039.05</v>
      </c>
      <c r="Y58" s="4">
        <v>110112970.23999999</v>
      </c>
      <c r="Z58" s="4">
        <v>12371176.439999999</v>
      </c>
      <c r="AA58" s="4"/>
      <c r="AB58" s="4">
        <v>5.7276338338851929E-8</v>
      </c>
      <c r="AC58" s="4">
        <v>108837.31</v>
      </c>
      <c r="AD58" s="4">
        <v>4530650.8500000006</v>
      </c>
      <c r="AE58" s="4">
        <v>0</v>
      </c>
      <c r="AF58" s="4">
        <v>300143.51999999996</v>
      </c>
      <c r="AG58" s="4">
        <v>-0.01</v>
      </c>
      <c r="AH58" s="4">
        <v>782960.69</v>
      </c>
      <c r="AI58" s="4">
        <v>812893.34999999986</v>
      </c>
      <c r="AJ58" s="4">
        <v>0</v>
      </c>
      <c r="AK58" s="4">
        <v>1910317.6700000004</v>
      </c>
      <c r="AL58" s="4">
        <v>0</v>
      </c>
      <c r="AM58" s="4">
        <v>37356.700000000004</v>
      </c>
      <c r="AN58" s="4">
        <v>0</v>
      </c>
      <c r="AO58" s="4">
        <v>1135577.6099999999</v>
      </c>
      <c r="AP58" s="4">
        <v>0</v>
      </c>
      <c r="AQ58" s="4">
        <v>101794.44</v>
      </c>
      <c r="AR58" s="4">
        <v>1665832.5199999996</v>
      </c>
      <c r="AS58" s="4">
        <v>0</v>
      </c>
      <c r="AT58" s="4">
        <v>0.55999999999999994</v>
      </c>
      <c r="AU58" s="4">
        <v>3456.11</v>
      </c>
      <c r="AV58" s="4">
        <v>1628059.79</v>
      </c>
      <c r="AW58" s="4">
        <v>4715812.34</v>
      </c>
      <c r="AX58" s="4">
        <v>8774135.2599999998</v>
      </c>
      <c r="AY58" s="4">
        <v>4397251.5600000005</v>
      </c>
      <c r="AZ58" s="4">
        <v>0</v>
      </c>
      <c r="BA58" s="4">
        <v>-3047206.0900000012</v>
      </c>
      <c r="BB58" s="4">
        <f t="shared" si="6"/>
        <v>792259053.41999996</v>
      </c>
    </row>
    <row r="59" spans="1:54" x14ac:dyDescent="0.2">
      <c r="A59" s="3">
        <v>44378</v>
      </c>
      <c r="B59" s="4">
        <v>0</v>
      </c>
      <c r="C59" s="4">
        <v>884750.01000000013</v>
      </c>
      <c r="D59" s="4">
        <v>0</v>
      </c>
      <c r="E59" s="4">
        <v>0</v>
      </c>
      <c r="F59" s="4">
        <v>0.04</v>
      </c>
      <c r="G59" s="4">
        <v>59.110000000000014</v>
      </c>
      <c r="H59" s="4">
        <v>0</v>
      </c>
      <c r="I59" s="4">
        <v>0</v>
      </c>
      <c r="J59" s="4">
        <v>0.1</v>
      </c>
      <c r="K59" s="4">
        <v>0.08</v>
      </c>
      <c r="L59" s="4">
        <v>0</v>
      </c>
      <c r="M59" s="4">
        <v>316462.87</v>
      </c>
      <c r="N59" s="4">
        <v>349465.83</v>
      </c>
      <c r="O59" s="4">
        <v>112.84</v>
      </c>
      <c r="P59" s="4">
        <v>1053761.6200000001</v>
      </c>
      <c r="Q59" s="4">
        <v>367414.33</v>
      </c>
      <c r="R59" s="4">
        <v>0</v>
      </c>
      <c r="S59" s="4">
        <v>151713.90000000002</v>
      </c>
      <c r="T59" s="4">
        <v>269605.25</v>
      </c>
      <c r="U59" s="4">
        <v>0</v>
      </c>
      <c r="V59" s="4">
        <v>2013414.4100000001</v>
      </c>
      <c r="W59" s="4">
        <v>648994281.69999993</v>
      </c>
      <c r="X59" s="4">
        <v>867994.52999999991</v>
      </c>
      <c r="Y59" s="4">
        <v>86967779.760000005</v>
      </c>
      <c r="Z59" s="4">
        <v>13087.000000000002</v>
      </c>
      <c r="AA59" s="4"/>
      <c r="AB59" s="4">
        <v>1.4304532669484615E-8</v>
      </c>
      <c r="AC59" s="4">
        <v>83432.070000000007</v>
      </c>
      <c r="AD59" s="4">
        <v>2770642.7199999997</v>
      </c>
      <c r="AE59" s="4">
        <v>0</v>
      </c>
      <c r="AF59" s="4">
        <v>158670.43</v>
      </c>
      <c r="AG59" s="4">
        <v>0</v>
      </c>
      <c r="AH59" s="4">
        <v>252258.17999999993</v>
      </c>
      <c r="AI59" s="4">
        <v>469733.13999999996</v>
      </c>
      <c r="AJ59" s="4">
        <v>0</v>
      </c>
      <c r="AK59" s="4">
        <v>1378401.65</v>
      </c>
      <c r="AL59" s="4">
        <v>0</v>
      </c>
      <c r="AM59" s="4">
        <v>27254.73</v>
      </c>
      <c r="AN59" s="4">
        <v>0</v>
      </c>
      <c r="AO59" s="4">
        <v>776260.52</v>
      </c>
      <c r="AP59" s="4">
        <v>0</v>
      </c>
      <c r="AQ59" s="4">
        <v>59500.48000000001</v>
      </c>
      <c r="AR59" s="4">
        <v>1356394.85</v>
      </c>
      <c r="AS59" s="4">
        <v>0</v>
      </c>
      <c r="AT59" s="4">
        <v>0.56999999999999995</v>
      </c>
      <c r="AU59" s="4">
        <v>27.28</v>
      </c>
      <c r="AV59" s="4">
        <v>985409.38000000012</v>
      </c>
      <c r="AW59" s="4">
        <v>4211721.3600000003</v>
      </c>
      <c r="AX59" s="4">
        <v>5815801.2400000002</v>
      </c>
      <c r="AY59" s="4">
        <v>2908465.8000000003</v>
      </c>
      <c r="AZ59" s="4">
        <v>0</v>
      </c>
      <c r="BA59" s="4">
        <v>3651371.2</v>
      </c>
      <c r="BB59" s="4">
        <f t="shared" si="6"/>
        <v>767155248.9799999</v>
      </c>
    </row>
    <row r="60" spans="1:54" x14ac:dyDescent="0.2">
      <c r="A60" s="3">
        <v>44409</v>
      </c>
      <c r="B60" s="4">
        <v>0</v>
      </c>
      <c r="C60" s="4">
        <v>916523.31</v>
      </c>
      <c r="D60" s="4">
        <v>0</v>
      </c>
      <c r="E60" s="4">
        <v>0</v>
      </c>
      <c r="F60" s="4">
        <v>0.04</v>
      </c>
      <c r="G60" s="4">
        <v>0.96</v>
      </c>
      <c r="H60" s="4">
        <v>0</v>
      </c>
      <c r="I60" s="4">
        <v>0</v>
      </c>
      <c r="J60" s="4">
        <v>0.1</v>
      </c>
      <c r="K60" s="4">
        <v>0.08</v>
      </c>
      <c r="L60" s="4">
        <v>0</v>
      </c>
      <c r="M60" s="4">
        <v>308209.40999999997</v>
      </c>
      <c r="N60" s="4">
        <v>339131</v>
      </c>
      <c r="O60" s="4">
        <v>113.13</v>
      </c>
      <c r="P60" s="4">
        <v>1030205.71</v>
      </c>
      <c r="Q60" s="4">
        <v>350861.12000000005</v>
      </c>
      <c r="R60" s="4">
        <v>0</v>
      </c>
      <c r="S60" s="4">
        <v>148624.04999999999</v>
      </c>
      <c r="T60" s="4">
        <v>248637.74000000002</v>
      </c>
      <c r="U60" s="4">
        <v>0</v>
      </c>
      <c r="V60" s="4">
        <v>2002225.9600000002</v>
      </c>
      <c r="W60" s="4">
        <v>622580502.45999992</v>
      </c>
      <c r="X60" s="4">
        <v>872795.70000000007</v>
      </c>
      <c r="Y60" s="4">
        <v>83313200.849999994</v>
      </c>
      <c r="Z60" s="4">
        <v>1861.6</v>
      </c>
      <c r="AA60" s="4"/>
      <c r="AB60" s="4">
        <v>2.6226189220324159E-8</v>
      </c>
      <c r="AC60" s="4">
        <v>81301.81</v>
      </c>
      <c r="AD60" s="4">
        <v>2669897.25</v>
      </c>
      <c r="AE60" s="4">
        <v>0</v>
      </c>
      <c r="AF60" s="4">
        <v>153523.12</v>
      </c>
      <c r="AG60" s="4">
        <v>0</v>
      </c>
      <c r="AH60" s="4">
        <v>413035.52999999997</v>
      </c>
      <c r="AI60" s="4">
        <v>446077.54</v>
      </c>
      <c r="AJ60" s="4">
        <v>0</v>
      </c>
      <c r="AK60" s="4">
        <v>1456955.2499999998</v>
      </c>
      <c r="AL60" s="4">
        <v>0</v>
      </c>
      <c r="AM60" s="4">
        <v>26563.230000000003</v>
      </c>
      <c r="AN60" s="4">
        <v>0</v>
      </c>
      <c r="AO60" s="4">
        <v>732232.5</v>
      </c>
      <c r="AP60" s="4">
        <v>0</v>
      </c>
      <c r="AQ60" s="4">
        <v>60873.46</v>
      </c>
      <c r="AR60" s="4">
        <v>1330196.31</v>
      </c>
      <c r="AS60" s="4">
        <v>0</v>
      </c>
      <c r="AT60" s="4">
        <v>0.56999999999999995</v>
      </c>
      <c r="AU60" s="4">
        <v>109.80999999999999</v>
      </c>
      <c r="AV60" s="4">
        <v>964213.13</v>
      </c>
      <c r="AW60" s="4">
        <v>3937022.8</v>
      </c>
      <c r="AX60" s="4">
        <v>5714232.29</v>
      </c>
      <c r="AY60" s="4">
        <v>2857646.37</v>
      </c>
      <c r="AZ60" s="4">
        <v>0</v>
      </c>
      <c r="BA60" s="4">
        <v>3520082.0100000002</v>
      </c>
      <c r="BB60" s="4">
        <f t="shared" si="6"/>
        <v>736476856.19999981</v>
      </c>
    </row>
    <row r="61" spans="1:54" x14ac:dyDescent="0.2">
      <c r="A61" s="3">
        <v>44440</v>
      </c>
      <c r="B61" s="4">
        <v>0</v>
      </c>
      <c r="C61" s="4">
        <v>1095717.29</v>
      </c>
      <c r="D61" s="4">
        <v>0</v>
      </c>
      <c r="E61" s="4">
        <v>0</v>
      </c>
      <c r="F61" s="4">
        <v>0.03</v>
      </c>
      <c r="G61" s="4">
        <v>0.91999999999999993</v>
      </c>
      <c r="H61" s="4">
        <v>0</v>
      </c>
      <c r="I61" s="4">
        <v>0</v>
      </c>
      <c r="J61" s="4">
        <v>9.0000000000000011E-2</v>
      </c>
      <c r="K61" s="4">
        <v>105.26</v>
      </c>
      <c r="L61" s="4">
        <v>0</v>
      </c>
      <c r="M61" s="4">
        <v>402680.19</v>
      </c>
      <c r="N61" s="4">
        <v>416943.08999999997</v>
      </c>
      <c r="O61" s="4">
        <v>121.99</v>
      </c>
      <c r="P61" s="4">
        <v>1403978.58</v>
      </c>
      <c r="Q61" s="4">
        <v>538144.72000000009</v>
      </c>
      <c r="R61" s="4">
        <v>0</v>
      </c>
      <c r="S61" s="4">
        <v>290547.67</v>
      </c>
      <c r="T61" s="4">
        <v>590537.16</v>
      </c>
      <c r="U61" s="4">
        <v>0</v>
      </c>
      <c r="V61" s="4">
        <v>2849015.83</v>
      </c>
      <c r="W61" s="4">
        <v>785062234.00000012</v>
      </c>
      <c r="X61" s="4">
        <v>1114914</v>
      </c>
      <c r="Y61" s="4">
        <v>118334017.28999999</v>
      </c>
      <c r="Z61" s="4">
        <v>18495260.420000002</v>
      </c>
      <c r="AA61" s="4"/>
      <c r="AB61" s="4">
        <v>3.3527612686157227E-8</v>
      </c>
      <c r="AC61" s="4">
        <v>72404.52</v>
      </c>
      <c r="AD61" s="4">
        <v>4133774.5799999991</v>
      </c>
      <c r="AE61" s="4">
        <v>0</v>
      </c>
      <c r="AF61" s="4">
        <v>288119.2</v>
      </c>
      <c r="AG61" s="4">
        <v>0</v>
      </c>
      <c r="AH61" s="4">
        <v>591964.6</v>
      </c>
      <c r="AI61" s="4">
        <v>690939.45</v>
      </c>
      <c r="AJ61" s="4">
        <v>0</v>
      </c>
      <c r="AK61" s="4">
        <v>1753540.8</v>
      </c>
      <c r="AL61" s="4">
        <v>0</v>
      </c>
      <c r="AM61" s="4">
        <v>29725.439999999995</v>
      </c>
      <c r="AN61" s="4">
        <v>0</v>
      </c>
      <c r="AO61" s="4">
        <v>948071.8600000001</v>
      </c>
      <c r="AP61" s="4">
        <v>0</v>
      </c>
      <c r="AQ61" s="4">
        <v>82422.77</v>
      </c>
      <c r="AR61" s="4">
        <v>1830985.67</v>
      </c>
      <c r="AS61" s="4">
        <v>0</v>
      </c>
      <c r="AT61" s="4">
        <v>0.94</v>
      </c>
      <c r="AU61" s="4">
        <v>2464.1999999999998</v>
      </c>
      <c r="AV61" s="4">
        <v>1443158.83</v>
      </c>
      <c r="AW61" s="4">
        <v>5121960.13</v>
      </c>
      <c r="AX61" s="4">
        <v>7608206.8299999991</v>
      </c>
      <c r="AY61" s="4">
        <v>3804584.58</v>
      </c>
      <c r="AZ61" s="4">
        <v>0</v>
      </c>
      <c r="BA61" s="4">
        <v>94610.389999999665</v>
      </c>
      <c r="BB61" s="4">
        <f t="shared" si="6"/>
        <v>959091153.32000041</v>
      </c>
    </row>
    <row r="62" spans="1:54" x14ac:dyDescent="0.2">
      <c r="A62" s="3">
        <v>44470</v>
      </c>
      <c r="B62" s="4">
        <v>0</v>
      </c>
      <c r="C62" s="4">
        <v>805448.83000000007</v>
      </c>
      <c r="D62" s="4">
        <v>0</v>
      </c>
      <c r="E62" s="4">
        <v>0</v>
      </c>
      <c r="F62" s="4">
        <v>0.04</v>
      </c>
      <c r="G62" s="4">
        <v>0.69</v>
      </c>
      <c r="H62" s="4">
        <v>0</v>
      </c>
      <c r="I62" s="4">
        <v>0</v>
      </c>
      <c r="J62" s="4">
        <v>0.1</v>
      </c>
      <c r="K62" s="4">
        <v>0.08</v>
      </c>
      <c r="L62" s="4">
        <v>0</v>
      </c>
      <c r="M62" s="4">
        <v>306245.82999999996</v>
      </c>
      <c r="N62" s="4">
        <v>324081.73</v>
      </c>
      <c r="O62" s="4">
        <v>149.01</v>
      </c>
      <c r="P62" s="4">
        <v>1010440.06</v>
      </c>
      <c r="Q62" s="4">
        <v>342751.82999999996</v>
      </c>
      <c r="R62" s="4">
        <v>0</v>
      </c>
      <c r="S62" s="4">
        <v>131276.09999999998</v>
      </c>
      <c r="T62" s="4">
        <v>197968.31</v>
      </c>
      <c r="U62" s="4">
        <v>0</v>
      </c>
      <c r="V62" s="4">
        <v>2057940.88</v>
      </c>
      <c r="W62" s="4">
        <v>672349973.39999974</v>
      </c>
      <c r="X62" s="4">
        <v>607440.66999999993</v>
      </c>
      <c r="Y62" s="4">
        <v>86325790.430000007</v>
      </c>
      <c r="Z62" s="4">
        <v>-1799.0200000000004</v>
      </c>
      <c r="AA62" s="4"/>
      <c r="AB62" s="4">
        <v>1.4304532669484615E-8</v>
      </c>
      <c r="AC62" s="4">
        <v>91439.9</v>
      </c>
      <c r="AD62" s="4">
        <v>2754938.04</v>
      </c>
      <c r="AE62" s="4">
        <v>0</v>
      </c>
      <c r="AF62" s="4">
        <v>155734.64000000001</v>
      </c>
      <c r="AG62" s="4">
        <v>0</v>
      </c>
      <c r="AH62" s="4">
        <v>376079.91000000003</v>
      </c>
      <c r="AI62" s="4">
        <v>426484.71</v>
      </c>
      <c r="AJ62" s="4">
        <v>0</v>
      </c>
      <c r="AK62" s="4">
        <v>1309376.57</v>
      </c>
      <c r="AL62" s="4">
        <v>0</v>
      </c>
      <c r="AM62" s="4">
        <v>25154.010000000002</v>
      </c>
      <c r="AN62" s="4">
        <v>0</v>
      </c>
      <c r="AO62" s="4">
        <v>702367.80999999994</v>
      </c>
      <c r="AP62" s="4">
        <v>0</v>
      </c>
      <c r="AQ62" s="4">
        <v>59087.67</v>
      </c>
      <c r="AR62" s="4">
        <v>1119557.48</v>
      </c>
      <c r="AS62" s="4">
        <v>0</v>
      </c>
      <c r="AT62" s="4">
        <v>0.56999999999999995</v>
      </c>
      <c r="AU62" s="4">
        <v>5.0999999999999996</v>
      </c>
      <c r="AV62" s="4">
        <v>961753.7300000001</v>
      </c>
      <c r="AW62" s="4">
        <v>4300323.99</v>
      </c>
      <c r="AX62" s="4">
        <v>5692884.5299999993</v>
      </c>
      <c r="AY62" s="4">
        <v>2839229.7299999995</v>
      </c>
      <c r="AZ62" s="4">
        <v>0</v>
      </c>
      <c r="BA62" s="4">
        <v>3507800.8599999994</v>
      </c>
      <c r="BB62" s="4">
        <f t="shared" si="6"/>
        <v>788779928.21999979</v>
      </c>
    </row>
    <row r="63" spans="1:54" x14ac:dyDescent="0.2">
      <c r="A63" s="3">
        <v>44501</v>
      </c>
      <c r="B63" s="4">
        <v>0</v>
      </c>
      <c r="C63" s="4">
        <v>804114.47</v>
      </c>
      <c r="D63" s="4">
        <v>0</v>
      </c>
      <c r="E63" s="4">
        <v>0</v>
      </c>
      <c r="F63" s="4">
        <v>0.04</v>
      </c>
      <c r="G63" s="4">
        <v>3.89</v>
      </c>
      <c r="H63" s="4">
        <v>0</v>
      </c>
      <c r="I63" s="4">
        <v>0</v>
      </c>
      <c r="J63" s="4">
        <v>0.1</v>
      </c>
      <c r="K63" s="4">
        <v>0.08</v>
      </c>
      <c r="L63" s="4">
        <v>0</v>
      </c>
      <c r="M63" s="4">
        <v>310159.66000000003</v>
      </c>
      <c r="N63" s="4">
        <v>326289.88</v>
      </c>
      <c r="O63" s="4">
        <v>127.03</v>
      </c>
      <c r="P63" s="4">
        <v>1026339.3999999999</v>
      </c>
      <c r="Q63" s="4">
        <v>339991.03</v>
      </c>
      <c r="R63" s="4">
        <v>0</v>
      </c>
      <c r="S63" s="4">
        <v>142714.73000000001</v>
      </c>
      <c r="T63" s="4">
        <v>191836.99</v>
      </c>
      <c r="U63" s="4">
        <v>0</v>
      </c>
      <c r="V63" s="4">
        <v>2108079.27</v>
      </c>
      <c r="W63" s="4">
        <v>695983848.02999997</v>
      </c>
      <c r="X63" s="4">
        <v>576285.3899999999</v>
      </c>
      <c r="Y63" s="4">
        <v>89642118.219999999</v>
      </c>
      <c r="Z63" s="4">
        <v>185862.90000000002</v>
      </c>
      <c r="AA63" s="4"/>
      <c r="AB63" s="4">
        <v>-2.3841494112275541E-8</v>
      </c>
      <c r="AC63" s="4">
        <v>84193.62</v>
      </c>
      <c r="AD63" s="4">
        <v>2742503.27</v>
      </c>
      <c r="AE63" s="4">
        <v>0</v>
      </c>
      <c r="AF63" s="4">
        <v>157558.06</v>
      </c>
      <c r="AG63" s="4">
        <v>0</v>
      </c>
      <c r="AH63" s="4">
        <v>395052.66000000003</v>
      </c>
      <c r="AI63" s="4">
        <v>433797.42</v>
      </c>
      <c r="AJ63" s="4">
        <v>0</v>
      </c>
      <c r="AK63" s="4">
        <v>1353193.52</v>
      </c>
      <c r="AL63" s="4">
        <v>0</v>
      </c>
      <c r="AM63" s="4">
        <v>25871.5</v>
      </c>
      <c r="AN63" s="4">
        <v>0</v>
      </c>
      <c r="AO63" s="4">
        <v>718206.59999999986</v>
      </c>
      <c r="AP63" s="4">
        <v>0</v>
      </c>
      <c r="AQ63" s="4">
        <v>59525.36</v>
      </c>
      <c r="AR63" s="4">
        <v>1074915.6400000001</v>
      </c>
      <c r="AS63" s="4">
        <v>0</v>
      </c>
      <c r="AT63" s="4">
        <v>0.56999999999999995</v>
      </c>
      <c r="AU63" s="4">
        <v>0</v>
      </c>
      <c r="AV63" s="4">
        <v>977355.2</v>
      </c>
      <c r="AW63" s="4">
        <v>4303315.62</v>
      </c>
      <c r="AX63" s="4">
        <v>5888626.6899999995</v>
      </c>
      <c r="AY63" s="4">
        <v>2944911.42</v>
      </c>
      <c r="AZ63" s="4">
        <v>0</v>
      </c>
      <c r="BA63" s="4">
        <v>3667306.42</v>
      </c>
      <c r="BB63" s="4">
        <f t="shared" si="6"/>
        <v>816464104.67999995</v>
      </c>
    </row>
    <row r="64" spans="1:54" x14ac:dyDescent="0.2">
      <c r="A64" s="3">
        <v>44531</v>
      </c>
      <c r="B64" s="4">
        <v>0</v>
      </c>
      <c r="C64" s="4">
        <v>978535.17999999993</v>
      </c>
      <c r="D64" s="4">
        <v>0</v>
      </c>
      <c r="E64" s="4">
        <v>0</v>
      </c>
      <c r="F64" s="4">
        <v>0.08</v>
      </c>
      <c r="G64" s="4">
        <v>6.24</v>
      </c>
      <c r="H64" s="4">
        <v>0</v>
      </c>
      <c r="I64" s="4">
        <v>0</v>
      </c>
      <c r="J64" s="4">
        <v>0.19</v>
      </c>
      <c r="K64" s="4">
        <v>0.16</v>
      </c>
      <c r="L64" s="4">
        <v>0</v>
      </c>
      <c r="M64" s="4">
        <v>445920.42000000016</v>
      </c>
      <c r="N64" s="4">
        <v>411698.73</v>
      </c>
      <c r="O64" s="4">
        <v>125.80000000000003</v>
      </c>
      <c r="P64" s="4">
        <v>1528922.7400000002</v>
      </c>
      <c r="Q64" s="4">
        <v>532204.42999999993</v>
      </c>
      <c r="R64" s="4">
        <v>0</v>
      </c>
      <c r="S64" s="4">
        <v>283515.58</v>
      </c>
      <c r="T64" s="4">
        <v>356346.19</v>
      </c>
      <c r="U64" s="4">
        <v>0</v>
      </c>
      <c r="V64" s="4">
        <v>3004952.8600000003</v>
      </c>
      <c r="W64" s="4">
        <v>845184516.55999994</v>
      </c>
      <c r="X64" s="4">
        <v>915219.43000000017</v>
      </c>
      <c r="Y64" s="4">
        <v>122923210.51000001</v>
      </c>
      <c r="Z64" s="4">
        <v>16019718.27</v>
      </c>
      <c r="AA64" s="4"/>
      <c r="AB64" s="4">
        <v>2.8870999813079834E-8</v>
      </c>
      <c r="AC64" s="4">
        <v>81716.850000000006</v>
      </c>
      <c r="AD64" s="4">
        <v>4718783.1099999994</v>
      </c>
      <c r="AE64" s="4">
        <v>0</v>
      </c>
      <c r="AF64" s="4">
        <v>295585.53000000009</v>
      </c>
      <c r="AG64" s="4">
        <v>0</v>
      </c>
      <c r="AH64" s="4">
        <v>587995.58000000007</v>
      </c>
      <c r="AI64" s="4">
        <v>631948.92000000004</v>
      </c>
      <c r="AJ64" s="4">
        <v>0</v>
      </c>
      <c r="AK64" s="4">
        <v>1711167.2600000002</v>
      </c>
      <c r="AL64" s="4">
        <v>0</v>
      </c>
      <c r="AM64" s="4">
        <v>41410.369999999995</v>
      </c>
      <c r="AN64" s="4">
        <v>0</v>
      </c>
      <c r="AO64" s="4">
        <v>873240.86999999988</v>
      </c>
      <c r="AP64" s="4">
        <v>0</v>
      </c>
      <c r="AQ64" s="4">
        <v>87643.62</v>
      </c>
      <c r="AR64" s="4">
        <v>1682069.67</v>
      </c>
      <c r="AS64" s="4">
        <v>0</v>
      </c>
      <c r="AT64" s="4">
        <v>0.55999999999999994</v>
      </c>
      <c r="AU64" s="4">
        <v>2458.2700000000004</v>
      </c>
      <c r="AV64" s="4">
        <v>1389184.74</v>
      </c>
      <c r="AW64" s="4">
        <v>5501352.7300000004</v>
      </c>
      <c r="AX64" s="4">
        <v>8134221.4800000004</v>
      </c>
      <c r="AY64" s="4">
        <v>4068662.2800000003</v>
      </c>
      <c r="AZ64" s="4">
        <v>0</v>
      </c>
      <c r="BA64" s="4">
        <v>1319405.5400000003</v>
      </c>
      <c r="BB64" s="4">
        <f t="shared" si="6"/>
        <v>1023711740.7499998</v>
      </c>
    </row>
    <row r="65" spans="1:54" ht="15.75" thickBot="1" x14ac:dyDescent="0.25">
      <c r="A65" s="1" t="s">
        <v>180</v>
      </c>
      <c r="B65" s="5">
        <f>SUM(B53:B64)</f>
        <v>0</v>
      </c>
      <c r="C65" s="5">
        <f t="shared" ref="C65:BB65" si="7">SUM(C53:C64)</f>
        <v>10704627.529999999</v>
      </c>
      <c r="D65" s="5">
        <f t="shared" si="7"/>
        <v>0</v>
      </c>
      <c r="E65" s="5">
        <f t="shared" si="7"/>
        <v>0</v>
      </c>
      <c r="F65" s="5">
        <f t="shared" si="7"/>
        <v>23.139999999999997</v>
      </c>
      <c r="G65" s="5">
        <f t="shared" si="7"/>
        <v>1716.6300000000006</v>
      </c>
      <c r="H65" s="5">
        <f t="shared" si="7"/>
        <v>0</v>
      </c>
      <c r="I65" s="5">
        <f t="shared" si="7"/>
        <v>0</v>
      </c>
      <c r="J65" s="5">
        <f t="shared" si="7"/>
        <v>696.7800000000002</v>
      </c>
      <c r="K65" s="5">
        <f t="shared" si="7"/>
        <v>114.82</v>
      </c>
      <c r="L65" s="5">
        <f t="shared" si="7"/>
        <v>0</v>
      </c>
      <c r="M65" s="5">
        <f t="shared" si="7"/>
        <v>4050056.21</v>
      </c>
      <c r="N65" s="5">
        <f t="shared" si="7"/>
        <v>4407333.1999999993</v>
      </c>
      <c r="O65" s="5">
        <f t="shared" si="7"/>
        <v>1965.19</v>
      </c>
      <c r="P65" s="5">
        <f t="shared" si="7"/>
        <v>12872710.320000002</v>
      </c>
      <c r="Q65" s="5">
        <f t="shared" si="7"/>
        <v>4695351.12</v>
      </c>
      <c r="R65" s="5">
        <f t="shared" si="7"/>
        <v>0</v>
      </c>
      <c r="S65" s="5">
        <f t="shared" si="7"/>
        <v>2287475.14</v>
      </c>
      <c r="T65" s="5">
        <f t="shared" si="7"/>
        <v>3302275.72</v>
      </c>
      <c r="U65" s="5">
        <f t="shared" si="7"/>
        <v>0</v>
      </c>
      <c r="V65" s="5">
        <f t="shared" si="7"/>
        <v>27367553.199999996</v>
      </c>
      <c r="W65" s="5">
        <f t="shared" si="7"/>
        <v>7932560311.0299988</v>
      </c>
      <c r="X65" s="5">
        <f t="shared" si="7"/>
        <v>8171248.1799999997</v>
      </c>
      <c r="Y65" s="5">
        <f t="shared" si="7"/>
        <v>1098680042.76</v>
      </c>
      <c r="Z65" s="5">
        <f t="shared" si="7"/>
        <v>56037375.459999993</v>
      </c>
      <c r="AA65" s="5"/>
      <c r="AB65" s="5">
        <f t="shared" si="7"/>
        <v>4.3535692384466529E-8</v>
      </c>
      <c r="AC65" s="5">
        <f t="shared" si="7"/>
        <v>1186687.8000000003</v>
      </c>
      <c r="AD65" s="5">
        <f t="shared" si="7"/>
        <v>37475964.839999996</v>
      </c>
      <c r="AE65" s="5">
        <f t="shared" si="7"/>
        <v>0</v>
      </c>
      <c r="AF65" s="5">
        <f t="shared" si="7"/>
        <v>2288216.2000000002</v>
      </c>
      <c r="AG65" s="5">
        <f t="shared" si="7"/>
        <v>4.49</v>
      </c>
      <c r="AH65" s="5">
        <f t="shared" si="7"/>
        <v>5259429.3899999997</v>
      </c>
      <c r="AI65" s="5">
        <f t="shared" si="7"/>
        <v>6210706.709999999</v>
      </c>
      <c r="AJ65" s="5">
        <f t="shared" si="7"/>
        <v>0</v>
      </c>
      <c r="AK65" s="5">
        <f t="shared" si="7"/>
        <v>17369352.120000001</v>
      </c>
      <c r="AL65" s="5">
        <f t="shared" si="7"/>
        <v>0</v>
      </c>
      <c r="AM65" s="5">
        <f t="shared" si="7"/>
        <v>395263.46</v>
      </c>
      <c r="AN65" s="5">
        <f t="shared" si="7"/>
        <v>0</v>
      </c>
      <c r="AO65" s="5">
        <f t="shared" si="7"/>
        <v>9411714.4999999981</v>
      </c>
      <c r="AP65" s="5">
        <f t="shared" si="7"/>
        <v>0</v>
      </c>
      <c r="AQ65" s="5">
        <f t="shared" si="7"/>
        <v>829289.46</v>
      </c>
      <c r="AR65" s="5">
        <f t="shared" si="7"/>
        <v>14747710.4</v>
      </c>
      <c r="AS65" s="5">
        <f t="shared" si="7"/>
        <v>0</v>
      </c>
      <c r="AT65" s="5">
        <f t="shared" si="7"/>
        <v>7.1799999999999988</v>
      </c>
      <c r="AU65" s="5">
        <f t="shared" si="7"/>
        <v>11100.37</v>
      </c>
      <c r="AV65" s="5">
        <f t="shared" si="7"/>
        <v>12991206.92</v>
      </c>
      <c r="AW65" s="5">
        <f t="shared" si="7"/>
        <v>51948049.920000002</v>
      </c>
      <c r="AX65" s="5">
        <f t="shared" si="7"/>
        <v>75531754.349999994</v>
      </c>
      <c r="AY65" s="5">
        <f t="shared" si="7"/>
        <v>37780260.920000002</v>
      </c>
      <c r="AZ65" s="5">
        <f t="shared" si="7"/>
        <v>0</v>
      </c>
      <c r="BA65" s="5">
        <f t="shared" si="7"/>
        <v>22429343.249999993</v>
      </c>
      <c r="BB65" s="5">
        <f t="shared" si="7"/>
        <v>9461006938.7099991</v>
      </c>
    </row>
    <row r="66" spans="1:54" ht="15.75" thickTop="1" x14ac:dyDescent="0.2"/>
    <row r="67" spans="1:54" x14ac:dyDescent="0.2">
      <c r="A67" s="3">
        <v>43831</v>
      </c>
      <c r="B67" s="4">
        <v>0</v>
      </c>
      <c r="C67" s="4">
        <v>761182.89</v>
      </c>
      <c r="D67" s="4">
        <v>0</v>
      </c>
      <c r="E67" s="4">
        <v>0</v>
      </c>
      <c r="F67" s="4">
        <v>31.6</v>
      </c>
      <c r="G67" s="4">
        <v>1720.83</v>
      </c>
      <c r="H67" s="4">
        <v>0</v>
      </c>
      <c r="I67" s="4">
        <v>0</v>
      </c>
      <c r="J67" s="4">
        <v>0.19999999999999998</v>
      </c>
      <c r="K67" s="4">
        <v>83.88</v>
      </c>
      <c r="L67" s="4">
        <v>0</v>
      </c>
      <c r="M67" s="4">
        <v>286962.63</v>
      </c>
      <c r="N67" s="4">
        <v>343423.33</v>
      </c>
      <c r="O67" s="4">
        <v>211.21</v>
      </c>
      <c r="P67" s="4">
        <v>987818.21</v>
      </c>
      <c r="Q67" s="4">
        <v>330194.12</v>
      </c>
      <c r="R67" s="4">
        <v>0</v>
      </c>
      <c r="S67" s="4">
        <v>198408.37000000002</v>
      </c>
      <c r="T67" s="4">
        <v>139716.78</v>
      </c>
      <c r="U67" s="4">
        <v>0</v>
      </c>
      <c r="V67" s="4">
        <v>2053708.32</v>
      </c>
      <c r="W67" s="4">
        <v>744412549.08000004</v>
      </c>
      <c r="X67" s="4">
        <v>602732.57000000007</v>
      </c>
      <c r="Y67" s="4">
        <v>90693712.690000013</v>
      </c>
      <c r="Z67" s="4">
        <v>11907.84</v>
      </c>
      <c r="AA67" s="4"/>
      <c r="AB67" s="4">
        <v>-1.9063008949160576E-8</v>
      </c>
      <c r="AC67" s="4">
        <v>127566.28</v>
      </c>
      <c r="AD67" s="4">
        <v>2628867.2599999998</v>
      </c>
      <c r="AE67" s="4">
        <v>0</v>
      </c>
      <c r="AF67" s="4">
        <v>157669.86000000002</v>
      </c>
      <c r="AG67" s="4">
        <v>0</v>
      </c>
      <c r="AH67" s="4">
        <v>398559.01999999996</v>
      </c>
      <c r="AI67" s="4">
        <v>404888.64999999997</v>
      </c>
      <c r="AJ67" s="4">
        <v>0</v>
      </c>
      <c r="AK67" s="4">
        <v>1308344.3799999999</v>
      </c>
      <c r="AL67" s="4">
        <v>0</v>
      </c>
      <c r="AM67" s="4">
        <v>45079.240000000005</v>
      </c>
      <c r="AN67" s="4">
        <v>0</v>
      </c>
      <c r="AO67" s="4">
        <v>651047.62000000011</v>
      </c>
      <c r="AP67" s="4">
        <v>0</v>
      </c>
      <c r="AQ67" s="4">
        <v>58193.37</v>
      </c>
      <c r="AR67" s="4">
        <v>929603.1100000001</v>
      </c>
      <c r="AS67" s="4">
        <v>0</v>
      </c>
      <c r="AT67" s="4">
        <v>30.06</v>
      </c>
      <c r="AU67" s="4">
        <v>0</v>
      </c>
      <c r="AV67" s="4">
        <v>920386.8600000001</v>
      </c>
      <c r="AW67" s="4">
        <v>5084046.03</v>
      </c>
      <c r="AX67" s="4">
        <v>6090349.9399999995</v>
      </c>
      <c r="AY67" s="4">
        <v>3046647.23</v>
      </c>
      <c r="AZ67" s="4">
        <v>0</v>
      </c>
      <c r="BA67" s="4">
        <v>4675616.18</v>
      </c>
      <c r="BB67" s="4">
        <f>SUM(B67:BA67)</f>
        <v>867351259.6400001</v>
      </c>
    </row>
    <row r="68" spans="1:54" x14ac:dyDescent="0.2">
      <c r="A68" s="3">
        <v>43862</v>
      </c>
      <c r="B68" s="4">
        <v>0</v>
      </c>
      <c r="C68" s="4">
        <v>705023.97</v>
      </c>
      <c r="D68" s="4">
        <v>0</v>
      </c>
      <c r="E68" s="4">
        <v>0</v>
      </c>
      <c r="F68" s="4">
        <v>0.04</v>
      </c>
      <c r="G68" s="4">
        <v>693.27</v>
      </c>
      <c r="H68" s="4">
        <v>0</v>
      </c>
      <c r="I68" s="4">
        <v>0</v>
      </c>
      <c r="J68" s="4">
        <v>119.24</v>
      </c>
      <c r="K68" s="4">
        <v>286.55</v>
      </c>
      <c r="L68" s="4">
        <v>0</v>
      </c>
      <c r="M68" s="4">
        <v>240625.15</v>
      </c>
      <c r="N68" s="4">
        <v>289013.81999999995</v>
      </c>
      <c r="O68" s="4">
        <v>213.55</v>
      </c>
      <c r="P68" s="4">
        <v>788559.69000000018</v>
      </c>
      <c r="Q68" s="4">
        <v>277027.96999999997</v>
      </c>
      <c r="R68" s="4">
        <v>0</v>
      </c>
      <c r="S68" s="4">
        <v>162668.53</v>
      </c>
      <c r="T68" s="4">
        <v>124680.36</v>
      </c>
      <c r="U68" s="4">
        <v>0</v>
      </c>
      <c r="V68" s="4">
        <v>1690543.0699999998</v>
      </c>
      <c r="W68" s="4">
        <v>609993774.71000004</v>
      </c>
      <c r="X68" s="4">
        <v>508167.77999999997</v>
      </c>
      <c r="Y68" s="4">
        <v>74228219.379999995</v>
      </c>
      <c r="Z68" s="4">
        <v>4975.6099999999997</v>
      </c>
      <c r="AA68" s="4"/>
      <c r="AB68" s="4">
        <v>2.1456799004226923E-8</v>
      </c>
      <c r="AC68" s="4">
        <v>105826.81</v>
      </c>
      <c r="AD68" s="4">
        <v>2177648.71</v>
      </c>
      <c r="AE68" s="4">
        <v>0</v>
      </c>
      <c r="AF68" s="4">
        <v>127443.88999999998</v>
      </c>
      <c r="AG68" s="4">
        <v>0</v>
      </c>
      <c r="AH68" s="4">
        <v>317134.83999999997</v>
      </c>
      <c r="AI68" s="4">
        <v>333783.72000000009</v>
      </c>
      <c r="AJ68" s="4">
        <v>0</v>
      </c>
      <c r="AK68" s="4">
        <v>991564.7</v>
      </c>
      <c r="AL68" s="4">
        <v>0</v>
      </c>
      <c r="AM68" s="4">
        <v>37664.369999999995</v>
      </c>
      <c r="AN68" s="4">
        <v>0</v>
      </c>
      <c r="AO68" s="4">
        <v>529098.99</v>
      </c>
      <c r="AP68" s="4">
        <v>0</v>
      </c>
      <c r="AQ68" s="4">
        <v>47849.66</v>
      </c>
      <c r="AR68" s="4">
        <v>793597.19</v>
      </c>
      <c r="AS68" s="4">
        <v>0</v>
      </c>
      <c r="AT68" s="4">
        <v>29.97</v>
      </c>
      <c r="AU68" s="4">
        <v>0</v>
      </c>
      <c r="AV68" s="4">
        <v>745870.75999999989</v>
      </c>
      <c r="AW68" s="4">
        <v>4131738.45</v>
      </c>
      <c r="AX68" s="4">
        <v>5161197.7700000005</v>
      </c>
      <c r="AY68" s="4">
        <v>2582500.7700000005</v>
      </c>
      <c r="AZ68" s="4">
        <v>0</v>
      </c>
      <c r="BA68" s="4">
        <v>3977742.1</v>
      </c>
      <c r="BB68" s="4">
        <f t="shared" ref="BB68:BB78" si="8">SUM(B68:BA68)</f>
        <v>711075285.39000022</v>
      </c>
    </row>
    <row r="69" spans="1:54" x14ac:dyDescent="0.2">
      <c r="A69" s="3">
        <v>43891</v>
      </c>
      <c r="B69" s="4">
        <v>0</v>
      </c>
      <c r="C69" s="4">
        <v>765195.08000000007</v>
      </c>
      <c r="D69" s="4">
        <v>0</v>
      </c>
      <c r="E69" s="4">
        <v>0</v>
      </c>
      <c r="F69" s="4">
        <v>-0.1</v>
      </c>
      <c r="G69" s="4">
        <v>47.3</v>
      </c>
      <c r="H69" s="4">
        <v>0</v>
      </c>
      <c r="I69" s="4">
        <v>0</v>
      </c>
      <c r="J69" s="4">
        <v>-0.42000000000000004</v>
      </c>
      <c r="K69" s="4">
        <v>280.61</v>
      </c>
      <c r="L69" s="4">
        <v>0</v>
      </c>
      <c r="M69" s="4">
        <v>305977.86</v>
      </c>
      <c r="N69" s="4">
        <v>267962.49000000005</v>
      </c>
      <c r="O69" s="4">
        <v>93.13</v>
      </c>
      <c r="P69" s="4">
        <v>1046543.98</v>
      </c>
      <c r="Q69" s="4">
        <v>418055.33</v>
      </c>
      <c r="R69" s="4">
        <v>0</v>
      </c>
      <c r="S69" s="4">
        <v>184779.27</v>
      </c>
      <c r="T69" s="4">
        <v>232574.51</v>
      </c>
      <c r="U69" s="4">
        <v>0</v>
      </c>
      <c r="V69" s="4">
        <v>2000839.83</v>
      </c>
      <c r="W69" s="4">
        <v>644875132.97000003</v>
      </c>
      <c r="X69" s="4">
        <v>457950.46</v>
      </c>
      <c r="Y69" s="4">
        <v>91138910.480000004</v>
      </c>
      <c r="Z69" s="4">
        <v>12332828.460000001</v>
      </c>
      <c r="AA69" s="4"/>
      <c r="AB69" s="4">
        <v>-1.2107193470001221E-8</v>
      </c>
      <c r="AC69" s="4">
        <v>98978.37</v>
      </c>
      <c r="AD69" s="4">
        <v>2953602.3</v>
      </c>
      <c r="AE69" s="4">
        <v>0</v>
      </c>
      <c r="AF69" s="4">
        <v>172240.83000000002</v>
      </c>
      <c r="AG69" s="4">
        <v>0</v>
      </c>
      <c r="AH69" s="4">
        <v>451621.56999999995</v>
      </c>
      <c r="AI69" s="4">
        <v>449444.31000000006</v>
      </c>
      <c r="AJ69" s="4">
        <v>0</v>
      </c>
      <c r="AK69" s="4">
        <v>1258436.96</v>
      </c>
      <c r="AL69" s="4">
        <v>0</v>
      </c>
      <c r="AM69" s="4">
        <v>29411.489999999998</v>
      </c>
      <c r="AN69" s="4">
        <v>0</v>
      </c>
      <c r="AO69" s="4">
        <v>714603.89000000013</v>
      </c>
      <c r="AP69" s="4">
        <v>0</v>
      </c>
      <c r="AQ69" s="4">
        <v>75978.079999999987</v>
      </c>
      <c r="AR69" s="4">
        <v>895167.3600000001</v>
      </c>
      <c r="AS69" s="4">
        <v>0</v>
      </c>
      <c r="AT69" s="4">
        <v>79.83</v>
      </c>
      <c r="AU69" s="4">
        <v>0</v>
      </c>
      <c r="AV69" s="4">
        <v>998198.1</v>
      </c>
      <c r="AW69" s="4">
        <v>3680281</v>
      </c>
      <c r="AX69" s="4">
        <v>5449845.9400000004</v>
      </c>
      <c r="AY69" s="4">
        <v>2727034.9</v>
      </c>
      <c r="AZ69" s="4">
        <v>0</v>
      </c>
      <c r="BA69" s="4">
        <v>2782070.42</v>
      </c>
      <c r="BB69" s="4">
        <f t="shared" si="8"/>
        <v>776764166.59000027</v>
      </c>
    </row>
    <row r="70" spans="1:54" x14ac:dyDescent="0.2">
      <c r="A70" s="3">
        <v>43922</v>
      </c>
      <c r="B70" s="4">
        <v>0</v>
      </c>
      <c r="C70" s="4">
        <v>509464.13</v>
      </c>
      <c r="D70" s="4">
        <v>0</v>
      </c>
      <c r="E70" s="4">
        <v>0</v>
      </c>
      <c r="F70" s="4">
        <v>57.69</v>
      </c>
      <c r="G70" s="4">
        <v>99.820000000000007</v>
      </c>
      <c r="H70" s="4">
        <v>0</v>
      </c>
      <c r="I70" s="4">
        <v>0</v>
      </c>
      <c r="J70" s="4">
        <v>86.67</v>
      </c>
      <c r="K70" s="4">
        <v>102.55</v>
      </c>
      <c r="L70" s="4">
        <v>0</v>
      </c>
      <c r="M70" s="4">
        <v>180050.25</v>
      </c>
      <c r="N70" s="4">
        <v>196658.24</v>
      </c>
      <c r="O70" s="4">
        <v>288.36</v>
      </c>
      <c r="P70" s="4">
        <v>644132.57000000007</v>
      </c>
      <c r="Q70" s="4">
        <v>209592.10000000003</v>
      </c>
      <c r="R70" s="4">
        <v>0</v>
      </c>
      <c r="S70" s="4">
        <v>100664.62999999999</v>
      </c>
      <c r="T70" s="4">
        <v>119284.06</v>
      </c>
      <c r="U70" s="4">
        <v>0</v>
      </c>
      <c r="V70" s="4">
        <v>1190069.1499999999</v>
      </c>
      <c r="W70" s="4">
        <v>470770554.72999996</v>
      </c>
      <c r="X70" s="4">
        <v>432335.32</v>
      </c>
      <c r="Y70" s="4">
        <v>57804501.82</v>
      </c>
      <c r="Z70" s="4">
        <v>91342.56</v>
      </c>
      <c r="AA70" s="4"/>
      <c r="AB70" s="4">
        <v>2.8609065338969231E-8</v>
      </c>
      <c r="AC70" s="4">
        <v>94040.25</v>
      </c>
      <c r="AD70" s="4">
        <v>1643653.58</v>
      </c>
      <c r="AE70" s="4">
        <v>0</v>
      </c>
      <c r="AF70" s="4">
        <v>89413.76999999999</v>
      </c>
      <c r="AG70" s="4">
        <v>0</v>
      </c>
      <c r="AH70" s="4">
        <v>206101.76999999996</v>
      </c>
      <c r="AI70" s="4">
        <v>265506.90000000002</v>
      </c>
      <c r="AJ70" s="4">
        <v>0</v>
      </c>
      <c r="AK70" s="4">
        <v>833160.41</v>
      </c>
      <c r="AL70" s="4">
        <v>0</v>
      </c>
      <c r="AM70" s="4">
        <v>18003.419999999998</v>
      </c>
      <c r="AN70" s="4">
        <v>0</v>
      </c>
      <c r="AO70" s="4">
        <v>443991.36000000004</v>
      </c>
      <c r="AP70" s="4">
        <v>0</v>
      </c>
      <c r="AQ70" s="4">
        <v>38475.630000000012</v>
      </c>
      <c r="AR70" s="4">
        <v>655622.32999999984</v>
      </c>
      <c r="AS70" s="4">
        <v>0</v>
      </c>
      <c r="AT70" s="4">
        <v>28.95</v>
      </c>
      <c r="AU70" s="4">
        <v>0</v>
      </c>
      <c r="AV70" s="4">
        <v>591298.53</v>
      </c>
      <c r="AW70" s="4">
        <v>2961568.63</v>
      </c>
      <c r="AX70" s="4">
        <v>3546537.5</v>
      </c>
      <c r="AY70" s="4">
        <v>1774446.77</v>
      </c>
      <c r="AZ70" s="4">
        <v>0</v>
      </c>
      <c r="BA70" s="4">
        <v>3409652.73</v>
      </c>
      <c r="BB70" s="4">
        <f t="shared" si="8"/>
        <v>548820787.17999995</v>
      </c>
    </row>
    <row r="71" spans="1:54" x14ac:dyDescent="0.2">
      <c r="A71" s="3">
        <v>43952</v>
      </c>
      <c r="B71" s="4">
        <v>0</v>
      </c>
      <c r="C71" s="4">
        <v>449860.05000000005</v>
      </c>
      <c r="D71" s="4">
        <v>0</v>
      </c>
      <c r="E71" s="4">
        <v>0</v>
      </c>
      <c r="F71" s="4">
        <v>0.04</v>
      </c>
      <c r="G71" s="4">
        <v>12.81</v>
      </c>
      <c r="H71" s="4">
        <v>0</v>
      </c>
      <c r="I71" s="4">
        <v>0</v>
      </c>
      <c r="J71" s="4">
        <v>11.079999999999998</v>
      </c>
      <c r="K71" s="4">
        <v>21.45</v>
      </c>
      <c r="L71" s="4">
        <v>0</v>
      </c>
      <c r="M71" s="4">
        <v>158333.54000000004</v>
      </c>
      <c r="N71" s="4">
        <v>192644.47999999998</v>
      </c>
      <c r="O71" s="4">
        <v>152.53</v>
      </c>
      <c r="P71" s="4">
        <v>577767.42999999993</v>
      </c>
      <c r="Q71" s="4">
        <v>200064.93</v>
      </c>
      <c r="R71" s="4">
        <v>0</v>
      </c>
      <c r="S71" s="4">
        <v>96505.040000000008</v>
      </c>
      <c r="T71" s="4">
        <v>126845.62000000001</v>
      </c>
      <c r="U71" s="4">
        <v>0</v>
      </c>
      <c r="V71" s="4">
        <v>1030147.7200000001</v>
      </c>
      <c r="W71" s="4">
        <v>420070116.93999994</v>
      </c>
      <c r="X71" s="4">
        <v>413436.75</v>
      </c>
      <c r="Y71" s="4">
        <v>51310405.679999992</v>
      </c>
      <c r="Z71" s="4">
        <v>34146.870000000003</v>
      </c>
      <c r="AA71" s="4"/>
      <c r="AB71" s="4">
        <v>-2.1456799004226923E-8</v>
      </c>
      <c r="AC71" s="4">
        <v>57265.32</v>
      </c>
      <c r="AD71" s="4">
        <v>1572508</v>
      </c>
      <c r="AE71" s="4">
        <v>0</v>
      </c>
      <c r="AF71" s="4">
        <v>81833.110000000015</v>
      </c>
      <c r="AG71" s="4">
        <v>0</v>
      </c>
      <c r="AH71" s="4">
        <v>202641.69000000003</v>
      </c>
      <c r="AI71" s="4">
        <v>251273.42</v>
      </c>
      <c r="AJ71" s="4">
        <v>0</v>
      </c>
      <c r="AK71" s="4">
        <v>785490.91</v>
      </c>
      <c r="AL71" s="4">
        <v>0</v>
      </c>
      <c r="AM71" s="4">
        <v>16330.990000000002</v>
      </c>
      <c r="AN71" s="4">
        <v>0</v>
      </c>
      <c r="AO71" s="4">
        <v>411379.97</v>
      </c>
      <c r="AP71" s="4">
        <v>0</v>
      </c>
      <c r="AQ71" s="4">
        <v>32234.79</v>
      </c>
      <c r="AR71" s="4">
        <v>611541.23</v>
      </c>
      <c r="AS71" s="4">
        <v>0</v>
      </c>
      <c r="AT71" s="4">
        <v>30.86</v>
      </c>
      <c r="AU71" s="4">
        <v>0</v>
      </c>
      <c r="AV71" s="4">
        <v>554253.89</v>
      </c>
      <c r="AW71" s="4">
        <v>2518871.62</v>
      </c>
      <c r="AX71" s="4">
        <v>3266788.37</v>
      </c>
      <c r="AY71" s="4">
        <v>1634241.12</v>
      </c>
      <c r="AZ71" s="4">
        <v>0</v>
      </c>
      <c r="BA71" s="4">
        <v>3125417.7</v>
      </c>
      <c r="BB71" s="4">
        <f t="shared" si="8"/>
        <v>489782575.95000011</v>
      </c>
    </row>
    <row r="72" spans="1:54" x14ac:dyDescent="0.2">
      <c r="A72" s="3">
        <v>43983</v>
      </c>
      <c r="B72" s="4">
        <v>0</v>
      </c>
      <c r="C72" s="4">
        <v>1180814.1900000002</v>
      </c>
      <c r="D72" s="4">
        <v>0</v>
      </c>
      <c r="E72" s="4">
        <v>0</v>
      </c>
      <c r="F72" s="4">
        <v>-0.06</v>
      </c>
      <c r="G72" s="4">
        <v>26.13</v>
      </c>
      <c r="H72" s="4">
        <v>0</v>
      </c>
      <c r="I72" s="4">
        <v>0</v>
      </c>
      <c r="J72" s="4">
        <v>0.27</v>
      </c>
      <c r="K72" s="4">
        <v>-0.32</v>
      </c>
      <c r="L72" s="4">
        <v>0</v>
      </c>
      <c r="M72" s="4">
        <v>393239.32999999996</v>
      </c>
      <c r="N72" s="4">
        <v>572925.16</v>
      </c>
      <c r="O72" s="4">
        <v>138.25</v>
      </c>
      <c r="P72" s="4">
        <v>860399.73</v>
      </c>
      <c r="Q72" s="4">
        <v>505995.94999999995</v>
      </c>
      <c r="R72" s="4">
        <v>0</v>
      </c>
      <c r="S72" s="4">
        <v>257059.99999999997</v>
      </c>
      <c r="T72" s="4">
        <v>228328.68000000002</v>
      </c>
      <c r="U72" s="4">
        <v>0</v>
      </c>
      <c r="V72" s="4">
        <v>2183477.38</v>
      </c>
      <c r="W72" s="4">
        <v>441162453.29000008</v>
      </c>
      <c r="X72" s="4">
        <v>450241.75000000006</v>
      </c>
      <c r="Y72" s="4">
        <v>68861086.280000001</v>
      </c>
      <c r="Z72" s="4">
        <v>7356120.1199999992</v>
      </c>
      <c r="AA72" s="4"/>
      <c r="AB72" s="4">
        <v>-2.3748725652694702E-8</v>
      </c>
      <c r="AC72" s="4">
        <v>160653.53</v>
      </c>
      <c r="AD72" s="4">
        <v>2791443.8200000003</v>
      </c>
      <c r="AE72" s="4">
        <v>0</v>
      </c>
      <c r="AF72" s="4">
        <v>202993.88999999996</v>
      </c>
      <c r="AG72" s="4">
        <v>0</v>
      </c>
      <c r="AH72" s="4">
        <v>469869.67</v>
      </c>
      <c r="AI72" s="4">
        <v>843818.86</v>
      </c>
      <c r="AJ72" s="4">
        <v>0</v>
      </c>
      <c r="AK72" s="4">
        <v>1772950</v>
      </c>
      <c r="AL72" s="4">
        <v>0</v>
      </c>
      <c r="AM72" s="4">
        <v>56878.14</v>
      </c>
      <c r="AN72" s="4">
        <v>0</v>
      </c>
      <c r="AO72" s="4">
        <v>1008611.4200000002</v>
      </c>
      <c r="AP72" s="4">
        <v>0</v>
      </c>
      <c r="AQ72" s="4">
        <v>96156.36000000003</v>
      </c>
      <c r="AR72" s="4">
        <v>1070782.0499999998</v>
      </c>
      <c r="AS72" s="4">
        <v>0</v>
      </c>
      <c r="AT72" s="4">
        <v>8.0000000000000016E-2</v>
      </c>
      <c r="AU72" s="4">
        <v>-167</v>
      </c>
      <c r="AV72" s="4">
        <v>1283083.8500000001</v>
      </c>
      <c r="AW72" s="4">
        <v>2381120.21</v>
      </c>
      <c r="AX72" s="4">
        <v>4898277.01</v>
      </c>
      <c r="AY72" s="4">
        <v>2451552.73</v>
      </c>
      <c r="AZ72" s="4">
        <v>0</v>
      </c>
      <c r="BA72" s="4">
        <v>-3015529.4399999995</v>
      </c>
      <c r="BB72" s="4">
        <f t="shared" si="8"/>
        <v>540484801.31000006</v>
      </c>
    </row>
    <row r="73" spans="1:54" x14ac:dyDescent="0.2">
      <c r="A73" s="3">
        <v>44013</v>
      </c>
      <c r="B73" s="4">
        <v>0</v>
      </c>
      <c r="C73" s="4">
        <v>668412.44000000006</v>
      </c>
      <c r="D73" s="4">
        <v>0</v>
      </c>
      <c r="E73" s="4">
        <v>0</v>
      </c>
      <c r="F73" s="4">
        <v>46.95</v>
      </c>
      <c r="G73" s="4">
        <v>102.91</v>
      </c>
      <c r="H73" s="4">
        <v>0</v>
      </c>
      <c r="I73" s="4">
        <v>0</v>
      </c>
      <c r="J73" s="4">
        <v>0.1</v>
      </c>
      <c r="K73" s="4">
        <v>0.09</v>
      </c>
      <c r="L73" s="4">
        <v>0</v>
      </c>
      <c r="M73" s="4">
        <v>244105.31000000003</v>
      </c>
      <c r="N73" s="4">
        <v>255243.61999999994</v>
      </c>
      <c r="O73" s="4">
        <v>283.77</v>
      </c>
      <c r="P73" s="4">
        <v>888388.26</v>
      </c>
      <c r="Q73" s="4">
        <v>314923.24</v>
      </c>
      <c r="R73" s="4">
        <v>0</v>
      </c>
      <c r="S73" s="4">
        <v>110114.76000000001</v>
      </c>
      <c r="T73" s="4">
        <v>233267.87</v>
      </c>
      <c r="U73" s="4">
        <v>0</v>
      </c>
      <c r="V73" s="4">
        <v>1650323.82</v>
      </c>
      <c r="W73" s="4">
        <v>568102403.80999994</v>
      </c>
      <c r="X73" s="4">
        <v>750836.44</v>
      </c>
      <c r="Y73" s="4">
        <v>72731280.639999986</v>
      </c>
      <c r="Z73" s="4">
        <v>44850.310000000005</v>
      </c>
      <c r="AA73" s="4"/>
      <c r="AB73" s="4">
        <v>7.1522663347423077E-9</v>
      </c>
      <c r="AC73" s="4">
        <v>87847.79</v>
      </c>
      <c r="AD73" s="4">
        <v>2165812.23</v>
      </c>
      <c r="AE73" s="4">
        <v>0</v>
      </c>
      <c r="AF73" s="4">
        <v>124671.22</v>
      </c>
      <c r="AG73" s="4">
        <v>0</v>
      </c>
      <c r="AH73" s="4">
        <v>295797.12</v>
      </c>
      <c r="AI73" s="4">
        <v>359830.39</v>
      </c>
      <c r="AJ73" s="4">
        <v>0</v>
      </c>
      <c r="AK73" s="4">
        <v>1159307</v>
      </c>
      <c r="AL73" s="4">
        <v>0</v>
      </c>
      <c r="AM73" s="4">
        <v>20271.55</v>
      </c>
      <c r="AN73" s="4">
        <v>0</v>
      </c>
      <c r="AO73" s="4">
        <v>594407.34</v>
      </c>
      <c r="AP73" s="4">
        <v>0</v>
      </c>
      <c r="AQ73" s="4">
        <v>46434.01</v>
      </c>
      <c r="AR73" s="4">
        <v>1198314.3900000001</v>
      </c>
      <c r="AS73" s="4">
        <v>0</v>
      </c>
      <c r="AT73" s="4">
        <v>29.52</v>
      </c>
      <c r="AU73" s="4">
        <v>0</v>
      </c>
      <c r="AV73" s="4">
        <v>784175.3600000001</v>
      </c>
      <c r="AW73" s="4">
        <v>3505301.49</v>
      </c>
      <c r="AX73" s="4">
        <v>4591049.45</v>
      </c>
      <c r="AY73" s="4">
        <v>2296164.44</v>
      </c>
      <c r="AZ73" s="4">
        <v>0</v>
      </c>
      <c r="BA73" s="4">
        <v>4022228.4000000004</v>
      </c>
      <c r="BB73" s="4">
        <f t="shared" si="8"/>
        <v>667246226.03999996</v>
      </c>
    </row>
    <row r="74" spans="1:54" x14ac:dyDescent="0.2">
      <c r="A74" s="3">
        <v>44044</v>
      </c>
      <c r="B74" s="4">
        <v>0</v>
      </c>
      <c r="C74" s="4">
        <v>653781.75</v>
      </c>
      <c r="D74" s="4">
        <v>0</v>
      </c>
      <c r="E74" s="4">
        <v>0</v>
      </c>
      <c r="F74" s="4">
        <v>0.04</v>
      </c>
      <c r="G74" s="4">
        <v>58.56</v>
      </c>
      <c r="H74" s="4">
        <v>0</v>
      </c>
      <c r="I74" s="4">
        <v>0</v>
      </c>
      <c r="J74" s="4">
        <v>0.1</v>
      </c>
      <c r="K74" s="4">
        <v>0.08</v>
      </c>
      <c r="L74" s="4">
        <v>0</v>
      </c>
      <c r="M74" s="4">
        <v>263762.58999999997</v>
      </c>
      <c r="N74" s="4">
        <v>258151.24000000002</v>
      </c>
      <c r="O74" s="4">
        <v>-6038.29</v>
      </c>
      <c r="P74" s="4">
        <v>871790.71</v>
      </c>
      <c r="Q74" s="4">
        <v>295775.35000000009</v>
      </c>
      <c r="R74" s="4">
        <v>0</v>
      </c>
      <c r="S74" s="4">
        <v>115289.89</v>
      </c>
      <c r="T74" s="4">
        <v>156716.66</v>
      </c>
      <c r="U74" s="4">
        <v>0</v>
      </c>
      <c r="V74" s="4">
        <v>1639329.6300000001</v>
      </c>
      <c r="W74" s="4">
        <v>577167356.35000002</v>
      </c>
      <c r="X74" s="4">
        <v>744376.45</v>
      </c>
      <c r="Y74" s="4">
        <v>73645658.299999997</v>
      </c>
      <c r="Z74" s="4">
        <v>15522.240000000002</v>
      </c>
      <c r="AA74" s="4"/>
      <c r="AB74" s="4">
        <v>-2.6226189220324159E-8</v>
      </c>
      <c r="AC74" s="4">
        <v>67924.510000000009</v>
      </c>
      <c r="AD74" s="4">
        <v>2202687.5599999996</v>
      </c>
      <c r="AE74" s="4">
        <v>0</v>
      </c>
      <c r="AF74" s="4">
        <v>121498.90999999999</v>
      </c>
      <c r="AG74" s="4">
        <v>0</v>
      </c>
      <c r="AH74" s="4">
        <v>267185.35999999993</v>
      </c>
      <c r="AI74" s="4">
        <v>354014.95</v>
      </c>
      <c r="AJ74" s="4">
        <v>0</v>
      </c>
      <c r="AK74" s="4">
        <v>1035788.9000000001</v>
      </c>
      <c r="AL74" s="4">
        <v>0</v>
      </c>
      <c r="AM74" s="4">
        <v>21186.07</v>
      </c>
      <c r="AN74" s="4">
        <v>0</v>
      </c>
      <c r="AO74" s="4">
        <v>649697.82999999996</v>
      </c>
      <c r="AP74" s="4">
        <v>0</v>
      </c>
      <c r="AQ74" s="4">
        <v>44629.67</v>
      </c>
      <c r="AR74" s="4">
        <v>1220513.7999999998</v>
      </c>
      <c r="AS74" s="4">
        <v>0</v>
      </c>
      <c r="AT74" s="4">
        <v>29.52</v>
      </c>
      <c r="AU74" s="4">
        <v>0</v>
      </c>
      <c r="AV74" s="4">
        <v>770879.89</v>
      </c>
      <c r="AW74" s="4">
        <v>3650283.7399999998</v>
      </c>
      <c r="AX74" s="4">
        <v>4751312.4399999995</v>
      </c>
      <c r="AY74" s="4">
        <v>2376386.7599999998</v>
      </c>
      <c r="AZ74" s="4">
        <v>0</v>
      </c>
      <c r="BA74" s="4">
        <v>4090101.87</v>
      </c>
      <c r="BB74" s="4">
        <f t="shared" si="8"/>
        <v>677445653.42999995</v>
      </c>
    </row>
    <row r="75" spans="1:54" x14ac:dyDescent="0.2">
      <c r="A75" s="3">
        <v>44075</v>
      </c>
      <c r="B75" s="4">
        <v>0</v>
      </c>
      <c r="C75" s="4">
        <v>1276735.1200000001</v>
      </c>
      <c r="D75" s="4">
        <v>0</v>
      </c>
      <c r="E75" s="4">
        <v>0</v>
      </c>
      <c r="F75" s="4">
        <v>-0.15</v>
      </c>
      <c r="G75" s="4">
        <v>11.340000000000002</v>
      </c>
      <c r="H75" s="4">
        <v>0</v>
      </c>
      <c r="I75" s="4">
        <v>0</v>
      </c>
      <c r="J75" s="4">
        <v>0.1</v>
      </c>
      <c r="K75" s="4">
        <v>0.26</v>
      </c>
      <c r="L75" s="4">
        <v>0</v>
      </c>
      <c r="M75" s="4">
        <v>463627.46999999986</v>
      </c>
      <c r="N75" s="4">
        <v>522669.88</v>
      </c>
      <c r="O75" s="4">
        <v>195.65</v>
      </c>
      <c r="P75" s="4">
        <v>1098853.6700000002</v>
      </c>
      <c r="Q75" s="4">
        <v>478427.7</v>
      </c>
      <c r="R75" s="4">
        <v>0</v>
      </c>
      <c r="S75" s="4">
        <v>272639.68999999994</v>
      </c>
      <c r="T75" s="4">
        <v>240060.37999999998</v>
      </c>
      <c r="U75" s="4">
        <v>0</v>
      </c>
      <c r="V75" s="4">
        <v>3077341.6500000004</v>
      </c>
      <c r="W75" s="4">
        <v>462758355.38000005</v>
      </c>
      <c r="X75" s="4">
        <v>253790.35000000012</v>
      </c>
      <c r="Y75" s="4">
        <v>88612043.569999993</v>
      </c>
      <c r="Z75" s="4">
        <v>11520942.190000001</v>
      </c>
      <c r="AA75" s="4"/>
      <c r="AB75" s="4">
        <v>-6.9849193096160889E-9</v>
      </c>
      <c r="AC75" s="4">
        <v>137550.04</v>
      </c>
      <c r="AD75" s="4">
        <v>4063299.93</v>
      </c>
      <c r="AE75" s="4">
        <v>0</v>
      </c>
      <c r="AF75" s="4">
        <v>242977.02999999997</v>
      </c>
      <c r="AG75" s="4">
        <v>0</v>
      </c>
      <c r="AH75" s="4">
        <v>604748.39000000013</v>
      </c>
      <c r="AI75" s="4">
        <v>788554.09000000008</v>
      </c>
      <c r="AJ75" s="4">
        <v>0</v>
      </c>
      <c r="AK75" s="4">
        <v>2078459.9</v>
      </c>
      <c r="AL75" s="4">
        <v>0</v>
      </c>
      <c r="AM75" s="4">
        <v>38729.11</v>
      </c>
      <c r="AN75" s="4">
        <v>0</v>
      </c>
      <c r="AO75" s="4">
        <v>1141938.28</v>
      </c>
      <c r="AP75" s="4">
        <v>0</v>
      </c>
      <c r="AQ75" s="4">
        <v>104463.01000000001</v>
      </c>
      <c r="AR75" s="4">
        <v>683150.5</v>
      </c>
      <c r="AS75" s="4">
        <v>0</v>
      </c>
      <c r="AT75" s="4">
        <v>29.169999999999998</v>
      </c>
      <c r="AU75" s="4">
        <v>1211.6300000000001</v>
      </c>
      <c r="AV75" s="4">
        <v>1469639.6</v>
      </c>
      <c r="AW75" s="4">
        <v>3195816.8699999996</v>
      </c>
      <c r="AX75" s="4">
        <v>7826366.7700000005</v>
      </c>
      <c r="AY75" s="4">
        <v>3932370.9499999997</v>
      </c>
      <c r="AZ75" s="4">
        <v>0</v>
      </c>
      <c r="BA75" s="4">
        <v>-5731236.2499999991</v>
      </c>
      <c r="BB75" s="4">
        <f t="shared" si="8"/>
        <v>591153763.26999998</v>
      </c>
    </row>
    <row r="76" spans="1:54" x14ac:dyDescent="0.2">
      <c r="A76" s="3">
        <v>44105</v>
      </c>
      <c r="B76" s="4">
        <v>0</v>
      </c>
      <c r="C76" s="4">
        <v>687185.59</v>
      </c>
      <c r="D76" s="4">
        <v>0</v>
      </c>
      <c r="E76" s="4">
        <v>0</v>
      </c>
      <c r="F76" s="4">
        <v>0.04</v>
      </c>
      <c r="G76" s="4">
        <v>-7.7100000000000009</v>
      </c>
      <c r="H76" s="4">
        <v>0</v>
      </c>
      <c r="I76" s="4">
        <v>0</v>
      </c>
      <c r="J76" s="4">
        <v>0.1</v>
      </c>
      <c r="K76" s="4">
        <v>0.08</v>
      </c>
      <c r="L76" s="4">
        <v>0</v>
      </c>
      <c r="M76" s="4">
        <v>263076.58</v>
      </c>
      <c r="N76" s="4">
        <v>284989.94999999995</v>
      </c>
      <c r="O76" s="4">
        <v>162.9</v>
      </c>
      <c r="P76" s="4">
        <v>762490.71</v>
      </c>
      <c r="Q76" s="4">
        <v>318594.72000000003</v>
      </c>
      <c r="R76" s="4">
        <v>0</v>
      </c>
      <c r="S76" s="4">
        <v>113783.15000000001</v>
      </c>
      <c r="T76" s="4">
        <v>192326.68</v>
      </c>
      <c r="U76" s="4">
        <v>0</v>
      </c>
      <c r="V76" s="4">
        <v>1707597.9300000002</v>
      </c>
      <c r="W76" s="4">
        <v>620926205.98000002</v>
      </c>
      <c r="X76" s="4">
        <v>480527.36000000004</v>
      </c>
      <c r="Y76" s="4">
        <v>77334204.029999986</v>
      </c>
      <c r="Z76" s="4">
        <v>30726.54</v>
      </c>
      <c r="AA76" s="4"/>
      <c r="AB76" s="4">
        <v>7.1522663347423077E-9</v>
      </c>
      <c r="AC76" s="4">
        <v>68163.33</v>
      </c>
      <c r="AD76" s="4">
        <v>2277642.96</v>
      </c>
      <c r="AE76" s="4">
        <v>0</v>
      </c>
      <c r="AF76" s="4">
        <v>101890.64</v>
      </c>
      <c r="AG76" s="4">
        <v>0</v>
      </c>
      <c r="AH76" s="4">
        <v>302419.34000000003</v>
      </c>
      <c r="AI76" s="4">
        <v>369176.05999999994</v>
      </c>
      <c r="AJ76" s="4">
        <v>0</v>
      </c>
      <c r="AK76" s="4">
        <v>1105194.8999999999</v>
      </c>
      <c r="AL76" s="4">
        <v>0</v>
      </c>
      <c r="AM76" s="4">
        <v>21970.77</v>
      </c>
      <c r="AN76" s="4">
        <v>0</v>
      </c>
      <c r="AO76" s="4">
        <v>602647.00999999989</v>
      </c>
      <c r="AP76" s="4">
        <v>0</v>
      </c>
      <c r="AQ76" s="4">
        <v>46739.34</v>
      </c>
      <c r="AR76" s="4">
        <v>919744.74</v>
      </c>
      <c r="AS76" s="4">
        <v>0</v>
      </c>
      <c r="AT76" s="4">
        <v>29.52</v>
      </c>
      <c r="AU76" s="4">
        <v>0.09</v>
      </c>
      <c r="AV76" s="4">
        <v>831760.72000000009</v>
      </c>
      <c r="AW76" s="4">
        <v>3943421.6700000009</v>
      </c>
      <c r="AX76" s="4">
        <v>4896073.1500000004</v>
      </c>
      <c r="AY76" s="4">
        <v>2442508.0300000003</v>
      </c>
      <c r="AZ76" s="4">
        <v>0</v>
      </c>
      <c r="BA76" s="4">
        <v>3985783.4400000004</v>
      </c>
      <c r="BB76" s="4">
        <f t="shared" si="8"/>
        <v>725017030.34000003</v>
      </c>
    </row>
    <row r="77" spans="1:54" x14ac:dyDescent="0.2">
      <c r="A77" s="3">
        <v>44136</v>
      </c>
      <c r="B77" s="4">
        <v>0</v>
      </c>
      <c r="C77" s="4">
        <v>671813.37</v>
      </c>
      <c r="D77" s="4">
        <v>0</v>
      </c>
      <c r="E77" s="4">
        <v>0</v>
      </c>
      <c r="F77" s="4">
        <v>0.04</v>
      </c>
      <c r="G77" s="4">
        <v>6.57</v>
      </c>
      <c r="H77" s="4">
        <v>0</v>
      </c>
      <c r="I77" s="4">
        <v>0</v>
      </c>
      <c r="J77" s="4">
        <v>0.1</v>
      </c>
      <c r="K77" s="4">
        <v>22.21</v>
      </c>
      <c r="L77" s="4">
        <v>0</v>
      </c>
      <c r="M77" s="4">
        <v>256629.04000000004</v>
      </c>
      <c r="N77" s="4">
        <v>258384.80999999997</v>
      </c>
      <c r="O77" s="4">
        <v>182.08</v>
      </c>
      <c r="P77" s="4">
        <v>894671.05</v>
      </c>
      <c r="Q77" s="4">
        <v>291887.94999999995</v>
      </c>
      <c r="R77" s="4">
        <v>0</v>
      </c>
      <c r="S77" s="4">
        <v>114003.85999999999</v>
      </c>
      <c r="T77" s="4">
        <v>159985.44</v>
      </c>
      <c r="U77" s="4">
        <v>0</v>
      </c>
      <c r="V77" s="4">
        <v>1648887.6199999999</v>
      </c>
      <c r="W77" s="4">
        <v>618342745.23000002</v>
      </c>
      <c r="X77" s="4">
        <v>517643.22000000003</v>
      </c>
      <c r="Y77" s="4">
        <v>76455333.080000013</v>
      </c>
      <c r="Z77" s="4">
        <v>27758.47</v>
      </c>
      <c r="AA77" s="4"/>
      <c r="AB77" s="4">
        <v>0</v>
      </c>
      <c r="AC77" s="4">
        <v>66837.699999999983</v>
      </c>
      <c r="AD77" s="4">
        <v>2291150.09</v>
      </c>
      <c r="AE77" s="4">
        <v>0</v>
      </c>
      <c r="AF77" s="4">
        <v>129268.87000000001</v>
      </c>
      <c r="AG77" s="4">
        <v>0</v>
      </c>
      <c r="AH77" s="4">
        <v>314018.01999999996</v>
      </c>
      <c r="AI77" s="4">
        <v>341977.98000000004</v>
      </c>
      <c r="AJ77" s="4">
        <v>0</v>
      </c>
      <c r="AK77" s="4">
        <v>1081946.95</v>
      </c>
      <c r="AL77" s="4">
        <v>0</v>
      </c>
      <c r="AM77" s="4">
        <v>21317.3</v>
      </c>
      <c r="AN77" s="4">
        <v>0</v>
      </c>
      <c r="AO77" s="4">
        <v>574549.52</v>
      </c>
      <c r="AP77" s="4">
        <v>0</v>
      </c>
      <c r="AQ77" s="4">
        <v>48285.01999999999</v>
      </c>
      <c r="AR77" s="4">
        <v>919450.6</v>
      </c>
      <c r="AS77" s="4">
        <v>0</v>
      </c>
      <c r="AT77" s="4">
        <v>0.57999999999999996</v>
      </c>
      <c r="AU77" s="4">
        <v>-0.22</v>
      </c>
      <c r="AV77" s="4">
        <v>830814.06</v>
      </c>
      <c r="AW77" s="4">
        <v>3796312.0300000003</v>
      </c>
      <c r="AX77" s="4">
        <v>4876826.6900000004</v>
      </c>
      <c r="AY77" s="4">
        <v>2443783.69</v>
      </c>
      <c r="AZ77" s="4">
        <v>0</v>
      </c>
      <c r="BA77" s="4">
        <v>4102579.0700000003</v>
      </c>
      <c r="BB77" s="4">
        <f t="shared" si="8"/>
        <v>721479072.09000027</v>
      </c>
    </row>
    <row r="78" spans="1:54" x14ac:dyDescent="0.2">
      <c r="A78" s="3">
        <v>44166</v>
      </c>
      <c r="B78" s="4">
        <v>0</v>
      </c>
      <c r="C78" s="4">
        <v>1133315.27</v>
      </c>
      <c r="D78" s="4">
        <v>0</v>
      </c>
      <c r="E78" s="4">
        <v>0</v>
      </c>
      <c r="F78" s="4">
        <v>0.04</v>
      </c>
      <c r="G78" s="4">
        <v>176.59</v>
      </c>
      <c r="H78" s="4">
        <v>0</v>
      </c>
      <c r="I78" s="4">
        <v>0</v>
      </c>
      <c r="J78" s="4">
        <v>0.1</v>
      </c>
      <c r="K78" s="4">
        <v>0</v>
      </c>
      <c r="L78" s="4">
        <v>0</v>
      </c>
      <c r="M78" s="4">
        <v>432355.71000000008</v>
      </c>
      <c r="N78" s="4">
        <v>519977.54</v>
      </c>
      <c r="O78" s="4">
        <v>189.17000000000002</v>
      </c>
      <c r="P78" s="4">
        <v>1013619.8700000001</v>
      </c>
      <c r="Q78" s="4">
        <v>451904.30999999994</v>
      </c>
      <c r="R78" s="4">
        <v>0</v>
      </c>
      <c r="S78" s="4">
        <v>257021.25000000003</v>
      </c>
      <c r="T78" s="4">
        <v>348789.31000000006</v>
      </c>
      <c r="U78" s="4">
        <v>0</v>
      </c>
      <c r="V78" s="4">
        <v>2864019.82</v>
      </c>
      <c r="W78" s="4">
        <v>513974499.81</v>
      </c>
      <c r="X78" s="4">
        <v>372415.25</v>
      </c>
      <c r="Y78" s="4">
        <v>94854269.699999988</v>
      </c>
      <c r="Z78" s="4">
        <v>11405226.01</v>
      </c>
      <c r="AA78" s="4"/>
      <c r="AB78" s="4">
        <v>-2.3748725652694702E-8</v>
      </c>
      <c r="AC78" s="4">
        <v>142190.30000000002</v>
      </c>
      <c r="AD78" s="4">
        <v>4038008.2800000003</v>
      </c>
      <c r="AE78" s="4">
        <v>0</v>
      </c>
      <c r="AF78" s="4">
        <v>237955.26</v>
      </c>
      <c r="AG78" s="4">
        <v>0</v>
      </c>
      <c r="AH78" s="4">
        <v>565944.61999999988</v>
      </c>
      <c r="AI78" s="4">
        <v>713573.19</v>
      </c>
      <c r="AJ78" s="4">
        <v>0</v>
      </c>
      <c r="AK78" s="4">
        <v>1119281.1099999999</v>
      </c>
      <c r="AL78" s="4">
        <v>0</v>
      </c>
      <c r="AM78" s="4">
        <v>41519.94</v>
      </c>
      <c r="AN78" s="4">
        <v>0</v>
      </c>
      <c r="AO78" s="4">
        <v>1037696.4600000001</v>
      </c>
      <c r="AP78" s="4">
        <v>0</v>
      </c>
      <c r="AQ78" s="4">
        <v>99535.41</v>
      </c>
      <c r="AR78" s="4">
        <v>1236321.98</v>
      </c>
      <c r="AS78" s="4">
        <v>0</v>
      </c>
      <c r="AT78" s="4">
        <v>0.45999999999999996</v>
      </c>
      <c r="AU78" s="4">
        <v>2270.6799999999998</v>
      </c>
      <c r="AV78" s="4">
        <v>1344340.11</v>
      </c>
      <c r="AW78" s="4">
        <v>3627556.1500000004</v>
      </c>
      <c r="AX78" s="4">
        <v>7819395.25</v>
      </c>
      <c r="AY78" s="4">
        <v>3910771.75</v>
      </c>
      <c r="AZ78" s="4">
        <v>0</v>
      </c>
      <c r="BA78" s="4">
        <v>-5766608.080000001</v>
      </c>
      <c r="BB78" s="4">
        <f t="shared" si="8"/>
        <v>647797532.62</v>
      </c>
    </row>
    <row r="79" spans="1:54" ht="15.75" thickBot="1" x14ac:dyDescent="0.25">
      <c r="A79" s="1" t="s">
        <v>179</v>
      </c>
      <c r="B79" s="5">
        <f>SUM(B67:B78)</f>
        <v>0</v>
      </c>
      <c r="C79" s="5">
        <f t="shared" ref="C79:BB79" si="9">SUM(C67:C78)</f>
        <v>9462783.8500000015</v>
      </c>
      <c r="D79" s="5">
        <f t="shared" si="9"/>
        <v>0</v>
      </c>
      <c r="E79" s="5">
        <f t="shared" si="9"/>
        <v>0</v>
      </c>
      <c r="F79" s="5">
        <f t="shared" si="9"/>
        <v>136.16999999999996</v>
      </c>
      <c r="G79" s="5">
        <f t="shared" si="9"/>
        <v>2948.4200000000005</v>
      </c>
      <c r="H79" s="5">
        <f t="shared" si="9"/>
        <v>0</v>
      </c>
      <c r="I79" s="5">
        <f t="shared" si="9"/>
        <v>0</v>
      </c>
      <c r="J79" s="5">
        <f t="shared" si="9"/>
        <v>217.63999999999996</v>
      </c>
      <c r="K79" s="5">
        <f t="shared" si="9"/>
        <v>797.44</v>
      </c>
      <c r="L79" s="5">
        <f t="shared" si="9"/>
        <v>0</v>
      </c>
      <c r="M79" s="5">
        <f t="shared" si="9"/>
        <v>3488745.46</v>
      </c>
      <c r="N79" s="5">
        <f t="shared" si="9"/>
        <v>3962044.56</v>
      </c>
      <c r="O79" s="5">
        <f t="shared" si="9"/>
        <v>-3927.6900000000005</v>
      </c>
      <c r="P79" s="5">
        <f t="shared" si="9"/>
        <v>10435035.879999999</v>
      </c>
      <c r="Q79" s="5">
        <f t="shared" si="9"/>
        <v>4092443.6700000004</v>
      </c>
      <c r="R79" s="5">
        <f t="shared" si="9"/>
        <v>0</v>
      </c>
      <c r="S79" s="5">
        <f t="shared" si="9"/>
        <v>1982938.44</v>
      </c>
      <c r="T79" s="5">
        <f t="shared" si="9"/>
        <v>2302576.3499999996</v>
      </c>
      <c r="U79" s="5">
        <f t="shared" si="9"/>
        <v>0</v>
      </c>
      <c r="V79" s="5">
        <f t="shared" si="9"/>
        <v>22736285.940000001</v>
      </c>
      <c r="W79" s="5">
        <f t="shared" si="9"/>
        <v>6692556148.2799997</v>
      </c>
      <c r="X79" s="5">
        <f t="shared" si="9"/>
        <v>5984453.7000000002</v>
      </c>
      <c r="Y79" s="5">
        <f t="shared" si="9"/>
        <v>917669625.64999986</v>
      </c>
      <c r="Z79" s="5">
        <f t="shared" si="9"/>
        <v>42876347.219999999</v>
      </c>
      <c r="AA79" s="5"/>
      <c r="AB79" s="5">
        <f t="shared" si="9"/>
        <v>-6.8965164246037602E-8</v>
      </c>
      <c r="AC79" s="5">
        <f t="shared" si="9"/>
        <v>1214844.23</v>
      </c>
      <c r="AD79" s="5">
        <f t="shared" si="9"/>
        <v>30806324.720000003</v>
      </c>
      <c r="AE79" s="5">
        <f t="shared" si="9"/>
        <v>0</v>
      </c>
      <c r="AF79" s="5">
        <f t="shared" si="9"/>
        <v>1789857.2799999998</v>
      </c>
      <c r="AG79" s="5">
        <f t="shared" si="9"/>
        <v>0</v>
      </c>
      <c r="AH79" s="5">
        <f t="shared" si="9"/>
        <v>4396041.4099999992</v>
      </c>
      <c r="AI79" s="5">
        <f t="shared" si="9"/>
        <v>5475842.5199999996</v>
      </c>
      <c r="AJ79" s="5">
        <f t="shared" si="9"/>
        <v>0</v>
      </c>
      <c r="AK79" s="5">
        <f t="shared" si="9"/>
        <v>14529926.119999999</v>
      </c>
      <c r="AL79" s="5">
        <f t="shared" si="9"/>
        <v>0</v>
      </c>
      <c r="AM79" s="5">
        <f t="shared" si="9"/>
        <v>368362.39</v>
      </c>
      <c r="AN79" s="5">
        <f t="shared" si="9"/>
        <v>0</v>
      </c>
      <c r="AO79" s="5">
        <f t="shared" si="9"/>
        <v>8359669.6900000004</v>
      </c>
      <c r="AP79" s="5">
        <f t="shared" si="9"/>
        <v>0</v>
      </c>
      <c r="AQ79" s="5">
        <f t="shared" si="9"/>
        <v>738974.35000000009</v>
      </c>
      <c r="AR79" s="5">
        <f t="shared" si="9"/>
        <v>11133809.279999999</v>
      </c>
      <c r="AS79" s="5">
        <f t="shared" si="9"/>
        <v>0</v>
      </c>
      <c r="AT79" s="5">
        <f t="shared" si="9"/>
        <v>318.52</v>
      </c>
      <c r="AU79" s="5">
        <f t="shared" si="9"/>
        <v>3315.18</v>
      </c>
      <c r="AV79" s="5">
        <f t="shared" si="9"/>
        <v>11124701.73</v>
      </c>
      <c r="AW79" s="5">
        <f t="shared" si="9"/>
        <v>42476317.890000001</v>
      </c>
      <c r="AX79" s="5">
        <f t="shared" si="9"/>
        <v>63174020.280000001</v>
      </c>
      <c r="AY79" s="5">
        <f t="shared" si="9"/>
        <v>31618409.140000001</v>
      </c>
      <c r="AZ79" s="5">
        <f t="shared" si="9"/>
        <v>0</v>
      </c>
      <c r="BA79" s="5">
        <f t="shared" si="9"/>
        <v>19657818.140000001</v>
      </c>
      <c r="BB79" s="5">
        <f t="shared" si="9"/>
        <v>7964418153.8500013</v>
      </c>
    </row>
    <row r="80" spans="1:54" ht="15.75" thickTop="1" x14ac:dyDescent="0.2"/>
    <row r="81" spans="1:90" x14ac:dyDescent="0.2">
      <c r="A81" s="3">
        <v>43466</v>
      </c>
      <c r="B81" s="4">
        <v>0</v>
      </c>
      <c r="C81" s="4">
        <v>741808.24</v>
      </c>
      <c r="D81" s="4">
        <v>0.06</v>
      </c>
      <c r="E81" s="4">
        <v>0</v>
      </c>
      <c r="F81" s="4">
        <v>21.61</v>
      </c>
      <c r="G81" s="4">
        <v>573.40000000000009</v>
      </c>
      <c r="H81" s="4">
        <v>0</v>
      </c>
      <c r="I81" s="4">
        <v>0</v>
      </c>
      <c r="J81" s="4">
        <v>37.31</v>
      </c>
      <c r="K81" s="4">
        <v>134.94</v>
      </c>
      <c r="L81" s="4">
        <v>0</v>
      </c>
      <c r="M81" s="4">
        <v>251570.15999999997</v>
      </c>
      <c r="N81" s="4">
        <v>293308.40000000002</v>
      </c>
      <c r="O81" s="4">
        <v>255.09000000000003</v>
      </c>
      <c r="P81" s="4">
        <v>893704.33000000007</v>
      </c>
      <c r="Q81" s="4">
        <v>303344.40999999992</v>
      </c>
      <c r="R81" s="4">
        <v>0</v>
      </c>
      <c r="S81" s="4">
        <v>150971.98000000001</v>
      </c>
      <c r="T81" s="4">
        <v>172725.91</v>
      </c>
      <c r="U81" s="4">
        <v>0</v>
      </c>
      <c r="V81" s="4">
        <v>1822594.8399999999</v>
      </c>
      <c r="W81" s="4">
        <v>671209391.30000007</v>
      </c>
      <c r="X81" s="4">
        <v>590506.21</v>
      </c>
      <c r="Y81" s="4">
        <v>81622967.780000001</v>
      </c>
      <c r="Z81" s="4">
        <v>177585.71</v>
      </c>
      <c r="AA81" s="4"/>
      <c r="AB81" s="4">
        <v>4.2913598008453846E-8</v>
      </c>
      <c r="AC81" s="4">
        <v>124041.12</v>
      </c>
      <c r="AD81" s="4">
        <v>2341383.75</v>
      </c>
      <c r="AE81" s="4">
        <v>0</v>
      </c>
      <c r="AF81" s="4">
        <v>126429.88000000002</v>
      </c>
      <c r="AG81" s="4">
        <v>0</v>
      </c>
      <c r="AH81" s="4">
        <v>351305.42000000004</v>
      </c>
      <c r="AI81" s="4">
        <v>376132.08</v>
      </c>
      <c r="AJ81" s="4">
        <v>0</v>
      </c>
      <c r="AK81" s="4">
        <v>1218216.3</v>
      </c>
      <c r="AL81" s="4">
        <v>0</v>
      </c>
      <c r="AM81" s="4">
        <v>39939.39</v>
      </c>
      <c r="AN81" s="4">
        <v>0</v>
      </c>
      <c r="AO81" s="4">
        <v>619088.44999999984</v>
      </c>
      <c r="AP81" s="4">
        <v>0</v>
      </c>
      <c r="AQ81" s="4">
        <v>50875.350000000006</v>
      </c>
      <c r="AR81" s="4">
        <v>921402.52999999991</v>
      </c>
      <c r="AS81" s="4">
        <v>0</v>
      </c>
      <c r="AT81" s="4">
        <v>11.3</v>
      </c>
      <c r="AU81" s="4">
        <v>0</v>
      </c>
      <c r="AV81" s="4">
        <v>818074.96</v>
      </c>
      <c r="AW81" s="4">
        <v>4549018.45</v>
      </c>
      <c r="AX81" s="4">
        <v>5608505.0499999998</v>
      </c>
      <c r="AY81" s="4">
        <v>2802742.6100000003</v>
      </c>
      <c r="AZ81" s="4">
        <v>0</v>
      </c>
      <c r="BA81" s="4">
        <v>4381103.42</v>
      </c>
      <c r="BB81" s="4">
        <f>SUM(B81:BA81)</f>
        <v>782559771.74000001</v>
      </c>
    </row>
    <row r="82" spans="1:90" x14ac:dyDescent="0.2">
      <c r="A82" s="3">
        <v>43497</v>
      </c>
      <c r="B82" s="4">
        <v>0</v>
      </c>
      <c r="C82" s="4">
        <v>611272.27</v>
      </c>
      <c r="D82" s="4">
        <v>127.71</v>
      </c>
      <c r="E82" s="4">
        <v>0</v>
      </c>
      <c r="F82" s="4">
        <v>0.3</v>
      </c>
      <c r="G82" s="4">
        <v>789.67</v>
      </c>
      <c r="H82" s="4">
        <v>0</v>
      </c>
      <c r="I82" s="4">
        <v>0</v>
      </c>
      <c r="J82" s="4">
        <v>402.27</v>
      </c>
      <c r="K82" s="4">
        <v>72.459999999999994</v>
      </c>
      <c r="L82" s="4">
        <v>0</v>
      </c>
      <c r="M82" s="4">
        <v>211567.88</v>
      </c>
      <c r="N82" s="4">
        <v>252458.61</v>
      </c>
      <c r="O82" s="4">
        <v>324.85000000000002</v>
      </c>
      <c r="P82" s="4">
        <v>726207.44000000006</v>
      </c>
      <c r="Q82" s="4">
        <v>256929.15000000002</v>
      </c>
      <c r="R82" s="4">
        <v>0</v>
      </c>
      <c r="S82" s="4">
        <v>139694.28</v>
      </c>
      <c r="T82" s="4">
        <v>42216.960000000006</v>
      </c>
      <c r="U82" s="4">
        <v>0</v>
      </c>
      <c r="V82" s="4">
        <v>1597759</v>
      </c>
      <c r="W82" s="4">
        <v>567550477.73999989</v>
      </c>
      <c r="X82" s="4">
        <v>435716.02</v>
      </c>
      <c r="Y82" s="4">
        <v>69335455.980000019</v>
      </c>
      <c r="Z82" s="4">
        <v>-81746.310000000012</v>
      </c>
      <c r="AA82" s="4"/>
      <c r="AB82" s="4">
        <v>2.144952304661274E-8</v>
      </c>
      <c r="AC82" s="4">
        <v>98923.35</v>
      </c>
      <c r="AD82" s="4">
        <v>2022989.64</v>
      </c>
      <c r="AE82" s="4">
        <v>0</v>
      </c>
      <c r="AF82" s="4">
        <v>110914.98999999999</v>
      </c>
      <c r="AG82" s="4">
        <v>0</v>
      </c>
      <c r="AH82" s="4">
        <v>292134.66000000003</v>
      </c>
      <c r="AI82" s="4">
        <v>328458.91000000003</v>
      </c>
      <c r="AJ82" s="4">
        <v>0</v>
      </c>
      <c r="AK82" s="4">
        <v>946298.91999999993</v>
      </c>
      <c r="AL82" s="4">
        <v>0</v>
      </c>
      <c r="AM82" s="4">
        <v>35376.180000000008</v>
      </c>
      <c r="AN82" s="4">
        <v>0</v>
      </c>
      <c r="AO82" s="4">
        <v>514110.9</v>
      </c>
      <c r="AP82" s="4">
        <v>0</v>
      </c>
      <c r="AQ82" s="4">
        <v>43156.07</v>
      </c>
      <c r="AR82" s="4">
        <v>712861.16</v>
      </c>
      <c r="AS82" s="4">
        <v>0</v>
      </c>
      <c r="AT82" s="4">
        <v>0.77</v>
      </c>
      <c r="AU82" s="4">
        <v>0</v>
      </c>
      <c r="AV82" s="4">
        <v>662478.6399999999</v>
      </c>
      <c r="AW82" s="4">
        <v>3701817</v>
      </c>
      <c r="AX82" s="4">
        <v>4943963.33</v>
      </c>
      <c r="AY82" s="4">
        <v>2473931.4800000004</v>
      </c>
      <c r="AZ82" s="4">
        <v>0</v>
      </c>
      <c r="BA82" s="4">
        <v>3696677.4300000006</v>
      </c>
      <c r="BB82" s="4">
        <f t="shared" ref="BB82:BB92" si="10">SUM(B82:BA82)</f>
        <v>661663819.7099998</v>
      </c>
    </row>
    <row r="83" spans="1:90" x14ac:dyDescent="0.2">
      <c r="A83" s="3">
        <v>43525</v>
      </c>
      <c r="B83" s="4">
        <v>0</v>
      </c>
      <c r="C83" s="4">
        <v>924320.91999999981</v>
      </c>
      <c r="D83" s="4">
        <v>-0.46000000000000008</v>
      </c>
      <c r="E83" s="4">
        <v>0</v>
      </c>
      <c r="F83" s="4">
        <v>0.42000000000000004</v>
      </c>
      <c r="G83" s="4">
        <v>1698.96</v>
      </c>
      <c r="H83" s="4">
        <v>0</v>
      </c>
      <c r="I83" s="4">
        <v>0</v>
      </c>
      <c r="J83" s="4">
        <v>0.10999999999999999</v>
      </c>
      <c r="K83" s="4">
        <v>218.89</v>
      </c>
      <c r="L83" s="4">
        <v>0</v>
      </c>
      <c r="M83" s="4">
        <v>332447.35999999999</v>
      </c>
      <c r="N83" s="4">
        <v>477207.66000000009</v>
      </c>
      <c r="O83" s="4">
        <v>83.679999999999993</v>
      </c>
      <c r="P83" s="4">
        <v>1075181.21</v>
      </c>
      <c r="Q83" s="4">
        <v>378118.92</v>
      </c>
      <c r="R83" s="4">
        <v>0</v>
      </c>
      <c r="S83" s="4">
        <v>252397.30000000002</v>
      </c>
      <c r="T83" s="4">
        <v>261764.12</v>
      </c>
      <c r="U83" s="4">
        <v>0</v>
      </c>
      <c r="V83" s="4">
        <v>2233095.42</v>
      </c>
      <c r="W83" s="4">
        <v>735340634.59000015</v>
      </c>
      <c r="X83" s="4">
        <v>589965.68000000005</v>
      </c>
      <c r="Y83" s="4">
        <v>98304038.030000001</v>
      </c>
      <c r="Z83" s="4">
        <v>9883340.1500000004</v>
      </c>
      <c r="AA83" s="4"/>
      <c r="AB83" s="4">
        <v>-3.3527612686157227E-8</v>
      </c>
      <c r="AC83" s="4">
        <v>74614.58</v>
      </c>
      <c r="AD83" s="4">
        <v>2782347.4699999997</v>
      </c>
      <c r="AE83" s="4">
        <v>0</v>
      </c>
      <c r="AF83" s="4">
        <v>193983.11000000002</v>
      </c>
      <c r="AG83" s="4">
        <v>0</v>
      </c>
      <c r="AH83" s="4">
        <v>349292.52</v>
      </c>
      <c r="AI83" s="4">
        <v>401992.83999999997</v>
      </c>
      <c r="AJ83" s="4">
        <v>0</v>
      </c>
      <c r="AK83" s="4">
        <v>1208097.74</v>
      </c>
      <c r="AL83" s="4">
        <v>0</v>
      </c>
      <c r="AM83" s="4">
        <v>30908.560000000001</v>
      </c>
      <c r="AN83" s="4">
        <v>0</v>
      </c>
      <c r="AO83" s="4">
        <v>650493.82999999996</v>
      </c>
      <c r="AP83" s="4">
        <v>0</v>
      </c>
      <c r="AQ83" s="4">
        <v>58840.119999999995</v>
      </c>
      <c r="AR83" s="4">
        <v>1048876.02</v>
      </c>
      <c r="AS83" s="4">
        <v>0</v>
      </c>
      <c r="AT83" s="4">
        <v>0.71</v>
      </c>
      <c r="AU83" s="4">
        <v>0</v>
      </c>
      <c r="AV83" s="4">
        <v>1012164.6100000001</v>
      </c>
      <c r="AW83" s="4">
        <v>4592638.9700000007</v>
      </c>
      <c r="AX83" s="4">
        <v>5133801.38</v>
      </c>
      <c r="AY83" s="4">
        <v>2567981.63</v>
      </c>
      <c r="AZ83" s="4">
        <v>0</v>
      </c>
      <c r="BA83" s="4">
        <v>3715598.69</v>
      </c>
      <c r="BB83" s="4">
        <f t="shared" si="10"/>
        <v>873876145.74000025</v>
      </c>
    </row>
    <row r="84" spans="1:90" x14ac:dyDescent="0.2">
      <c r="A84" s="3">
        <v>43556</v>
      </c>
      <c r="B84" s="4">
        <v>0</v>
      </c>
      <c r="C84" s="4">
        <v>667625.51</v>
      </c>
      <c r="D84" s="4">
        <v>0.15</v>
      </c>
      <c r="E84" s="4">
        <v>0</v>
      </c>
      <c r="F84" s="4">
        <v>22.83</v>
      </c>
      <c r="G84" s="4">
        <v>839.12</v>
      </c>
      <c r="H84" s="4">
        <v>0</v>
      </c>
      <c r="I84" s="4">
        <v>0</v>
      </c>
      <c r="J84" s="4">
        <v>225.92000000000002</v>
      </c>
      <c r="K84" s="4">
        <v>656.68</v>
      </c>
      <c r="L84" s="4">
        <v>0</v>
      </c>
      <c r="M84" s="4">
        <v>238052.54000000004</v>
      </c>
      <c r="N84" s="4">
        <v>314454.34000000003</v>
      </c>
      <c r="O84" s="4">
        <v>112.60999999999999</v>
      </c>
      <c r="P84" s="4">
        <v>900584.88000000012</v>
      </c>
      <c r="Q84" s="4">
        <v>319822.76</v>
      </c>
      <c r="R84" s="4">
        <v>0</v>
      </c>
      <c r="S84" s="4">
        <v>157975.87000000002</v>
      </c>
      <c r="T84" s="4">
        <v>136086.35999999999</v>
      </c>
      <c r="U84" s="4">
        <v>0</v>
      </c>
      <c r="V84" s="4">
        <v>1749358.4900000002</v>
      </c>
      <c r="W84" s="4">
        <v>612572583.44999993</v>
      </c>
      <c r="X84" s="4">
        <v>551270.11999999988</v>
      </c>
      <c r="Y84" s="4">
        <v>76053750.750000015</v>
      </c>
      <c r="Z84" s="4">
        <v>25717.78</v>
      </c>
      <c r="AA84" s="4"/>
      <c r="AB84" s="4">
        <v>-1.4304532669484615E-8</v>
      </c>
      <c r="AC84" s="4">
        <v>98122.68</v>
      </c>
      <c r="AD84" s="4">
        <v>2262890.9699999997</v>
      </c>
      <c r="AE84" s="4">
        <v>0</v>
      </c>
      <c r="AF84" s="4">
        <v>137919.25999999998</v>
      </c>
      <c r="AG84" s="4">
        <v>0</v>
      </c>
      <c r="AH84" s="4">
        <v>327066.7</v>
      </c>
      <c r="AI84" s="4">
        <v>388988.86</v>
      </c>
      <c r="AJ84" s="4">
        <v>0</v>
      </c>
      <c r="AK84" s="4">
        <v>720667.58000000007</v>
      </c>
      <c r="AL84" s="4">
        <v>0</v>
      </c>
      <c r="AM84" s="4">
        <v>22645.120000000003</v>
      </c>
      <c r="AN84" s="4">
        <v>0</v>
      </c>
      <c r="AO84" s="4">
        <v>604507.69000000006</v>
      </c>
      <c r="AP84" s="4">
        <v>0</v>
      </c>
      <c r="AQ84" s="4">
        <v>54422.750000000007</v>
      </c>
      <c r="AR84" s="4">
        <v>876163.51</v>
      </c>
      <c r="AS84" s="4">
        <v>0</v>
      </c>
      <c r="AT84" s="4">
        <v>2.7</v>
      </c>
      <c r="AU84" s="4">
        <v>0</v>
      </c>
      <c r="AV84" s="4">
        <v>818660.67999999993</v>
      </c>
      <c r="AW84" s="4">
        <v>3704759</v>
      </c>
      <c r="AX84" s="4">
        <v>5072840.1999999993</v>
      </c>
      <c r="AY84" s="4">
        <v>2542629.84</v>
      </c>
      <c r="AZ84" s="4">
        <v>0</v>
      </c>
      <c r="BA84" s="4">
        <v>4247628.3600000003</v>
      </c>
      <c r="BB84" s="4">
        <f t="shared" si="10"/>
        <v>715569056.06000006</v>
      </c>
    </row>
    <row r="85" spans="1:90" x14ac:dyDescent="0.2">
      <c r="A85" s="3">
        <v>43586</v>
      </c>
      <c r="B85" s="4">
        <v>0</v>
      </c>
      <c r="C85" s="4">
        <v>671805.26</v>
      </c>
      <c r="D85" s="4">
        <v>0.1</v>
      </c>
      <c r="E85" s="4">
        <v>0</v>
      </c>
      <c r="F85" s="4">
        <v>0.03</v>
      </c>
      <c r="G85" s="4">
        <v>4194.8200000000006</v>
      </c>
      <c r="H85" s="4">
        <v>0</v>
      </c>
      <c r="I85" s="4">
        <v>0</v>
      </c>
      <c r="J85" s="4">
        <v>26.009999999999998</v>
      </c>
      <c r="K85" s="4">
        <v>359.83</v>
      </c>
      <c r="L85" s="4">
        <v>0</v>
      </c>
      <c r="M85" s="4">
        <v>256756.15000000002</v>
      </c>
      <c r="N85" s="4">
        <v>315703.83000000007</v>
      </c>
      <c r="O85" s="4">
        <v>-262.99000000000007</v>
      </c>
      <c r="P85" s="4">
        <v>896100.15999999992</v>
      </c>
      <c r="Q85" s="4">
        <v>328209.25</v>
      </c>
      <c r="R85" s="4">
        <v>0</v>
      </c>
      <c r="S85" s="4">
        <v>201743.27000000002</v>
      </c>
      <c r="T85" s="4">
        <v>156881.44</v>
      </c>
      <c r="U85" s="4">
        <v>0</v>
      </c>
      <c r="V85" s="4">
        <v>1575233.6</v>
      </c>
      <c r="W85" s="4">
        <v>616518625.63999999</v>
      </c>
      <c r="X85" s="4">
        <v>670042.1</v>
      </c>
      <c r="Y85" s="4">
        <v>76482068.909999996</v>
      </c>
      <c r="Z85" s="4">
        <v>76411.59</v>
      </c>
      <c r="AA85" s="4"/>
      <c r="AB85" s="4">
        <v>1.6691046766936779E-8</v>
      </c>
      <c r="AC85" s="4">
        <v>177318.88999999998</v>
      </c>
      <c r="AD85" s="4">
        <v>2277790.16</v>
      </c>
      <c r="AE85" s="4">
        <v>0</v>
      </c>
      <c r="AF85" s="4">
        <v>135704.07</v>
      </c>
      <c r="AG85" s="4">
        <v>0</v>
      </c>
      <c r="AH85" s="4">
        <v>356218.04000000004</v>
      </c>
      <c r="AI85" s="4">
        <v>417443.47000000003</v>
      </c>
      <c r="AJ85" s="4">
        <v>0</v>
      </c>
      <c r="AK85" s="4">
        <v>1189591.67</v>
      </c>
      <c r="AL85" s="4">
        <v>0</v>
      </c>
      <c r="AM85" s="4">
        <v>42213.04</v>
      </c>
      <c r="AN85" s="4">
        <v>0</v>
      </c>
      <c r="AO85" s="4">
        <v>633410.91999999993</v>
      </c>
      <c r="AP85" s="4">
        <v>0</v>
      </c>
      <c r="AQ85" s="4">
        <v>57477.08</v>
      </c>
      <c r="AR85" s="4">
        <v>865259.11</v>
      </c>
      <c r="AS85" s="4">
        <v>0</v>
      </c>
      <c r="AT85" s="4">
        <v>0.78</v>
      </c>
      <c r="AU85" s="4">
        <v>0</v>
      </c>
      <c r="AV85" s="4">
        <v>849693.25</v>
      </c>
      <c r="AW85" s="4">
        <v>3731947.6500000004</v>
      </c>
      <c r="AX85" s="4">
        <v>4809018.040000001</v>
      </c>
      <c r="AY85" s="4">
        <v>2489452.5999999996</v>
      </c>
      <c r="AZ85" s="4">
        <v>0</v>
      </c>
      <c r="BA85" s="4">
        <v>4381177.88</v>
      </c>
      <c r="BB85" s="4">
        <f t="shared" si="10"/>
        <v>720567615.64999986</v>
      </c>
    </row>
    <row r="86" spans="1:90" x14ac:dyDescent="0.2">
      <c r="A86" s="3">
        <v>43617</v>
      </c>
      <c r="B86" s="4">
        <v>0</v>
      </c>
      <c r="C86" s="4">
        <v>983680.81</v>
      </c>
      <c r="D86" s="4">
        <v>0.1</v>
      </c>
      <c r="E86" s="4">
        <v>0</v>
      </c>
      <c r="F86" s="4">
        <v>-6.0000000000000005E-2</v>
      </c>
      <c r="G86" s="4">
        <v>421.21000000000004</v>
      </c>
      <c r="H86" s="4">
        <v>0</v>
      </c>
      <c r="I86" s="4">
        <v>0</v>
      </c>
      <c r="J86" s="4">
        <v>-0.99</v>
      </c>
      <c r="K86" s="4">
        <v>63.29</v>
      </c>
      <c r="L86" s="4">
        <v>0</v>
      </c>
      <c r="M86" s="4">
        <v>381192.70999999996</v>
      </c>
      <c r="N86" s="4">
        <v>245370.42</v>
      </c>
      <c r="O86" s="4">
        <v>368.46000000000004</v>
      </c>
      <c r="P86" s="4">
        <v>1284614.3500000003</v>
      </c>
      <c r="Q86" s="4">
        <v>393327.86</v>
      </c>
      <c r="R86" s="4">
        <v>0</v>
      </c>
      <c r="S86" s="4">
        <v>192080.61000000002</v>
      </c>
      <c r="T86" s="4">
        <v>402537.68999999994</v>
      </c>
      <c r="U86" s="4">
        <v>0</v>
      </c>
      <c r="V86" s="4">
        <v>2112161.04</v>
      </c>
      <c r="W86" s="4">
        <v>816114418.56999993</v>
      </c>
      <c r="X86" s="4">
        <v>929894.65000000014</v>
      </c>
      <c r="Y86" s="4">
        <v>112660898.70000002</v>
      </c>
      <c r="Z86" s="4">
        <v>11574810.16</v>
      </c>
      <c r="AA86" s="4"/>
      <c r="AB86" s="4">
        <v>0</v>
      </c>
      <c r="AC86" s="4">
        <v>70614.500000000015</v>
      </c>
      <c r="AD86" s="4">
        <v>3137551.0799999991</v>
      </c>
      <c r="AE86" s="4">
        <v>0</v>
      </c>
      <c r="AF86" s="4">
        <v>164315.98000000004</v>
      </c>
      <c r="AG86" s="4">
        <v>0</v>
      </c>
      <c r="AH86" s="4">
        <v>423620.08</v>
      </c>
      <c r="AI86" s="4">
        <v>421535.16000000003</v>
      </c>
      <c r="AJ86" s="4">
        <v>0</v>
      </c>
      <c r="AK86" s="4">
        <v>1491828.5499999998</v>
      </c>
      <c r="AL86" s="4">
        <v>0</v>
      </c>
      <c r="AM86" s="4">
        <v>30149.65</v>
      </c>
      <c r="AN86" s="4">
        <v>0</v>
      </c>
      <c r="AO86" s="4">
        <v>825790.8600000001</v>
      </c>
      <c r="AP86" s="4">
        <v>0</v>
      </c>
      <c r="AQ86" s="4">
        <v>65538.73000000001</v>
      </c>
      <c r="AR86" s="4">
        <v>1471517.9699999997</v>
      </c>
      <c r="AS86" s="4">
        <v>0</v>
      </c>
      <c r="AT86" s="4">
        <v>315.14</v>
      </c>
      <c r="AU86" s="4">
        <v>0</v>
      </c>
      <c r="AV86" s="4">
        <v>1303104.51</v>
      </c>
      <c r="AW86" s="4">
        <v>5047352.68</v>
      </c>
      <c r="AX86" s="4">
        <v>6297371.7700000005</v>
      </c>
      <c r="AY86" s="4">
        <v>3153151.29</v>
      </c>
      <c r="AZ86" s="4">
        <v>0</v>
      </c>
      <c r="BA86" s="4">
        <v>5139396.8299999991</v>
      </c>
      <c r="BB86" s="4">
        <f t="shared" si="10"/>
        <v>976318994.3599999</v>
      </c>
    </row>
    <row r="87" spans="1:90" x14ac:dyDescent="0.2">
      <c r="A87" s="3">
        <v>43647</v>
      </c>
      <c r="B87" s="4">
        <v>0</v>
      </c>
      <c r="C87" s="4">
        <v>726450.71</v>
      </c>
      <c r="D87" s="4">
        <v>0.1</v>
      </c>
      <c r="E87" s="4">
        <v>0</v>
      </c>
      <c r="F87" s="4">
        <v>0.04</v>
      </c>
      <c r="G87" s="4">
        <v>1065.8300000000002</v>
      </c>
      <c r="H87" s="4">
        <v>0</v>
      </c>
      <c r="I87" s="4">
        <v>0</v>
      </c>
      <c r="J87" s="4">
        <v>0.1</v>
      </c>
      <c r="K87" s="4">
        <v>395.23</v>
      </c>
      <c r="L87" s="4">
        <v>0</v>
      </c>
      <c r="M87" s="4">
        <v>284878.41000000003</v>
      </c>
      <c r="N87" s="4">
        <v>338695.58000000007</v>
      </c>
      <c r="O87" s="4">
        <v>1643.74</v>
      </c>
      <c r="P87" s="4">
        <v>1016504.94</v>
      </c>
      <c r="Q87" s="4">
        <v>320810.95</v>
      </c>
      <c r="R87" s="4">
        <v>0</v>
      </c>
      <c r="S87" s="4">
        <v>148694.96</v>
      </c>
      <c r="T87" s="4">
        <v>231605.57999999996</v>
      </c>
      <c r="U87" s="4">
        <v>0</v>
      </c>
      <c r="V87" s="4">
        <v>1674300.54</v>
      </c>
      <c r="W87" s="4">
        <v>612715713.48999989</v>
      </c>
      <c r="X87" s="4">
        <v>869370.49</v>
      </c>
      <c r="Y87" s="4">
        <v>79128703.310000002</v>
      </c>
      <c r="Z87" s="4">
        <v>18633.73</v>
      </c>
      <c r="AA87" s="4"/>
      <c r="AB87" s="4">
        <v>2.6226189220324159E-8</v>
      </c>
      <c r="AC87" s="4">
        <v>74408.59</v>
      </c>
      <c r="AD87" s="4">
        <v>2423924.9299999997</v>
      </c>
      <c r="AE87" s="4">
        <v>0</v>
      </c>
      <c r="AF87" s="4">
        <v>131855.02000000002</v>
      </c>
      <c r="AG87" s="4">
        <v>0</v>
      </c>
      <c r="AH87" s="4">
        <v>359444.97</v>
      </c>
      <c r="AI87" s="4">
        <v>416555.81</v>
      </c>
      <c r="AJ87" s="4">
        <v>0</v>
      </c>
      <c r="AK87" s="4">
        <v>1276612.19</v>
      </c>
      <c r="AL87" s="4">
        <v>0</v>
      </c>
      <c r="AM87" s="4">
        <v>23910.41</v>
      </c>
      <c r="AN87" s="4">
        <v>0</v>
      </c>
      <c r="AO87" s="4">
        <v>689425.31</v>
      </c>
      <c r="AP87" s="4">
        <v>0</v>
      </c>
      <c r="AQ87" s="4">
        <v>54517.440000000002</v>
      </c>
      <c r="AR87" s="4">
        <v>1395575.02</v>
      </c>
      <c r="AS87" s="4">
        <v>0</v>
      </c>
      <c r="AT87" s="4">
        <v>10.8</v>
      </c>
      <c r="AU87" s="4">
        <v>0</v>
      </c>
      <c r="AV87" s="4">
        <v>774254.1100000001</v>
      </c>
      <c r="AW87" s="4">
        <v>3883985.59</v>
      </c>
      <c r="AX87" s="4">
        <v>5220502.7899999991</v>
      </c>
      <c r="AY87" s="4">
        <v>2610560.36</v>
      </c>
      <c r="AZ87" s="4">
        <v>0</v>
      </c>
      <c r="BA87" s="4">
        <v>4689411.1999999993</v>
      </c>
      <c r="BB87" s="4">
        <f t="shared" si="10"/>
        <v>721502422.26999998</v>
      </c>
    </row>
    <row r="88" spans="1:90" x14ac:dyDescent="0.2">
      <c r="A88" s="3">
        <v>43678</v>
      </c>
      <c r="B88" s="4">
        <v>0</v>
      </c>
      <c r="C88" s="4">
        <v>765167.10000000009</v>
      </c>
      <c r="D88" s="4">
        <v>0.1</v>
      </c>
      <c r="E88" s="4">
        <v>0</v>
      </c>
      <c r="F88" s="4">
        <v>0.04</v>
      </c>
      <c r="G88" s="4">
        <v>149341.67000000001</v>
      </c>
      <c r="H88" s="4">
        <v>0</v>
      </c>
      <c r="I88" s="4">
        <v>0</v>
      </c>
      <c r="J88" s="4">
        <v>0.1</v>
      </c>
      <c r="K88" s="4">
        <v>68.849999999999994</v>
      </c>
      <c r="L88" s="4">
        <v>0</v>
      </c>
      <c r="M88" s="4">
        <v>267934.63</v>
      </c>
      <c r="N88" s="4">
        <v>311481.63</v>
      </c>
      <c r="O88" s="4">
        <v>161.26000000000002</v>
      </c>
      <c r="P88" s="4">
        <v>988141.56</v>
      </c>
      <c r="Q88" s="4">
        <v>322957.68</v>
      </c>
      <c r="R88" s="4">
        <v>0</v>
      </c>
      <c r="S88" s="4">
        <v>159175.32999999999</v>
      </c>
      <c r="T88" s="4">
        <v>194901.75</v>
      </c>
      <c r="U88" s="4">
        <v>0</v>
      </c>
      <c r="V88" s="4">
        <v>1710302.91</v>
      </c>
      <c r="W88" s="4">
        <v>621095038.06999993</v>
      </c>
      <c r="X88" s="4">
        <v>883235.58000000007</v>
      </c>
      <c r="Y88" s="4">
        <v>80467478.340000004</v>
      </c>
      <c r="Z88" s="4">
        <v>36477.79</v>
      </c>
      <c r="AA88" s="4"/>
      <c r="AB88" s="4">
        <v>1.9070284906774759E-8</v>
      </c>
      <c r="AC88" s="4">
        <v>74774.430000000008</v>
      </c>
      <c r="AD88" s="4">
        <v>2401011.4599999995</v>
      </c>
      <c r="AE88" s="4">
        <v>0</v>
      </c>
      <c r="AF88" s="4">
        <v>126074.18999999999</v>
      </c>
      <c r="AG88" s="4">
        <v>0</v>
      </c>
      <c r="AH88" s="4">
        <v>362776.85000000003</v>
      </c>
      <c r="AI88" s="4">
        <v>394078.22</v>
      </c>
      <c r="AJ88" s="4">
        <v>0</v>
      </c>
      <c r="AK88" s="4">
        <v>1208654.6299999999</v>
      </c>
      <c r="AL88" s="4">
        <v>0</v>
      </c>
      <c r="AM88" s="4">
        <v>23722.940000000002</v>
      </c>
      <c r="AN88" s="4">
        <v>0</v>
      </c>
      <c r="AO88" s="4">
        <v>662632.12999999989</v>
      </c>
      <c r="AP88" s="4">
        <v>0</v>
      </c>
      <c r="AQ88" s="4">
        <v>53091.740000000005</v>
      </c>
      <c r="AR88" s="4">
        <v>1314825.7800000003</v>
      </c>
      <c r="AS88" s="4">
        <v>0</v>
      </c>
      <c r="AT88" s="4">
        <v>28.95</v>
      </c>
      <c r="AU88" s="4">
        <v>0</v>
      </c>
      <c r="AV88" s="4">
        <v>892971.31</v>
      </c>
      <c r="AW88" s="4">
        <v>3920267.54</v>
      </c>
      <c r="AX88" s="4">
        <v>5181817.9000000004</v>
      </c>
      <c r="AY88" s="4">
        <v>2592705.9000000004</v>
      </c>
      <c r="AZ88" s="4">
        <v>0</v>
      </c>
      <c r="BA88" s="4">
        <v>4687918.57</v>
      </c>
      <c r="BB88" s="4">
        <f t="shared" si="10"/>
        <v>731249216.93000007</v>
      </c>
    </row>
    <row r="89" spans="1:90" x14ac:dyDescent="0.2">
      <c r="A89" s="3">
        <v>43709</v>
      </c>
      <c r="B89" s="4">
        <v>0</v>
      </c>
      <c r="C89" s="4">
        <v>1167666.23</v>
      </c>
      <c r="D89" s="4">
        <v>0.1</v>
      </c>
      <c r="E89" s="4">
        <v>0</v>
      </c>
      <c r="F89" s="4">
        <v>0.04</v>
      </c>
      <c r="G89" s="4">
        <v>-411.36</v>
      </c>
      <c r="H89" s="4">
        <v>0</v>
      </c>
      <c r="I89" s="4">
        <v>0</v>
      </c>
      <c r="J89" s="4">
        <v>0.1</v>
      </c>
      <c r="K89" s="4">
        <v>66.779999999999987</v>
      </c>
      <c r="L89" s="4">
        <v>0</v>
      </c>
      <c r="M89" s="4">
        <v>369507.82</v>
      </c>
      <c r="N89" s="4">
        <v>299152.55</v>
      </c>
      <c r="O89" s="4">
        <v>167.02999999999997</v>
      </c>
      <c r="P89" s="4">
        <v>1340375.68</v>
      </c>
      <c r="Q89" s="4">
        <v>456788.28</v>
      </c>
      <c r="R89" s="4">
        <v>0</v>
      </c>
      <c r="S89" s="4">
        <v>188218.64</v>
      </c>
      <c r="T89" s="4">
        <v>494914.49000000005</v>
      </c>
      <c r="U89" s="4">
        <v>0</v>
      </c>
      <c r="V89" s="4">
        <v>2282753.63</v>
      </c>
      <c r="W89" s="4">
        <v>824734029.74000001</v>
      </c>
      <c r="X89" s="4">
        <v>858505.67999999993</v>
      </c>
      <c r="Y89" s="4">
        <v>114575951.48999999</v>
      </c>
      <c r="Z89" s="4">
        <v>19102627.349999998</v>
      </c>
      <c r="AA89" s="4"/>
      <c r="AB89" s="4">
        <v>3.8184225559234619E-8</v>
      </c>
      <c r="AC89" s="4">
        <v>67451.960000000006</v>
      </c>
      <c r="AD89" s="4">
        <v>3404724.1500000004</v>
      </c>
      <c r="AE89" s="4">
        <v>0</v>
      </c>
      <c r="AF89" s="4">
        <v>202973.58999999997</v>
      </c>
      <c r="AG89" s="4">
        <v>0</v>
      </c>
      <c r="AH89" s="4">
        <v>414597.95999999996</v>
      </c>
      <c r="AI89" s="4">
        <v>468342.75000000006</v>
      </c>
      <c r="AJ89" s="4">
        <v>0</v>
      </c>
      <c r="AK89" s="4">
        <v>1485625.0199999998</v>
      </c>
      <c r="AL89" s="4">
        <v>0</v>
      </c>
      <c r="AM89" s="4">
        <v>22409.65</v>
      </c>
      <c r="AN89" s="4">
        <v>0</v>
      </c>
      <c r="AO89" s="4">
        <v>840799.1100000001</v>
      </c>
      <c r="AP89" s="4">
        <v>0</v>
      </c>
      <c r="AQ89" s="4">
        <v>73345.55</v>
      </c>
      <c r="AR89" s="4">
        <v>1572364.0999999999</v>
      </c>
      <c r="AS89" s="4">
        <v>0</v>
      </c>
      <c r="AT89" s="4">
        <v>29.990000000000002</v>
      </c>
      <c r="AU89" s="4">
        <v>0</v>
      </c>
      <c r="AV89" s="4">
        <v>1099162.2499999998</v>
      </c>
      <c r="AW89" s="4">
        <v>5337424.2799999993</v>
      </c>
      <c r="AX89" s="4">
        <v>6474949.0800000001</v>
      </c>
      <c r="AY89" s="4">
        <v>3215685.67</v>
      </c>
      <c r="AZ89" s="4">
        <v>0</v>
      </c>
      <c r="BA89" s="4">
        <v>4215431.24</v>
      </c>
      <c r="BB89" s="4">
        <f t="shared" si="10"/>
        <v>994765630.62</v>
      </c>
    </row>
    <row r="90" spans="1:90" x14ac:dyDescent="0.2">
      <c r="A90" s="3">
        <v>43739</v>
      </c>
      <c r="B90" s="4">
        <v>0</v>
      </c>
      <c r="C90" s="4">
        <v>751213.02999999991</v>
      </c>
      <c r="D90" s="4">
        <v>0.1</v>
      </c>
      <c r="E90" s="4">
        <v>0</v>
      </c>
      <c r="F90" s="4">
        <v>0.04</v>
      </c>
      <c r="G90" s="4">
        <v>87.72</v>
      </c>
      <c r="H90" s="4">
        <v>0</v>
      </c>
      <c r="I90" s="4">
        <v>0</v>
      </c>
      <c r="J90" s="4">
        <v>0.1</v>
      </c>
      <c r="K90" s="4">
        <v>71.849999999999994</v>
      </c>
      <c r="L90" s="4">
        <v>0</v>
      </c>
      <c r="M90" s="4">
        <v>245693.5</v>
      </c>
      <c r="N90" s="4">
        <v>311961.04000000004</v>
      </c>
      <c r="O90" s="4">
        <v>72.929999999999993</v>
      </c>
      <c r="P90" s="4">
        <v>961801.74</v>
      </c>
      <c r="Q90" s="4">
        <v>313557.83999999997</v>
      </c>
      <c r="R90" s="4">
        <v>0</v>
      </c>
      <c r="S90" s="4">
        <v>129327.65</v>
      </c>
      <c r="T90" s="4">
        <v>279509.14</v>
      </c>
      <c r="U90" s="4">
        <v>0</v>
      </c>
      <c r="V90" s="4">
        <v>1692128.5699999998</v>
      </c>
      <c r="W90" s="4">
        <v>655446550.57999992</v>
      </c>
      <c r="X90" s="4">
        <v>663973.01</v>
      </c>
      <c r="Y90" s="4">
        <v>81069906.109999999</v>
      </c>
      <c r="Z90" s="4">
        <v>-3222.84</v>
      </c>
      <c r="AA90" s="4"/>
      <c r="AB90" s="4">
        <v>-7.1522663347423077E-9</v>
      </c>
      <c r="AC90" s="4">
        <v>70147.38</v>
      </c>
      <c r="AD90" s="4">
        <v>2334219.33</v>
      </c>
      <c r="AE90" s="4">
        <v>0</v>
      </c>
      <c r="AF90" s="4">
        <v>137803.41</v>
      </c>
      <c r="AG90" s="4">
        <v>0</v>
      </c>
      <c r="AH90" s="4">
        <v>332246.26</v>
      </c>
      <c r="AI90" s="4">
        <v>392138.36000000004</v>
      </c>
      <c r="AJ90" s="4">
        <v>0</v>
      </c>
      <c r="AK90" s="4">
        <v>1247672.1499999999</v>
      </c>
      <c r="AL90" s="4">
        <v>0</v>
      </c>
      <c r="AM90" s="4">
        <v>21801.269999999997</v>
      </c>
      <c r="AN90" s="4">
        <v>0</v>
      </c>
      <c r="AO90" s="4">
        <v>646546.59000000008</v>
      </c>
      <c r="AP90" s="4">
        <v>0</v>
      </c>
      <c r="AQ90" s="4">
        <v>49932.31</v>
      </c>
      <c r="AR90" s="4">
        <v>970694.4</v>
      </c>
      <c r="AS90" s="4">
        <v>0</v>
      </c>
      <c r="AT90" s="4">
        <v>30.03</v>
      </c>
      <c r="AU90" s="4">
        <v>0</v>
      </c>
      <c r="AV90" s="4">
        <v>918834.36</v>
      </c>
      <c r="AW90" s="4">
        <v>4009241.6399999997</v>
      </c>
      <c r="AX90" s="4">
        <v>5102018.74</v>
      </c>
      <c r="AY90" s="4">
        <v>2552015.1799999997</v>
      </c>
      <c r="AZ90" s="4">
        <v>0</v>
      </c>
      <c r="BA90" s="4">
        <v>4542405.96</v>
      </c>
      <c r="BB90" s="4">
        <f t="shared" si="10"/>
        <v>765190379.47999978</v>
      </c>
    </row>
    <row r="91" spans="1:90" x14ac:dyDescent="0.2">
      <c r="A91" s="3">
        <v>43770</v>
      </c>
      <c r="B91" s="4">
        <v>0</v>
      </c>
      <c r="C91" s="4">
        <v>743114.47</v>
      </c>
      <c r="D91" s="4">
        <v>0</v>
      </c>
      <c r="E91" s="4">
        <v>0</v>
      </c>
      <c r="F91" s="4">
        <v>0.04</v>
      </c>
      <c r="G91" s="4">
        <v>107.45</v>
      </c>
      <c r="H91" s="4">
        <v>0</v>
      </c>
      <c r="I91" s="4">
        <v>0</v>
      </c>
      <c r="J91" s="4">
        <v>334.52</v>
      </c>
      <c r="K91" s="4">
        <v>482.51</v>
      </c>
      <c r="L91" s="4">
        <v>0</v>
      </c>
      <c r="M91" s="4">
        <v>255785.14</v>
      </c>
      <c r="N91" s="4">
        <v>279829.74</v>
      </c>
      <c r="O91" s="4">
        <v>136.94</v>
      </c>
      <c r="P91" s="4">
        <v>979910.8600000001</v>
      </c>
      <c r="Q91" s="4">
        <v>320548.92000000004</v>
      </c>
      <c r="R91" s="4">
        <v>0</v>
      </c>
      <c r="S91" s="4">
        <v>121842.67</v>
      </c>
      <c r="T91" s="4">
        <v>161255.06</v>
      </c>
      <c r="U91" s="4">
        <v>0</v>
      </c>
      <c r="V91" s="4">
        <v>1770599.0399999998</v>
      </c>
      <c r="W91" s="4">
        <v>661374106.20000005</v>
      </c>
      <c r="X91" s="4">
        <v>601271.53</v>
      </c>
      <c r="Y91" s="4">
        <v>82157966.390000001</v>
      </c>
      <c r="Z91" s="4">
        <v>4004.8299999999995</v>
      </c>
      <c r="AA91" s="4"/>
      <c r="AB91" s="4">
        <v>-2.382876118645072E-9</v>
      </c>
      <c r="AC91" s="4">
        <v>71878.020000000019</v>
      </c>
      <c r="AD91" s="4">
        <v>2369027.0199999996</v>
      </c>
      <c r="AE91" s="4">
        <v>0</v>
      </c>
      <c r="AF91" s="4">
        <v>138084.57999999999</v>
      </c>
      <c r="AG91" s="4">
        <v>0</v>
      </c>
      <c r="AH91" s="4">
        <v>339443.34</v>
      </c>
      <c r="AI91" s="4">
        <v>371188.10000000003</v>
      </c>
      <c r="AJ91" s="4">
        <v>0</v>
      </c>
      <c r="AK91" s="4">
        <v>1207157.3500000001</v>
      </c>
      <c r="AL91" s="4">
        <v>0</v>
      </c>
      <c r="AM91" s="4">
        <v>22086.38</v>
      </c>
      <c r="AN91" s="4">
        <v>0</v>
      </c>
      <c r="AO91" s="4">
        <v>641517.17000000004</v>
      </c>
      <c r="AP91" s="4">
        <v>0</v>
      </c>
      <c r="AQ91" s="4">
        <v>52667.240000000005</v>
      </c>
      <c r="AR91" s="4">
        <v>1083365.54</v>
      </c>
      <c r="AS91" s="4">
        <v>0</v>
      </c>
      <c r="AT91" s="4">
        <v>29.85</v>
      </c>
      <c r="AU91" s="4">
        <v>0</v>
      </c>
      <c r="AV91" s="4">
        <v>861577.05</v>
      </c>
      <c r="AW91" s="4">
        <v>3975933.7100000004</v>
      </c>
      <c r="AX91" s="4">
        <v>5353879.6500000004</v>
      </c>
      <c r="AY91" s="4">
        <v>2681135.25</v>
      </c>
      <c r="AZ91" s="4">
        <v>0</v>
      </c>
      <c r="BA91" s="4">
        <v>4802659.93</v>
      </c>
      <c r="BB91" s="4">
        <f t="shared" si="10"/>
        <v>772742926.49000001</v>
      </c>
    </row>
    <row r="92" spans="1:90" x14ac:dyDescent="0.2">
      <c r="A92" s="3">
        <v>43800</v>
      </c>
      <c r="B92" s="4">
        <v>0</v>
      </c>
      <c r="C92" s="4">
        <v>958401.59</v>
      </c>
      <c r="D92" s="4">
        <v>0</v>
      </c>
      <c r="E92" s="4">
        <v>0</v>
      </c>
      <c r="F92" s="4">
        <v>0.04</v>
      </c>
      <c r="G92" s="4">
        <v>264.54999999999995</v>
      </c>
      <c r="H92" s="4">
        <v>0</v>
      </c>
      <c r="I92" s="4">
        <v>0</v>
      </c>
      <c r="J92" s="4">
        <v>110.32000000000001</v>
      </c>
      <c r="K92" s="4">
        <v>115.02</v>
      </c>
      <c r="L92" s="4">
        <v>0</v>
      </c>
      <c r="M92" s="4">
        <v>398798.58999999997</v>
      </c>
      <c r="N92" s="4">
        <v>426212.92000000004</v>
      </c>
      <c r="O92" s="4">
        <v>199.64000000000001</v>
      </c>
      <c r="P92" s="4">
        <v>1284322.5999999999</v>
      </c>
      <c r="Q92" s="4">
        <v>442805.3899999999</v>
      </c>
      <c r="R92" s="4">
        <v>0</v>
      </c>
      <c r="S92" s="4">
        <v>182325.77999999997</v>
      </c>
      <c r="T92" s="4">
        <v>225124.70999999993</v>
      </c>
      <c r="U92" s="4">
        <v>0</v>
      </c>
      <c r="V92" s="4">
        <v>2062421.8</v>
      </c>
      <c r="W92" s="4">
        <v>834022605.11000001</v>
      </c>
      <c r="X92" s="4">
        <v>424382.8600000001</v>
      </c>
      <c r="Y92" s="4">
        <v>112223016.79999998</v>
      </c>
      <c r="Z92" s="4">
        <v>14897107.609999999</v>
      </c>
      <c r="AA92" s="4"/>
      <c r="AB92" s="4">
        <v>2.8870999813079834E-8</v>
      </c>
      <c r="AC92" s="4">
        <v>103137.88999999998</v>
      </c>
      <c r="AD92" s="4">
        <v>3263988.58</v>
      </c>
      <c r="AE92" s="4">
        <v>0</v>
      </c>
      <c r="AF92" s="4">
        <v>190984.93</v>
      </c>
      <c r="AG92" s="4">
        <v>0</v>
      </c>
      <c r="AH92" s="4">
        <v>420367.63000000006</v>
      </c>
      <c r="AI92" s="4">
        <v>459215.25</v>
      </c>
      <c r="AJ92" s="4">
        <v>0</v>
      </c>
      <c r="AK92" s="4">
        <v>1308272.44</v>
      </c>
      <c r="AL92" s="4">
        <v>0</v>
      </c>
      <c r="AM92" s="4">
        <v>36269.870000000003</v>
      </c>
      <c r="AN92" s="4">
        <v>0</v>
      </c>
      <c r="AO92" s="4">
        <v>751431.1100000001</v>
      </c>
      <c r="AP92" s="4">
        <v>0</v>
      </c>
      <c r="AQ92" s="4">
        <v>60826.190000000017</v>
      </c>
      <c r="AR92" s="4">
        <v>1189480.7900000003</v>
      </c>
      <c r="AS92" s="4">
        <v>0</v>
      </c>
      <c r="AT92" s="4">
        <v>30.44</v>
      </c>
      <c r="AU92" s="4">
        <v>0</v>
      </c>
      <c r="AV92" s="4">
        <v>1159087.25</v>
      </c>
      <c r="AW92" s="4">
        <v>5830213.8500000006</v>
      </c>
      <c r="AX92" s="4">
        <v>6367963.2199999997</v>
      </c>
      <c r="AY92" s="4">
        <v>3186325.47</v>
      </c>
      <c r="AZ92" s="4">
        <v>0</v>
      </c>
      <c r="BA92" s="4">
        <v>4003713.42</v>
      </c>
      <c r="BB92" s="4">
        <f t="shared" si="10"/>
        <v>995879523.66000021</v>
      </c>
    </row>
    <row r="93" spans="1:90" s="9" customFormat="1" ht="15.75" thickBot="1" x14ac:dyDescent="0.25">
      <c r="A93" s="1" t="s">
        <v>174</v>
      </c>
      <c r="B93" s="5">
        <f>SUM(B81:B92)</f>
        <v>0</v>
      </c>
      <c r="C93" s="5">
        <f t="shared" ref="C93:BB93" si="11">SUM(C81:C92)</f>
        <v>9712526.1400000006</v>
      </c>
      <c r="D93" s="5">
        <f t="shared" si="11"/>
        <v>128.05999999999997</v>
      </c>
      <c r="E93" s="5">
        <f t="shared" si="11"/>
        <v>0</v>
      </c>
      <c r="F93" s="5">
        <f t="shared" si="11"/>
        <v>45.36999999999999</v>
      </c>
      <c r="G93" s="5">
        <f t="shared" si="11"/>
        <v>158973.04000000004</v>
      </c>
      <c r="H93" s="5">
        <f t="shared" si="11"/>
        <v>0</v>
      </c>
      <c r="I93" s="5">
        <f t="shared" si="11"/>
        <v>0</v>
      </c>
      <c r="J93" s="5">
        <f t="shared" si="11"/>
        <v>1135.8700000000001</v>
      </c>
      <c r="K93" s="5">
        <f t="shared" si="11"/>
        <v>2706.3299999999995</v>
      </c>
      <c r="L93" s="5">
        <f t="shared" si="11"/>
        <v>0</v>
      </c>
      <c r="M93" s="5">
        <f t="shared" si="11"/>
        <v>3494184.8899999997</v>
      </c>
      <c r="N93" s="5">
        <f t="shared" si="11"/>
        <v>3865836.7199999997</v>
      </c>
      <c r="O93" s="5">
        <f t="shared" si="11"/>
        <v>3263.2400000000002</v>
      </c>
      <c r="P93" s="5">
        <f t="shared" si="11"/>
        <v>12347449.75</v>
      </c>
      <c r="Q93" s="5">
        <f t="shared" si="11"/>
        <v>4157221.41</v>
      </c>
      <c r="R93" s="5">
        <f t="shared" si="11"/>
        <v>0</v>
      </c>
      <c r="S93" s="5">
        <f t="shared" si="11"/>
        <v>2024448.34</v>
      </c>
      <c r="T93" s="5">
        <f t="shared" si="11"/>
        <v>2759523.21</v>
      </c>
      <c r="U93" s="5">
        <f t="shared" si="11"/>
        <v>0</v>
      </c>
      <c r="V93" s="5">
        <f t="shared" si="11"/>
        <v>22282708.879999999</v>
      </c>
      <c r="W93" s="5">
        <f t="shared" si="11"/>
        <v>8228694174.4799986</v>
      </c>
      <c r="X93" s="5">
        <f t="shared" si="11"/>
        <v>8068133.9300000006</v>
      </c>
      <c r="Y93" s="5">
        <f t="shared" si="11"/>
        <v>1064082202.59</v>
      </c>
      <c r="Z93" s="5">
        <f t="shared" si="11"/>
        <v>55711747.54999999</v>
      </c>
      <c r="AA93" s="5"/>
      <c r="AB93" s="5">
        <f t="shared" si="11"/>
        <v>1.3603857951238751E-7</v>
      </c>
      <c r="AC93" s="5">
        <f t="shared" si="11"/>
        <v>1105433.3899999999</v>
      </c>
      <c r="AD93" s="5">
        <f t="shared" si="11"/>
        <v>31021848.539999999</v>
      </c>
      <c r="AE93" s="5">
        <f t="shared" si="11"/>
        <v>0</v>
      </c>
      <c r="AF93" s="5">
        <f t="shared" si="11"/>
        <v>1797043.0099999998</v>
      </c>
      <c r="AG93" s="5">
        <f t="shared" si="11"/>
        <v>0</v>
      </c>
      <c r="AH93" s="5">
        <f t="shared" si="11"/>
        <v>4328514.43</v>
      </c>
      <c r="AI93" s="5">
        <f t="shared" si="11"/>
        <v>4836069.8099999996</v>
      </c>
      <c r="AJ93" s="5">
        <f t="shared" si="11"/>
        <v>0</v>
      </c>
      <c r="AK93" s="5">
        <f t="shared" si="11"/>
        <v>14508694.539999997</v>
      </c>
      <c r="AL93" s="5">
        <f t="shared" si="11"/>
        <v>0</v>
      </c>
      <c r="AM93" s="5">
        <f t="shared" si="11"/>
        <v>351432.46</v>
      </c>
      <c r="AN93" s="5">
        <f t="shared" si="11"/>
        <v>0</v>
      </c>
      <c r="AO93" s="5">
        <f t="shared" si="11"/>
        <v>8079754.0699999994</v>
      </c>
      <c r="AP93" s="5">
        <f t="shared" si="11"/>
        <v>0</v>
      </c>
      <c r="AQ93" s="5">
        <f t="shared" si="11"/>
        <v>674690.57</v>
      </c>
      <c r="AR93" s="5">
        <f t="shared" si="11"/>
        <v>13422385.930000002</v>
      </c>
      <c r="AS93" s="5">
        <f t="shared" si="11"/>
        <v>0</v>
      </c>
      <c r="AT93" s="5">
        <f t="shared" si="11"/>
        <v>491.46</v>
      </c>
      <c r="AU93" s="5">
        <f t="shared" si="11"/>
        <v>0</v>
      </c>
      <c r="AV93" s="5">
        <f t="shared" si="11"/>
        <v>11170062.98</v>
      </c>
      <c r="AW93" s="5">
        <f t="shared" si="11"/>
        <v>52284600.359999999</v>
      </c>
      <c r="AX93" s="5">
        <f t="shared" si="11"/>
        <v>65566631.149999999</v>
      </c>
      <c r="AY93" s="5">
        <f t="shared" si="11"/>
        <v>32868317.280000001</v>
      </c>
      <c r="AZ93" s="5">
        <f t="shared" si="11"/>
        <v>0</v>
      </c>
      <c r="BA93" s="5">
        <f t="shared" si="11"/>
        <v>52503122.93</v>
      </c>
      <c r="BB93" s="5">
        <f t="shared" si="11"/>
        <v>9711885502.7099991</v>
      </c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</row>
    <row r="94" spans="1:90" ht="15.75" thickTop="1" x14ac:dyDescent="0.2"/>
    <row r="95" spans="1:90" x14ac:dyDescent="0.2">
      <c r="A95" s="3">
        <v>43101</v>
      </c>
      <c r="B95" s="4">
        <v>0</v>
      </c>
      <c r="C95" s="4">
        <v>728887.79</v>
      </c>
      <c r="D95" s="4">
        <v>0</v>
      </c>
      <c r="E95" s="4">
        <v>0</v>
      </c>
      <c r="F95" s="4">
        <v>4.76</v>
      </c>
      <c r="G95" s="4">
        <v>1371.4</v>
      </c>
      <c r="H95" s="4">
        <v>0</v>
      </c>
      <c r="I95" s="4">
        <v>0</v>
      </c>
      <c r="J95" s="4">
        <v>0.15</v>
      </c>
      <c r="K95" s="4">
        <v>510.7</v>
      </c>
      <c r="L95" s="4">
        <v>0</v>
      </c>
      <c r="M95" s="4">
        <v>242565.64999999997</v>
      </c>
      <c r="N95" s="4">
        <v>284501.11000000004</v>
      </c>
      <c r="O95" s="4">
        <v>118.60999999999999</v>
      </c>
      <c r="P95" s="4">
        <v>859415.41000000015</v>
      </c>
      <c r="Q95" s="4">
        <v>293574.59999999998</v>
      </c>
      <c r="R95" s="4">
        <v>0</v>
      </c>
      <c r="S95" s="4">
        <v>192557.49</v>
      </c>
      <c r="T95" s="4">
        <v>153315.64000000001</v>
      </c>
      <c r="U95" s="4">
        <v>0</v>
      </c>
      <c r="V95" s="4">
        <v>1657103.5899999999</v>
      </c>
      <c r="W95" s="4">
        <v>643134927.83000004</v>
      </c>
      <c r="X95" s="4">
        <v>456351.74</v>
      </c>
      <c r="Y95" s="4">
        <v>79109943.169999987</v>
      </c>
      <c r="Z95" s="4">
        <v>-84817.39</v>
      </c>
      <c r="AA95" s="4"/>
      <c r="AB95" s="4">
        <v>-1.6691046766936779E-8</v>
      </c>
      <c r="AC95" s="4">
        <v>107857.07</v>
      </c>
      <c r="AD95" s="4">
        <v>2242238.4299999997</v>
      </c>
      <c r="AE95" s="4">
        <v>0</v>
      </c>
      <c r="AF95" s="4">
        <v>130108.84</v>
      </c>
      <c r="AG95" s="4">
        <v>0</v>
      </c>
      <c r="AH95" s="4">
        <v>364781.91</v>
      </c>
      <c r="AI95" s="4">
        <v>395814.61000000004</v>
      </c>
      <c r="AJ95" s="4">
        <v>0</v>
      </c>
      <c r="AK95" s="4">
        <v>1098130.3699999999</v>
      </c>
      <c r="AL95" s="4">
        <v>0</v>
      </c>
      <c r="AM95" s="4">
        <v>30323.810000000005</v>
      </c>
      <c r="AN95" s="4">
        <v>0</v>
      </c>
      <c r="AO95" s="4">
        <v>593580.49</v>
      </c>
      <c r="AP95" s="4">
        <v>0</v>
      </c>
      <c r="AQ95" s="4">
        <v>54816.159999999996</v>
      </c>
      <c r="AR95" s="4">
        <v>859900.6</v>
      </c>
      <c r="AS95" s="4">
        <v>0</v>
      </c>
      <c r="AT95" s="4">
        <v>32.630000000000003</v>
      </c>
      <c r="AU95" s="4">
        <v>0</v>
      </c>
      <c r="AV95" s="4">
        <v>779795.12</v>
      </c>
      <c r="AW95" s="4">
        <v>4576957.26</v>
      </c>
      <c r="AX95" s="4">
        <v>5342722.0199999996</v>
      </c>
      <c r="AY95" s="4">
        <v>2673488.1900000004</v>
      </c>
      <c r="AZ95" s="4">
        <v>0</v>
      </c>
      <c r="BA95" s="4">
        <v>4150856.25</v>
      </c>
      <c r="BB95" s="4">
        <f>SUM(B95:BA95)</f>
        <v>750431736.00999999</v>
      </c>
    </row>
    <row r="96" spans="1:90" x14ac:dyDescent="0.2">
      <c r="A96" s="3">
        <v>43132</v>
      </c>
      <c r="B96" s="4">
        <v>0</v>
      </c>
      <c r="C96" s="4">
        <v>640331.73</v>
      </c>
      <c r="D96" s="4">
        <v>181.85</v>
      </c>
      <c r="E96" s="4">
        <v>0</v>
      </c>
      <c r="F96" s="4">
        <v>81.64</v>
      </c>
      <c r="G96" s="4">
        <v>2542.9299999999998</v>
      </c>
      <c r="H96" s="4">
        <v>0</v>
      </c>
      <c r="I96" s="4">
        <v>0</v>
      </c>
      <c r="J96" s="4">
        <v>158.16</v>
      </c>
      <c r="K96" s="4">
        <v>120.63</v>
      </c>
      <c r="L96" s="4">
        <v>0</v>
      </c>
      <c r="M96" s="4">
        <v>207697.46</v>
      </c>
      <c r="N96" s="4">
        <v>250437.78000000003</v>
      </c>
      <c r="O96" s="4">
        <v>1430.99</v>
      </c>
      <c r="P96" s="4">
        <v>751327.51</v>
      </c>
      <c r="Q96" s="4">
        <v>255200.83000000002</v>
      </c>
      <c r="R96" s="4">
        <v>0</v>
      </c>
      <c r="S96" s="4">
        <v>160883.02000000002</v>
      </c>
      <c r="T96" s="4">
        <v>94736.459999999992</v>
      </c>
      <c r="U96" s="4">
        <v>0</v>
      </c>
      <c r="V96" s="4">
        <v>1416350.78</v>
      </c>
      <c r="W96" s="4">
        <v>532830096.19999999</v>
      </c>
      <c r="X96" s="4">
        <v>403860.69000000006</v>
      </c>
      <c r="Y96" s="4">
        <v>66178891.410000011</v>
      </c>
      <c r="Z96" s="4">
        <v>16082.770000000008</v>
      </c>
      <c r="AA96" s="4"/>
      <c r="AB96" s="4">
        <v>1.6691046766936779E-8</v>
      </c>
      <c r="AC96" s="4">
        <v>88100.24</v>
      </c>
      <c r="AD96" s="4">
        <v>1916961.9000000001</v>
      </c>
      <c r="AE96" s="4">
        <v>0</v>
      </c>
      <c r="AF96" s="4">
        <v>93726.76999999999</v>
      </c>
      <c r="AG96" s="4">
        <v>0</v>
      </c>
      <c r="AH96" s="4">
        <v>310591.02999999997</v>
      </c>
      <c r="AI96" s="4">
        <v>324708.79000000004</v>
      </c>
      <c r="AJ96" s="4">
        <v>0</v>
      </c>
      <c r="AK96" s="4">
        <v>942651.08000000007</v>
      </c>
      <c r="AL96" s="4">
        <v>0</v>
      </c>
      <c r="AM96" s="4">
        <v>26006.27</v>
      </c>
      <c r="AN96" s="4">
        <v>0</v>
      </c>
      <c r="AO96" s="4">
        <v>513592.24</v>
      </c>
      <c r="AP96" s="4">
        <v>0</v>
      </c>
      <c r="AQ96" s="4">
        <v>51432.820000000007</v>
      </c>
      <c r="AR96" s="4">
        <v>738001.26</v>
      </c>
      <c r="AS96" s="4">
        <v>0</v>
      </c>
      <c r="AT96" s="4">
        <v>33.65</v>
      </c>
      <c r="AU96" s="4">
        <v>0</v>
      </c>
      <c r="AV96" s="4">
        <v>677050.6</v>
      </c>
      <c r="AW96" s="4">
        <v>3894573.76</v>
      </c>
      <c r="AX96" s="4">
        <v>4647768.0199999996</v>
      </c>
      <c r="AY96" s="4">
        <v>2327892.1500000004</v>
      </c>
      <c r="AZ96" s="4">
        <v>0</v>
      </c>
      <c r="BA96" s="4">
        <v>3439285.5999999996</v>
      </c>
      <c r="BB96" s="4">
        <f t="shared" ref="BB96:BB106" si="12">SUM(B96:BA96)</f>
        <v>623202789.01999986</v>
      </c>
    </row>
    <row r="97" spans="1:54" x14ac:dyDescent="0.2">
      <c r="A97" s="3">
        <v>43160</v>
      </c>
      <c r="B97" s="4">
        <v>0</v>
      </c>
      <c r="C97" s="4">
        <v>806562.44000000006</v>
      </c>
      <c r="D97" s="4">
        <v>-0.84</v>
      </c>
      <c r="E97" s="4">
        <v>0</v>
      </c>
      <c r="F97" s="4">
        <v>-10.81</v>
      </c>
      <c r="G97" s="4">
        <v>470.15</v>
      </c>
      <c r="H97" s="4">
        <v>0</v>
      </c>
      <c r="I97" s="4">
        <v>0</v>
      </c>
      <c r="J97" s="4">
        <v>-0.48000000000000009</v>
      </c>
      <c r="K97" s="4">
        <v>193.24</v>
      </c>
      <c r="L97" s="4">
        <v>0</v>
      </c>
      <c r="M97" s="4">
        <v>311439.87</v>
      </c>
      <c r="N97" s="4">
        <v>643500.34</v>
      </c>
      <c r="O97" s="4">
        <v>146.03000000000003</v>
      </c>
      <c r="P97" s="4">
        <v>1061610.95</v>
      </c>
      <c r="Q97" s="4">
        <v>352512.37000000005</v>
      </c>
      <c r="R97" s="4">
        <v>0</v>
      </c>
      <c r="S97" s="4">
        <v>308530.46999999997</v>
      </c>
      <c r="T97" s="4">
        <v>228963.89</v>
      </c>
      <c r="U97" s="4">
        <v>0</v>
      </c>
      <c r="V97" s="4">
        <v>2066677.98</v>
      </c>
      <c r="W97" s="4">
        <v>704182942.55000007</v>
      </c>
      <c r="X97" s="4">
        <v>667658.13</v>
      </c>
      <c r="Y97" s="4">
        <v>94259186.530000016</v>
      </c>
      <c r="Z97" s="4">
        <v>9559209.4399999976</v>
      </c>
      <c r="AA97" s="4"/>
      <c r="AB97" s="4">
        <v>4.6566128730773926E-9</v>
      </c>
      <c r="AC97" s="4">
        <v>121842.48</v>
      </c>
      <c r="AD97" s="4">
        <v>2639875.4900000002</v>
      </c>
      <c r="AE97" s="4">
        <v>0</v>
      </c>
      <c r="AF97" s="4">
        <v>158325.86000000002</v>
      </c>
      <c r="AG97" s="4">
        <v>3.27</v>
      </c>
      <c r="AH97" s="4">
        <v>353184.36000000004</v>
      </c>
      <c r="AI97" s="4">
        <v>201648.00999999992</v>
      </c>
      <c r="AJ97" s="4">
        <v>0</v>
      </c>
      <c r="AK97" s="4">
        <v>1367194.2999999998</v>
      </c>
      <c r="AL97" s="4">
        <v>0</v>
      </c>
      <c r="AM97" s="4">
        <v>49022.47</v>
      </c>
      <c r="AN97" s="4">
        <v>0</v>
      </c>
      <c r="AO97" s="4">
        <v>651809.43000000005</v>
      </c>
      <c r="AP97" s="4">
        <v>0</v>
      </c>
      <c r="AQ97" s="4">
        <v>38040.5</v>
      </c>
      <c r="AR97" s="4">
        <v>971145.92</v>
      </c>
      <c r="AS97" s="4">
        <v>0</v>
      </c>
      <c r="AT97" s="4">
        <v>34.58</v>
      </c>
      <c r="AU97" s="4">
        <v>0</v>
      </c>
      <c r="AV97" s="4">
        <v>1008384.5100000001</v>
      </c>
      <c r="AW97" s="4">
        <v>4013136.3100000005</v>
      </c>
      <c r="AX97" s="4">
        <v>5715555.4700000007</v>
      </c>
      <c r="AY97" s="4">
        <v>2861819.31</v>
      </c>
      <c r="AZ97" s="4">
        <v>0</v>
      </c>
      <c r="BA97" s="4">
        <v>4175528.13</v>
      </c>
      <c r="BB97" s="4">
        <f t="shared" si="12"/>
        <v>838776142.64999986</v>
      </c>
    </row>
    <row r="98" spans="1:54" x14ac:dyDescent="0.2">
      <c r="A98" s="3">
        <v>43191</v>
      </c>
      <c r="B98" s="4">
        <v>0</v>
      </c>
      <c r="C98" s="4">
        <v>706995.11</v>
      </c>
      <c r="D98" s="4">
        <v>0</v>
      </c>
      <c r="E98" s="4">
        <v>0</v>
      </c>
      <c r="F98" s="4">
        <v>10.33</v>
      </c>
      <c r="G98" s="4">
        <v>12680.07</v>
      </c>
      <c r="H98" s="4">
        <v>0</v>
      </c>
      <c r="I98" s="4">
        <v>0</v>
      </c>
      <c r="J98" s="4">
        <v>767.83999999999992</v>
      </c>
      <c r="K98" s="4">
        <v>116.21</v>
      </c>
      <c r="L98" s="4">
        <v>0</v>
      </c>
      <c r="M98" s="4">
        <v>225029.75</v>
      </c>
      <c r="N98" s="4">
        <v>290034.12</v>
      </c>
      <c r="O98" s="4">
        <v>424.18</v>
      </c>
      <c r="P98" s="4">
        <v>849496.85000000009</v>
      </c>
      <c r="Q98" s="4">
        <v>300877.31</v>
      </c>
      <c r="R98" s="4">
        <v>0</v>
      </c>
      <c r="S98" s="4">
        <v>171787.77000000002</v>
      </c>
      <c r="T98" s="4">
        <v>136453.27000000002</v>
      </c>
      <c r="U98" s="4">
        <v>0</v>
      </c>
      <c r="V98" s="4">
        <v>1594137.12</v>
      </c>
      <c r="W98" s="4">
        <v>579218135.75000012</v>
      </c>
      <c r="X98" s="4">
        <v>498965.91</v>
      </c>
      <c r="Y98" s="4">
        <v>73400156.280000001</v>
      </c>
      <c r="Z98" s="4">
        <v>39956.610000000008</v>
      </c>
      <c r="AA98" s="4"/>
      <c r="AB98" s="4">
        <v>0</v>
      </c>
      <c r="AC98" s="4">
        <v>80009.47</v>
      </c>
      <c r="AD98" s="4">
        <v>2311232.7400000002</v>
      </c>
      <c r="AE98" s="4">
        <v>0</v>
      </c>
      <c r="AF98" s="4">
        <v>112134.75</v>
      </c>
      <c r="AG98" s="4">
        <v>0</v>
      </c>
      <c r="AH98" s="4">
        <v>328124.46000000008</v>
      </c>
      <c r="AI98" s="4">
        <v>354924.72</v>
      </c>
      <c r="AJ98" s="4">
        <v>0</v>
      </c>
      <c r="AK98" s="4">
        <v>1053219.29</v>
      </c>
      <c r="AL98" s="4">
        <v>0</v>
      </c>
      <c r="AM98" s="4">
        <v>19566.739999999998</v>
      </c>
      <c r="AN98" s="4">
        <v>0</v>
      </c>
      <c r="AO98" s="4">
        <v>572340.64</v>
      </c>
      <c r="AP98" s="4">
        <v>0</v>
      </c>
      <c r="AQ98" s="4">
        <v>44715.22</v>
      </c>
      <c r="AR98" s="4">
        <v>860557.00000000012</v>
      </c>
      <c r="AS98" s="4">
        <v>0</v>
      </c>
      <c r="AT98" s="4">
        <v>-30.95</v>
      </c>
      <c r="AU98" s="4">
        <v>0</v>
      </c>
      <c r="AV98" s="4">
        <v>776004.46</v>
      </c>
      <c r="AW98" s="4">
        <v>3756334.84</v>
      </c>
      <c r="AX98" s="4">
        <v>4760467.08</v>
      </c>
      <c r="AY98" s="4">
        <v>2398003.7299999995</v>
      </c>
      <c r="AZ98" s="4">
        <v>0</v>
      </c>
      <c r="BA98" s="4">
        <v>4128482.69</v>
      </c>
      <c r="BB98" s="4">
        <f t="shared" si="12"/>
        <v>679002111.36000025</v>
      </c>
    </row>
    <row r="99" spans="1:54" x14ac:dyDescent="0.2">
      <c r="A99" s="3">
        <v>43221</v>
      </c>
      <c r="B99" s="4">
        <v>0</v>
      </c>
      <c r="C99" s="4">
        <v>766781.74</v>
      </c>
      <c r="D99" s="4">
        <v>46.47</v>
      </c>
      <c r="E99" s="4">
        <v>0</v>
      </c>
      <c r="F99" s="4">
        <v>94.21</v>
      </c>
      <c r="G99" s="4">
        <v>1514.4</v>
      </c>
      <c r="H99" s="4">
        <v>0</v>
      </c>
      <c r="I99" s="4">
        <v>0</v>
      </c>
      <c r="J99" s="4">
        <v>753.08</v>
      </c>
      <c r="K99" s="4">
        <v>472.97</v>
      </c>
      <c r="L99" s="4">
        <v>0</v>
      </c>
      <c r="M99" s="4">
        <v>229314.37</v>
      </c>
      <c r="N99" s="4">
        <v>284467.14</v>
      </c>
      <c r="O99" s="4">
        <v>142.82999999999998</v>
      </c>
      <c r="P99" s="4">
        <v>853231.51</v>
      </c>
      <c r="Q99" s="4">
        <v>284604.69999999995</v>
      </c>
      <c r="R99" s="4">
        <v>0</v>
      </c>
      <c r="S99" s="4">
        <v>177616.27000000002</v>
      </c>
      <c r="T99" s="4">
        <v>145447</v>
      </c>
      <c r="U99" s="4">
        <v>0</v>
      </c>
      <c r="V99" s="4">
        <v>1544920.55</v>
      </c>
      <c r="W99" s="4">
        <v>583482359.12</v>
      </c>
      <c r="X99" s="4">
        <v>506988.67</v>
      </c>
      <c r="Y99" s="4">
        <v>73102642.730000019</v>
      </c>
      <c r="Z99" s="4">
        <v>4546.6700000000019</v>
      </c>
      <c r="AA99" s="4"/>
      <c r="AB99" s="4">
        <v>-2.8609065338969231E-8</v>
      </c>
      <c r="AC99" s="4">
        <v>100526.82</v>
      </c>
      <c r="AD99" s="4">
        <v>2261052.4699999997</v>
      </c>
      <c r="AE99" s="4">
        <v>0</v>
      </c>
      <c r="AF99" s="4">
        <v>128995.38000000002</v>
      </c>
      <c r="AG99" s="4">
        <v>0</v>
      </c>
      <c r="AH99" s="4">
        <v>349890.66999999993</v>
      </c>
      <c r="AI99" s="4">
        <v>371769.06999999995</v>
      </c>
      <c r="AJ99" s="4">
        <v>0</v>
      </c>
      <c r="AK99" s="4">
        <v>1068532.19</v>
      </c>
      <c r="AL99" s="4">
        <v>0</v>
      </c>
      <c r="AM99" s="4">
        <v>21296.86</v>
      </c>
      <c r="AN99" s="4">
        <v>0</v>
      </c>
      <c r="AO99" s="4">
        <v>597267.13000000012</v>
      </c>
      <c r="AP99" s="4">
        <v>0</v>
      </c>
      <c r="AQ99" s="4">
        <v>47390.31</v>
      </c>
      <c r="AR99" s="4">
        <v>848612.20000000007</v>
      </c>
      <c r="AS99" s="4">
        <v>0</v>
      </c>
      <c r="AT99" s="4">
        <v>2.42</v>
      </c>
      <c r="AU99" s="4">
        <v>0</v>
      </c>
      <c r="AV99" s="4">
        <v>793424.61</v>
      </c>
      <c r="AW99" s="4">
        <v>3685372.4799999995</v>
      </c>
      <c r="AX99" s="4">
        <v>4754756.41</v>
      </c>
      <c r="AY99" s="4">
        <v>2374949.9999999995</v>
      </c>
      <c r="AZ99" s="4">
        <v>0</v>
      </c>
      <c r="BA99" s="4">
        <v>4353175.25</v>
      </c>
      <c r="BB99" s="4">
        <f t="shared" si="12"/>
        <v>683142958.70000005</v>
      </c>
    </row>
    <row r="100" spans="1:54" x14ac:dyDescent="0.2">
      <c r="A100" s="3">
        <v>43252</v>
      </c>
      <c r="B100" s="4">
        <v>0</v>
      </c>
      <c r="C100" s="4">
        <v>913113.99000000011</v>
      </c>
      <c r="D100" s="4">
        <v>-0.2</v>
      </c>
      <c r="E100" s="4">
        <v>0</v>
      </c>
      <c r="F100" s="4">
        <v>-0.2</v>
      </c>
      <c r="G100" s="4">
        <v>2485.1000000000004</v>
      </c>
      <c r="H100" s="4">
        <v>0</v>
      </c>
      <c r="I100" s="4">
        <v>0</v>
      </c>
      <c r="J100" s="4">
        <v>440.35999999999996</v>
      </c>
      <c r="K100" s="4">
        <v>7.03</v>
      </c>
      <c r="L100" s="4">
        <v>0</v>
      </c>
      <c r="M100" s="4">
        <v>397728.19</v>
      </c>
      <c r="N100" s="4">
        <v>496675.5199999999</v>
      </c>
      <c r="O100" s="4">
        <v>280.2</v>
      </c>
      <c r="P100" s="4">
        <v>1323584.21</v>
      </c>
      <c r="Q100" s="4">
        <v>511474.61</v>
      </c>
      <c r="R100" s="4">
        <v>0</v>
      </c>
      <c r="S100" s="4">
        <v>283574.55000000005</v>
      </c>
      <c r="T100" s="4">
        <v>373531.79000000004</v>
      </c>
      <c r="U100" s="4">
        <v>0</v>
      </c>
      <c r="V100" s="4">
        <v>2331989.2400000002</v>
      </c>
      <c r="W100" s="4">
        <v>810591211.50000012</v>
      </c>
      <c r="X100" s="4">
        <v>972781.53000000014</v>
      </c>
      <c r="Y100" s="4">
        <v>109944525.66</v>
      </c>
      <c r="Z100" s="4">
        <v>11134278.609999999</v>
      </c>
      <c r="AA100" s="4"/>
      <c r="AB100" s="4">
        <v>0</v>
      </c>
      <c r="AC100" s="4">
        <v>111788.59999999999</v>
      </c>
      <c r="AD100" s="4">
        <v>3054241.74</v>
      </c>
      <c r="AE100" s="4">
        <v>0</v>
      </c>
      <c r="AF100" s="4">
        <v>200881.91000000003</v>
      </c>
      <c r="AG100" s="4">
        <v>0</v>
      </c>
      <c r="AH100" s="4">
        <v>444337.67</v>
      </c>
      <c r="AI100" s="4">
        <v>464625.43</v>
      </c>
      <c r="AJ100" s="4">
        <v>0</v>
      </c>
      <c r="AK100" s="4">
        <v>1523159.3399999999</v>
      </c>
      <c r="AL100" s="4">
        <v>0</v>
      </c>
      <c r="AM100" s="4">
        <v>41075.740000000005</v>
      </c>
      <c r="AN100" s="4">
        <v>0</v>
      </c>
      <c r="AO100" s="4">
        <v>775446.80999999982</v>
      </c>
      <c r="AP100" s="4">
        <v>0</v>
      </c>
      <c r="AQ100" s="4">
        <v>79908.429999999993</v>
      </c>
      <c r="AR100" s="4">
        <v>1265211.81</v>
      </c>
      <c r="AS100" s="4">
        <v>0</v>
      </c>
      <c r="AT100" s="4">
        <v>11.41</v>
      </c>
      <c r="AU100" s="4">
        <v>0</v>
      </c>
      <c r="AV100" s="4">
        <v>1046826.4800000002</v>
      </c>
      <c r="AW100" s="4">
        <v>4653104.5</v>
      </c>
      <c r="AX100" s="4">
        <v>6206947.2800000003</v>
      </c>
      <c r="AY100" s="4">
        <v>3104055.7900000005</v>
      </c>
      <c r="AZ100" s="4">
        <v>0</v>
      </c>
      <c r="BA100" s="4">
        <v>4725764.9099999992</v>
      </c>
      <c r="BB100" s="4">
        <f t="shared" si="12"/>
        <v>966975069.53999972</v>
      </c>
    </row>
    <row r="101" spans="1:54" x14ac:dyDescent="0.2">
      <c r="A101" s="3">
        <v>43282</v>
      </c>
      <c r="B101" s="4">
        <v>0</v>
      </c>
      <c r="C101" s="4">
        <v>698095.2</v>
      </c>
      <c r="D101" s="4">
        <v>0</v>
      </c>
      <c r="E101" s="4">
        <v>0</v>
      </c>
      <c r="F101" s="4">
        <v>160.34</v>
      </c>
      <c r="G101" s="4">
        <v>1839.1</v>
      </c>
      <c r="H101" s="4">
        <v>0</v>
      </c>
      <c r="I101" s="4">
        <v>0</v>
      </c>
      <c r="J101" s="4">
        <v>0.1</v>
      </c>
      <c r="K101" s="4">
        <v>6</v>
      </c>
      <c r="L101" s="4">
        <v>0</v>
      </c>
      <c r="M101" s="4">
        <v>255842.31999999995</v>
      </c>
      <c r="N101" s="4">
        <v>287479.03000000003</v>
      </c>
      <c r="O101" s="4">
        <v>199.9</v>
      </c>
      <c r="P101" s="4">
        <v>962029.10000000009</v>
      </c>
      <c r="Q101" s="4">
        <v>321942.21999999997</v>
      </c>
      <c r="R101" s="4">
        <v>0</v>
      </c>
      <c r="S101" s="4">
        <v>175750.85</v>
      </c>
      <c r="T101" s="4">
        <v>166634.94999999998</v>
      </c>
      <c r="U101" s="4">
        <v>0</v>
      </c>
      <c r="V101" s="4">
        <v>1575620.84</v>
      </c>
      <c r="W101" s="4">
        <v>576112199.98999989</v>
      </c>
      <c r="X101" s="4">
        <v>839074.29</v>
      </c>
      <c r="Y101" s="4">
        <v>74781100.309999987</v>
      </c>
      <c r="Z101" s="4">
        <v>62523.8</v>
      </c>
      <c r="AA101" s="4"/>
      <c r="AB101" s="4">
        <v>4.765752237290144E-9</v>
      </c>
      <c r="AC101" s="4">
        <v>71750.559999999998</v>
      </c>
      <c r="AD101" s="4">
        <v>2321888.5</v>
      </c>
      <c r="AE101" s="4">
        <v>0</v>
      </c>
      <c r="AF101" s="4">
        <v>126279.97999999998</v>
      </c>
      <c r="AG101" s="4">
        <v>0</v>
      </c>
      <c r="AH101" s="4">
        <v>364981.61000000004</v>
      </c>
      <c r="AI101" s="4">
        <v>361599.38</v>
      </c>
      <c r="AJ101" s="4">
        <v>0</v>
      </c>
      <c r="AK101" s="4">
        <v>1132622.3999999999</v>
      </c>
      <c r="AL101" s="4">
        <v>0</v>
      </c>
      <c r="AM101" s="4">
        <v>21769.809999999998</v>
      </c>
      <c r="AN101" s="4">
        <v>0</v>
      </c>
      <c r="AO101" s="4">
        <v>612978.48</v>
      </c>
      <c r="AP101" s="4">
        <v>0</v>
      </c>
      <c r="AQ101" s="4">
        <v>44071.16</v>
      </c>
      <c r="AR101" s="4">
        <v>1228489.06</v>
      </c>
      <c r="AS101" s="4">
        <v>0</v>
      </c>
      <c r="AT101" s="4">
        <v>12.03</v>
      </c>
      <c r="AU101" s="4">
        <v>0</v>
      </c>
      <c r="AV101" s="4">
        <v>826462.34</v>
      </c>
      <c r="AW101" s="4">
        <v>4163747.2899999996</v>
      </c>
      <c r="AX101" s="4">
        <v>4931028.9700000007</v>
      </c>
      <c r="AY101" s="4">
        <v>2468364.7999999998</v>
      </c>
      <c r="AZ101" s="4">
        <v>0</v>
      </c>
      <c r="BA101" s="4">
        <v>4678787.6099999994</v>
      </c>
      <c r="BB101" s="4">
        <f t="shared" si="12"/>
        <v>679595332.31999958</v>
      </c>
    </row>
    <row r="102" spans="1:54" x14ac:dyDescent="0.2">
      <c r="A102" s="3">
        <v>43313</v>
      </c>
      <c r="B102" s="4">
        <v>0</v>
      </c>
      <c r="C102" s="4">
        <v>689510.22000000009</v>
      </c>
      <c r="D102" s="4">
        <v>0</v>
      </c>
      <c r="E102" s="4">
        <v>0</v>
      </c>
      <c r="F102" s="4">
        <v>32.409999999999997</v>
      </c>
      <c r="G102" s="4">
        <v>3692.52</v>
      </c>
      <c r="H102" s="4">
        <v>0</v>
      </c>
      <c r="I102" s="4">
        <v>0</v>
      </c>
      <c r="J102" s="4">
        <v>0.16</v>
      </c>
      <c r="K102" s="4">
        <v>419.62</v>
      </c>
      <c r="L102" s="4">
        <v>0</v>
      </c>
      <c r="M102" s="4">
        <v>243592.31</v>
      </c>
      <c r="N102" s="4">
        <v>284005.02</v>
      </c>
      <c r="O102" s="4">
        <v>489.53000000000003</v>
      </c>
      <c r="P102" s="4">
        <v>888518.34999999986</v>
      </c>
      <c r="Q102" s="4">
        <v>301280.88</v>
      </c>
      <c r="R102" s="4">
        <v>0</v>
      </c>
      <c r="S102" s="4">
        <v>171817.69</v>
      </c>
      <c r="T102" s="4">
        <v>234315.84999999998</v>
      </c>
      <c r="U102" s="4">
        <v>0</v>
      </c>
      <c r="V102" s="4">
        <v>1615058.31</v>
      </c>
      <c r="W102" s="4">
        <v>578665742.85000002</v>
      </c>
      <c r="X102" s="4">
        <v>808916.78</v>
      </c>
      <c r="Y102" s="4">
        <v>75133847.569999993</v>
      </c>
      <c r="Z102" s="4">
        <v>87293.87</v>
      </c>
      <c r="AA102" s="4"/>
      <c r="AB102" s="4">
        <v>0</v>
      </c>
      <c r="AC102" s="4">
        <v>71010.59</v>
      </c>
      <c r="AD102" s="4">
        <v>2173080.56</v>
      </c>
      <c r="AE102" s="4">
        <v>0</v>
      </c>
      <c r="AF102" s="4">
        <v>120106.17000000001</v>
      </c>
      <c r="AG102" s="4">
        <v>0</v>
      </c>
      <c r="AH102" s="4">
        <v>319866.90999999997</v>
      </c>
      <c r="AI102" s="4">
        <v>352460.91000000003</v>
      </c>
      <c r="AJ102" s="4">
        <v>0</v>
      </c>
      <c r="AK102" s="4">
        <v>1068323.1500000001</v>
      </c>
      <c r="AL102" s="4">
        <v>0</v>
      </c>
      <c r="AM102" s="4">
        <v>21561.61</v>
      </c>
      <c r="AN102" s="4">
        <v>0</v>
      </c>
      <c r="AO102" s="4">
        <v>592208.25</v>
      </c>
      <c r="AP102" s="4">
        <v>0</v>
      </c>
      <c r="AQ102" s="4">
        <v>48794.920000000006</v>
      </c>
      <c r="AR102" s="4">
        <v>1168378.1000000001</v>
      </c>
      <c r="AS102" s="4">
        <v>0</v>
      </c>
      <c r="AT102" s="4">
        <v>13.07</v>
      </c>
      <c r="AU102" s="4">
        <v>0</v>
      </c>
      <c r="AV102" s="4">
        <v>776811.36</v>
      </c>
      <c r="AW102" s="4">
        <v>3889941.5400000005</v>
      </c>
      <c r="AX102" s="4">
        <v>4930635.8899999997</v>
      </c>
      <c r="AY102" s="4">
        <v>2476678.7999999998</v>
      </c>
      <c r="AZ102" s="4">
        <v>0</v>
      </c>
      <c r="BA102" s="4">
        <v>4451469.43</v>
      </c>
      <c r="BB102" s="4">
        <f t="shared" si="12"/>
        <v>681589875.19999969</v>
      </c>
    </row>
    <row r="103" spans="1:54" x14ac:dyDescent="0.2">
      <c r="A103" s="3">
        <v>43344</v>
      </c>
      <c r="B103" s="4">
        <v>0</v>
      </c>
      <c r="C103" s="4">
        <v>957733.47000000009</v>
      </c>
      <c r="D103" s="4">
        <v>0</v>
      </c>
      <c r="E103" s="4">
        <v>0</v>
      </c>
      <c r="F103" s="4">
        <v>-0.41</v>
      </c>
      <c r="G103" s="4">
        <v>560.62</v>
      </c>
      <c r="H103" s="4">
        <v>0</v>
      </c>
      <c r="I103" s="4">
        <v>0</v>
      </c>
      <c r="J103" s="4">
        <v>0.26</v>
      </c>
      <c r="K103" s="4">
        <v>1524.7700000000002</v>
      </c>
      <c r="L103" s="4">
        <v>0</v>
      </c>
      <c r="M103" s="4">
        <v>350479</v>
      </c>
      <c r="N103" s="4">
        <v>393895.85000000003</v>
      </c>
      <c r="O103" s="4">
        <v>497.13</v>
      </c>
      <c r="P103" s="4">
        <v>1285939.28</v>
      </c>
      <c r="Q103" s="4">
        <v>434309.20000000007</v>
      </c>
      <c r="R103" s="4">
        <v>0</v>
      </c>
      <c r="S103" s="4">
        <v>359362.3</v>
      </c>
      <c r="T103" s="4">
        <v>361756.25999999995</v>
      </c>
      <c r="U103" s="4">
        <v>0</v>
      </c>
      <c r="V103" s="4">
        <v>2304187.0499999998</v>
      </c>
      <c r="W103" s="4">
        <v>781668742.59999979</v>
      </c>
      <c r="X103" s="4">
        <v>1021657.4199999999</v>
      </c>
      <c r="Y103" s="4">
        <v>108233955.67999998</v>
      </c>
      <c r="Z103" s="4">
        <v>15990660.289999999</v>
      </c>
      <c r="AA103" s="4"/>
      <c r="AB103" s="4">
        <v>5.6810677051544189E-8</v>
      </c>
      <c r="AC103" s="4">
        <v>76249.73</v>
      </c>
      <c r="AD103" s="4">
        <v>3089161.62</v>
      </c>
      <c r="AE103" s="4">
        <v>0</v>
      </c>
      <c r="AF103" s="4">
        <v>156314.68999999997</v>
      </c>
      <c r="AG103" s="4">
        <v>0</v>
      </c>
      <c r="AH103" s="4">
        <v>483942.47</v>
      </c>
      <c r="AI103" s="4">
        <v>474628.26999999996</v>
      </c>
      <c r="AJ103" s="4">
        <v>0</v>
      </c>
      <c r="AK103" s="4">
        <v>1539533.82</v>
      </c>
      <c r="AL103" s="4">
        <v>0</v>
      </c>
      <c r="AM103" s="4">
        <v>24751.55</v>
      </c>
      <c r="AN103" s="4">
        <v>0</v>
      </c>
      <c r="AO103" s="4">
        <v>947524.13000000012</v>
      </c>
      <c r="AP103" s="4">
        <v>0</v>
      </c>
      <c r="AQ103" s="4">
        <v>79096.930000000008</v>
      </c>
      <c r="AR103" s="4">
        <v>1663131.4499999997</v>
      </c>
      <c r="AS103" s="4">
        <v>0</v>
      </c>
      <c r="AT103" s="4">
        <v>1.47</v>
      </c>
      <c r="AU103" s="4">
        <v>0</v>
      </c>
      <c r="AV103" s="4">
        <v>1175628.19</v>
      </c>
      <c r="AW103" s="4">
        <v>4160181.1900000004</v>
      </c>
      <c r="AX103" s="4">
        <v>5950142.9900000002</v>
      </c>
      <c r="AY103" s="4">
        <v>2975070.9999999995</v>
      </c>
      <c r="AZ103" s="4">
        <v>0</v>
      </c>
      <c r="BA103" s="4">
        <v>4756627.78</v>
      </c>
      <c r="BB103" s="4">
        <f t="shared" si="12"/>
        <v>940917248.04999983</v>
      </c>
    </row>
    <row r="104" spans="1:54" x14ac:dyDescent="0.2">
      <c r="A104" s="3">
        <v>43374</v>
      </c>
      <c r="B104" s="4">
        <v>0</v>
      </c>
      <c r="C104" s="4">
        <v>688033.22</v>
      </c>
      <c r="D104" s="4">
        <v>0</v>
      </c>
      <c r="E104" s="4">
        <v>0</v>
      </c>
      <c r="F104" s="4">
        <v>0.31</v>
      </c>
      <c r="G104" s="4">
        <v>3546.72</v>
      </c>
      <c r="H104" s="4">
        <v>0</v>
      </c>
      <c r="I104" s="4">
        <v>0</v>
      </c>
      <c r="J104" s="4">
        <v>1.05</v>
      </c>
      <c r="K104" s="4">
        <v>667.27</v>
      </c>
      <c r="L104" s="4">
        <v>0</v>
      </c>
      <c r="M104" s="4">
        <v>235596.77999999997</v>
      </c>
      <c r="N104" s="4">
        <v>270254.74</v>
      </c>
      <c r="O104" s="4">
        <v>657.42000000000007</v>
      </c>
      <c r="P104" s="4">
        <v>949863.51</v>
      </c>
      <c r="Q104" s="4">
        <v>304960.33999999997</v>
      </c>
      <c r="R104" s="4">
        <v>0</v>
      </c>
      <c r="S104" s="4">
        <v>167816.25999999998</v>
      </c>
      <c r="T104" s="4">
        <v>127502.15999999999</v>
      </c>
      <c r="U104" s="4">
        <v>0</v>
      </c>
      <c r="V104" s="4">
        <v>1606060.21</v>
      </c>
      <c r="W104" s="4">
        <v>597083992.25999999</v>
      </c>
      <c r="X104" s="4">
        <v>433602.61</v>
      </c>
      <c r="Y104" s="4">
        <v>75070114.729999989</v>
      </c>
      <c r="Z104" s="4">
        <v>44481.23</v>
      </c>
      <c r="AA104" s="4"/>
      <c r="AB104" s="4">
        <v>-1.4304532669484615E-8</v>
      </c>
      <c r="AC104" s="4">
        <v>64646.28</v>
      </c>
      <c r="AD104" s="4">
        <v>2235269.1799999997</v>
      </c>
      <c r="AE104" s="4">
        <v>0</v>
      </c>
      <c r="AF104" s="4">
        <v>122667.21999999999</v>
      </c>
      <c r="AG104" s="4">
        <v>0</v>
      </c>
      <c r="AH104" s="4">
        <v>291484.49000000005</v>
      </c>
      <c r="AI104" s="4">
        <v>348421.51000000007</v>
      </c>
      <c r="AJ104" s="4">
        <v>0</v>
      </c>
      <c r="AK104" s="4">
        <v>1083786.06</v>
      </c>
      <c r="AL104" s="4">
        <v>0</v>
      </c>
      <c r="AM104" s="4">
        <v>19462.79</v>
      </c>
      <c r="AN104" s="4">
        <v>0</v>
      </c>
      <c r="AO104" s="4">
        <v>651963.94999999995</v>
      </c>
      <c r="AP104" s="4">
        <v>0</v>
      </c>
      <c r="AQ104" s="4">
        <v>44670.99</v>
      </c>
      <c r="AR104" s="4">
        <v>979118.49</v>
      </c>
      <c r="AS104" s="4">
        <v>0</v>
      </c>
      <c r="AT104" s="4">
        <v>17.59</v>
      </c>
      <c r="AU104" s="4">
        <v>0</v>
      </c>
      <c r="AV104" s="4">
        <v>769258.71</v>
      </c>
      <c r="AW104" s="4">
        <v>4044424.7699999996</v>
      </c>
      <c r="AX104" s="4">
        <v>5077831.17</v>
      </c>
      <c r="AY104" s="4">
        <v>2543232.9800000004</v>
      </c>
      <c r="AZ104" s="4">
        <v>0</v>
      </c>
      <c r="BA104" s="4">
        <v>4349813.0199999996</v>
      </c>
      <c r="BB104" s="4">
        <f t="shared" si="12"/>
        <v>699613220.01999998</v>
      </c>
    </row>
    <row r="105" spans="1:54" x14ac:dyDescent="0.2">
      <c r="A105" s="3">
        <v>43405</v>
      </c>
      <c r="B105" s="4">
        <v>0</v>
      </c>
      <c r="C105" s="4">
        <v>706083.07000000007</v>
      </c>
      <c r="D105" s="4">
        <v>0.05</v>
      </c>
      <c r="E105" s="4">
        <v>0</v>
      </c>
      <c r="F105" s="4">
        <v>0.09</v>
      </c>
      <c r="G105" s="4">
        <v>-145334.25999999998</v>
      </c>
      <c r="H105" s="4">
        <v>0</v>
      </c>
      <c r="I105" s="4">
        <v>0</v>
      </c>
      <c r="J105" s="4">
        <v>0.97</v>
      </c>
      <c r="K105" s="4">
        <v>487.98</v>
      </c>
      <c r="L105" s="4">
        <v>0</v>
      </c>
      <c r="M105" s="4">
        <v>237439.84999999998</v>
      </c>
      <c r="N105" s="4">
        <v>272241.11</v>
      </c>
      <c r="O105" s="4">
        <v>284.14</v>
      </c>
      <c r="P105" s="4">
        <v>966490.83000000007</v>
      </c>
      <c r="Q105" s="4">
        <v>306007.02</v>
      </c>
      <c r="R105" s="4">
        <v>0</v>
      </c>
      <c r="S105" s="4">
        <v>168934.51</v>
      </c>
      <c r="T105" s="4">
        <v>139281.4</v>
      </c>
      <c r="U105" s="4">
        <v>0</v>
      </c>
      <c r="V105" s="4">
        <v>1617994.6</v>
      </c>
      <c r="W105" s="4">
        <v>620315165.8499999</v>
      </c>
      <c r="X105" s="4">
        <v>567662.38000000012</v>
      </c>
      <c r="Y105" s="4">
        <v>76966398.030000001</v>
      </c>
      <c r="Z105" s="4">
        <v>14537.18</v>
      </c>
      <c r="AA105" s="4"/>
      <c r="AB105" s="4">
        <v>-4.7675712266936898E-9</v>
      </c>
      <c r="AC105" s="4">
        <v>67998.64</v>
      </c>
      <c r="AD105" s="4">
        <v>2234690.8600000003</v>
      </c>
      <c r="AE105" s="4">
        <v>0</v>
      </c>
      <c r="AF105" s="4">
        <v>122114.86</v>
      </c>
      <c r="AG105" s="4">
        <v>0</v>
      </c>
      <c r="AH105" s="4">
        <v>334821.65999999997</v>
      </c>
      <c r="AI105" s="4">
        <v>354413.43</v>
      </c>
      <c r="AJ105" s="4">
        <v>0</v>
      </c>
      <c r="AK105" s="4">
        <v>1137570.06</v>
      </c>
      <c r="AL105" s="4">
        <v>0</v>
      </c>
      <c r="AM105" s="4">
        <v>19977.849999999999</v>
      </c>
      <c r="AN105" s="4">
        <v>0</v>
      </c>
      <c r="AO105" s="4">
        <v>582953.50999999989</v>
      </c>
      <c r="AP105" s="4">
        <v>0</v>
      </c>
      <c r="AQ105" s="4">
        <v>49182.490000000005</v>
      </c>
      <c r="AR105" s="4">
        <v>1021648.55</v>
      </c>
      <c r="AS105" s="4">
        <v>0</v>
      </c>
      <c r="AT105" s="4">
        <v>2.2999999999999998</v>
      </c>
      <c r="AU105" s="4">
        <v>0</v>
      </c>
      <c r="AV105" s="4">
        <v>784315.06</v>
      </c>
      <c r="AW105" s="4">
        <v>3999814.58</v>
      </c>
      <c r="AX105" s="4">
        <v>4911820.9400000004</v>
      </c>
      <c r="AY105" s="4">
        <v>2460868.17</v>
      </c>
      <c r="AZ105" s="4">
        <v>0</v>
      </c>
      <c r="BA105" s="4">
        <v>4539634.1099999994</v>
      </c>
      <c r="BB105" s="4">
        <f t="shared" si="12"/>
        <v>724755501.86999965</v>
      </c>
    </row>
    <row r="106" spans="1:54" x14ac:dyDescent="0.2">
      <c r="A106" s="3">
        <v>43435</v>
      </c>
      <c r="B106" s="4">
        <v>0</v>
      </c>
      <c r="C106" s="4">
        <v>946726.59999999986</v>
      </c>
      <c r="D106" s="4">
        <v>0.1</v>
      </c>
      <c r="E106" s="4">
        <v>0</v>
      </c>
      <c r="F106" s="4">
        <v>9.9499999999999993</v>
      </c>
      <c r="G106" s="4">
        <v>618.80000000000007</v>
      </c>
      <c r="H106" s="4">
        <v>0</v>
      </c>
      <c r="I106" s="4">
        <v>0</v>
      </c>
      <c r="J106" s="4">
        <v>0.78</v>
      </c>
      <c r="K106" s="4">
        <v>68.44</v>
      </c>
      <c r="L106" s="4">
        <v>0</v>
      </c>
      <c r="M106" s="4">
        <v>348895.44</v>
      </c>
      <c r="N106" s="4">
        <v>285607.70999999996</v>
      </c>
      <c r="O106" s="4">
        <v>-450.87999999999988</v>
      </c>
      <c r="P106" s="4">
        <v>1214809.3599999999</v>
      </c>
      <c r="Q106" s="4">
        <v>418473.89</v>
      </c>
      <c r="R106" s="4">
        <v>0</v>
      </c>
      <c r="S106" s="4">
        <v>178593.92000000019</v>
      </c>
      <c r="T106" s="4">
        <v>332221.23000000004</v>
      </c>
      <c r="U106" s="4">
        <v>0</v>
      </c>
      <c r="V106" s="4">
        <v>2209857.44</v>
      </c>
      <c r="W106" s="4">
        <v>831275858.72000003</v>
      </c>
      <c r="X106" s="4">
        <v>629871.95000000007</v>
      </c>
      <c r="Y106" s="4">
        <v>111969974.21000001</v>
      </c>
      <c r="Z106" s="4">
        <v>12442565.08</v>
      </c>
      <c r="AA106" s="4"/>
      <c r="AB106" s="4">
        <v>5.6810677051544189E-8</v>
      </c>
      <c r="AC106" s="4">
        <v>119437.46</v>
      </c>
      <c r="AD106" s="4">
        <v>3168682.71</v>
      </c>
      <c r="AE106" s="4">
        <v>0</v>
      </c>
      <c r="AF106" s="4">
        <v>186406.40000000005</v>
      </c>
      <c r="AG106" s="4">
        <v>0</v>
      </c>
      <c r="AH106" s="4">
        <v>437236.78999999992</v>
      </c>
      <c r="AI106" s="4">
        <v>446467.67000000004</v>
      </c>
      <c r="AJ106" s="4">
        <v>0</v>
      </c>
      <c r="AK106" s="4">
        <v>1579266.9899999998</v>
      </c>
      <c r="AL106" s="4">
        <v>0</v>
      </c>
      <c r="AM106" s="4">
        <v>34864.470000000008</v>
      </c>
      <c r="AN106" s="4">
        <v>0</v>
      </c>
      <c r="AO106" s="4">
        <v>870196.42000000016</v>
      </c>
      <c r="AP106" s="4">
        <v>0</v>
      </c>
      <c r="AQ106" s="4">
        <v>107809.56000000001</v>
      </c>
      <c r="AR106" s="4">
        <v>1116626.8</v>
      </c>
      <c r="AS106" s="4">
        <v>0</v>
      </c>
      <c r="AT106" s="4">
        <v>11.42</v>
      </c>
      <c r="AU106" s="4">
        <v>0</v>
      </c>
      <c r="AV106" s="4">
        <v>1236293.8700000001</v>
      </c>
      <c r="AW106" s="4">
        <v>4529890.3499999996</v>
      </c>
      <c r="AX106" s="4">
        <v>6822991.4500000002</v>
      </c>
      <c r="AY106" s="4">
        <v>3415021.52</v>
      </c>
      <c r="AZ106" s="4">
        <v>0</v>
      </c>
      <c r="BA106" s="4">
        <v>4331157.59</v>
      </c>
      <c r="BB106" s="4">
        <f t="shared" si="12"/>
        <v>990656064.21000004</v>
      </c>
    </row>
    <row r="107" spans="1:54" ht="15.75" thickBot="1" x14ac:dyDescent="0.25">
      <c r="A107" s="1" t="s">
        <v>173</v>
      </c>
      <c r="B107" s="5">
        <f>SUM(B95:B106)</f>
        <v>0</v>
      </c>
      <c r="C107" s="5">
        <f t="shared" ref="C107:BB107" si="13">SUM(C95:C106)</f>
        <v>9248854.5800000001</v>
      </c>
      <c r="D107" s="5">
        <f t="shared" si="13"/>
        <v>227.43</v>
      </c>
      <c r="E107" s="5">
        <f t="shared" si="13"/>
        <v>0</v>
      </c>
      <c r="F107" s="5">
        <f t="shared" si="13"/>
        <v>382.61999999999989</v>
      </c>
      <c r="G107" s="5">
        <f t="shared" si="13"/>
        <v>-114012.44999999997</v>
      </c>
      <c r="H107" s="5">
        <f t="shared" si="13"/>
        <v>0</v>
      </c>
      <c r="I107" s="5">
        <f t="shared" si="13"/>
        <v>0</v>
      </c>
      <c r="J107" s="5">
        <f t="shared" si="13"/>
        <v>2122.4300000000003</v>
      </c>
      <c r="K107" s="5">
        <f t="shared" si="13"/>
        <v>4594.8599999999997</v>
      </c>
      <c r="L107" s="5">
        <f t="shared" si="13"/>
        <v>0</v>
      </c>
      <c r="M107" s="5">
        <f t="shared" si="13"/>
        <v>3285620.9899999998</v>
      </c>
      <c r="N107" s="5">
        <f t="shared" si="13"/>
        <v>4043099.47</v>
      </c>
      <c r="O107" s="5">
        <f t="shared" si="13"/>
        <v>4220.08</v>
      </c>
      <c r="P107" s="5">
        <f t="shared" si="13"/>
        <v>11966316.869999999</v>
      </c>
      <c r="Q107" s="5">
        <f t="shared" si="13"/>
        <v>4085217.9699999997</v>
      </c>
      <c r="R107" s="5">
        <f t="shared" si="13"/>
        <v>0</v>
      </c>
      <c r="S107" s="5">
        <f t="shared" si="13"/>
        <v>2517225.1</v>
      </c>
      <c r="T107" s="5">
        <f t="shared" si="13"/>
        <v>2494159.9</v>
      </c>
      <c r="U107" s="5">
        <f t="shared" si="13"/>
        <v>0</v>
      </c>
      <c r="V107" s="5">
        <f t="shared" si="13"/>
        <v>21539957.710000005</v>
      </c>
      <c r="W107" s="5">
        <f t="shared" si="13"/>
        <v>7838561375.2200003</v>
      </c>
      <c r="X107" s="5">
        <f t="shared" si="13"/>
        <v>7807392.1000000015</v>
      </c>
      <c r="Y107" s="5">
        <f t="shared" si="13"/>
        <v>1018150736.3099998</v>
      </c>
      <c r="Z107" s="5">
        <f t="shared" si="13"/>
        <v>49311318.159999996</v>
      </c>
      <c r="AA107" s="5"/>
      <c r="AB107" s="5">
        <f t="shared" si="13"/>
        <v>7.536254997830838E-8</v>
      </c>
      <c r="AC107" s="5">
        <f t="shared" si="13"/>
        <v>1081217.94</v>
      </c>
      <c r="AD107" s="5">
        <f t="shared" si="13"/>
        <v>29648376.200000003</v>
      </c>
      <c r="AE107" s="5">
        <f t="shared" si="13"/>
        <v>0</v>
      </c>
      <c r="AF107" s="5">
        <f t="shared" si="13"/>
        <v>1658062.83</v>
      </c>
      <c r="AG107" s="5">
        <f t="shared" si="13"/>
        <v>3.27</v>
      </c>
      <c r="AH107" s="5">
        <f t="shared" si="13"/>
        <v>4383244.03</v>
      </c>
      <c r="AI107" s="5">
        <f t="shared" si="13"/>
        <v>4451481.8000000007</v>
      </c>
      <c r="AJ107" s="5">
        <f t="shared" si="13"/>
        <v>0</v>
      </c>
      <c r="AK107" s="5">
        <f t="shared" si="13"/>
        <v>14593989.050000003</v>
      </c>
      <c r="AL107" s="5">
        <f t="shared" si="13"/>
        <v>0</v>
      </c>
      <c r="AM107" s="5">
        <f t="shared" si="13"/>
        <v>329679.96999999997</v>
      </c>
      <c r="AN107" s="5">
        <f t="shared" si="13"/>
        <v>0</v>
      </c>
      <c r="AO107" s="5">
        <f t="shared" si="13"/>
        <v>7961861.4800000004</v>
      </c>
      <c r="AP107" s="5">
        <f t="shared" si="13"/>
        <v>0</v>
      </c>
      <c r="AQ107" s="5">
        <f t="shared" si="13"/>
        <v>689929.49</v>
      </c>
      <c r="AR107" s="5">
        <f t="shared" si="13"/>
        <v>12720821.24</v>
      </c>
      <c r="AS107" s="5">
        <f t="shared" si="13"/>
        <v>0</v>
      </c>
      <c r="AT107" s="5">
        <f t="shared" si="13"/>
        <v>141.62</v>
      </c>
      <c r="AU107" s="5">
        <f t="shared" si="13"/>
        <v>0</v>
      </c>
      <c r="AV107" s="5">
        <f t="shared" si="13"/>
        <v>10650255.309999999</v>
      </c>
      <c r="AW107" s="5">
        <f t="shared" si="13"/>
        <v>49367478.869999997</v>
      </c>
      <c r="AX107" s="5">
        <f t="shared" si="13"/>
        <v>64052667.690000005</v>
      </c>
      <c r="AY107" s="5">
        <f t="shared" si="13"/>
        <v>32079446.440000001</v>
      </c>
      <c r="AZ107" s="5">
        <f t="shared" si="13"/>
        <v>0</v>
      </c>
      <c r="BA107" s="5">
        <f t="shared" si="13"/>
        <v>52080582.370000005</v>
      </c>
      <c r="BB107" s="5">
        <f t="shared" si="13"/>
        <v>9258658048.9499989</v>
      </c>
    </row>
    <row r="108" spans="1:54" ht="15.75" thickTop="1" x14ac:dyDescent="0.2"/>
    <row r="109" spans="1:54" x14ac:dyDescent="0.2">
      <c r="A109" s="3">
        <v>42736</v>
      </c>
      <c r="B109" s="4">
        <v>0</v>
      </c>
      <c r="C109" s="4">
        <v>722172.18</v>
      </c>
      <c r="D109" s="4">
        <v>0</v>
      </c>
      <c r="E109" s="4">
        <v>0</v>
      </c>
      <c r="F109" s="4">
        <v>2.86</v>
      </c>
      <c r="G109" s="4">
        <v>399.25</v>
      </c>
      <c r="H109" s="4">
        <v>0</v>
      </c>
      <c r="I109" s="4">
        <v>0</v>
      </c>
      <c r="J109" s="4">
        <v>0.6</v>
      </c>
      <c r="K109" s="4">
        <v>165.71</v>
      </c>
      <c r="L109" s="4">
        <v>0</v>
      </c>
      <c r="M109" s="4">
        <v>241944.16</v>
      </c>
      <c r="N109" s="4">
        <v>273647.33</v>
      </c>
      <c r="O109" s="4">
        <v>19.060000000000002</v>
      </c>
      <c r="P109" s="4">
        <v>898088.08</v>
      </c>
      <c r="Q109" s="4">
        <v>290985.38</v>
      </c>
      <c r="R109" s="4">
        <v>0</v>
      </c>
      <c r="S109" s="4">
        <v>194807.85</v>
      </c>
      <c r="T109" s="4">
        <v>99213.35</v>
      </c>
      <c r="U109" s="4">
        <v>0</v>
      </c>
      <c r="V109" s="4">
        <v>1578378.36</v>
      </c>
      <c r="W109" s="4">
        <v>594231058.33000004</v>
      </c>
      <c r="X109" s="4">
        <v>399489.98</v>
      </c>
      <c r="Y109" s="4">
        <v>74444409.409999996</v>
      </c>
      <c r="Z109" s="4">
        <v>3384583.57</v>
      </c>
      <c r="AA109" s="4"/>
      <c r="AB109" s="4">
        <v>0</v>
      </c>
      <c r="AC109" s="4">
        <v>91762.75</v>
      </c>
      <c r="AD109" s="4">
        <v>2221139.37</v>
      </c>
      <c r="AE109" s="4">
        <v>0</v>
      </c>
      <c r="AF109" s="4">
        <v>132562.1</v>
      </c>
      <c r="AG109" s="4">
        <v>0</v>
      </c>
      <c r="AH109" s="4">
        <v>352617.62</v>
      </c>
      <c r="AI109" s="4">
        <v>491098.18</v>
      </c>
      <c r="AJ109" s="4">
        <v>0</v>
      </c>
      <c r="AK109" s="4">
        <v>1333610.04</v>
      </c>
      <c r="AL109" s="4">
        <v>0</v>
      </c>
      <c r="AM109" s="4">
        <v>26436.33</v>
      </c>
      <c r="AN109" s="4">
        <v>0</v>
      </c>
      <c r="AO109" s="4">
        <v>665115.68000000005</v>
      </c>
      <c r="AP109" s="4">
        <v>0</v>
      </c>
      <c r="AQ109" s="4">
        <v>49519.56</v>
      </c>
      <c r="AR109" s="4">
        <v>807426.05</v>
      </c>
      <c r="AS109" s="4">
        <v>0</v>
      </c>
      <c r="AT109" s="4">
        <v>1.31</v>
      </c>
      <c r="AU109" s="4">
        <v>0</v>
      </c>
      <c r="AV109" s="4">
        <v>875464.39</v>
      </c>
      <c r="AW109" s="4">
        <v>4495158.38</v>
      </c>
      <c r="AX109" s="4">
        <v>5000429.76</v>
      </c>
      <c r="AY109" s="4">
        <v>2504004.2999999998</v>
      </c>
      <c r="AZ109" s="4">
        <v>0</v>
      </c>
      <c r="BA109" s="4">
        <v>3886380.56</v>
      </c>
      <c r="BB109" s="4">
        <f>SUM(B109:BA109)</f>
        <v>699692091.83999968</v>
      </c>
    </row>
    <row r="110" spans="1:54" x14ac:dyDescent="0.2">
      <c r="A110" s="3">
        <v>42767</v>
      </c>
      <c r="B110" s="4">
        <v>0</v>
      </c>
      <c r="C110" s="4">
        <v>602299.14</v>
      </c>
      <c r="D110" s="4">
        <v>0</v>
      </c>
      <c r="E110" s="4">
        <v>0</v>
      </c>
      <c r="F110" s="4">
        <v>1107.4100000000001</v>
      </c>
      <c r="G110" s="4">
        <v>2286.1999999999998</v>
      </c>
      <c r="H110" s="4">
        <v>0</v>
      </c>
      <c r="I110" s="4">
        <v>0</v>
      </c>
      <c r="J110" s="4">
        <v>241.55</v>
      </c>
      <c r="K110" s="4">
        <v>191.5</v>
      </c>
      <c r="L110" s="4">
        <v>0</v>
      </c>
      <c r="M110" s="4">
        <v>194789.35</v>
      </c>
      <c r="N110" s="4">
        <v>236680.37</v>
      </c>
      <c r="O110" s="4">
        <v>820.86000000000013</v>
      </c>
      <c r="P110" s="4">
        <v>678849.77</v>
      </c>
      <c r="Q110" s="4">
        <v>243525.11</v>
      </c>
      <c r="R110" s="4">
        <v>0</v>
      </c>
      <c r="S110" s="4">
        <v>158257.85</v>
      </c>
      <c r="T110" s="4">
        <v>98304.37</v>
      </c>
      <c r="U110" s="4">
        <v>0</v>
      </c>
      <c r="V110" s="4">
        <v>1310517.01</v>
      </c>
      <c r="W110" s="4">
        <v>490594752.19999999</v>
      </c>
      <c r="X110" s="4">
        <v>322603.03000000003</v>
      </c>
      <c r="Y110" s="4">
        <v>61490970.259999998</v>
      </c>
      <c r="Z110" s="4">
        <v>2762154.87</v>
      </c>
      <c r="AA110" s="4"/>
      <c r="AB110" s="4">
        <v>0</v>
      </c>
      <c r="AC110" s="4">
        <v>78639.009999999995</v>
      </c>
      <c r="AD110" s="4">
        <v>1870294.89</v>
      </c>
      <c r="AE110" s="4">
        <v>0</v>
      </c>
      <c r="AF110" s="4">
        <v>104879.55</v>
      </c>
      <c r="AG110" s="4">
        <v>0</v>
      </c>
      <c r="AH110" s="4">
        <v>307961.03000000003</v>
      </c>
      <c r="AI110" s="4">
        <v>310803.65999999997</v>
      </c>
      <c r="AJ110" s="4">
        <v>0</v>
      </c>
      <c r="AK110" s="4">
        <v>861842.67</v>
      </c>
      <c r="AL110" s="4">
        <v>0</v>
      </c>
      <c r="AM110" s="4">
        <v>22252.240000000002</v>
      </c>
      <c r="AN110" s="4">
        <v>0</v>
      </c>
      <c r="AO110" s="4">
        <v>510075.38</v>
      </c>
      <c r="AP110" s="4">
        <v>0</v>
      </c>
      <c r="AQ110" s="4">
        <v>39440.910000000003</v>
      </c>
      <c r="AR110" s="4">
        <v>732088.65</v>
      </c>
      <c r="AS110" s="4">
        <v>0</v>
      </c>
      <c r="AT110" s="4">
        <v>2.15</v>
      </c>
      <c r="AU110" s="4">
        <v>0</v>
      </c>
      <c r="AV110" s="4">
        <v>644279.23</v>
      </c>
      <c r="AW110" s="4">
        <v>3578022.51</v>
      </c>
      <c r="AX110" s="4">
        <v>4184928.46</v>
      </c>
      <c r="AY110" s="4">
        <v>2101255.06</v>
      </c>
      <c r="AZ110" s="4">
        <v>0</v>
      </c>
      <c r="BA110" s="4">
        <v>3258621.98</v>
      </c>
      <c r="BB110" s="4">
        <f t="shared" ref="BB110:BB120" si="14">SUM(B110:BA110)</f>
        <v>577303738.22999978</v>
      </c>
    </row>
    <row r="111" spans="1:54" x14ac:dyDescent="0.2">
      <c r="A111" s="3">
        <v>42795</v>
      </c>
      <c r="B111" s="4">
        <v>-1.29</v>
      </c>
      <c r="C111" s="4">
        <v>749816.03</v>
      </c>
      <c r="D111" s="4">
        <v>0</v>
      </c>
      <c r="E111" s="4">
        <v>-0.45</v>
      </c>
      <c r="F111" s="4">
        <v>-4.87</v>
      </c>
      <c r="G111" s="4">
        <v>2418.66</v>
      </c>
      <c r="H111" s="4">
        <v>0</v>
      </c>
      <c r="I111" s="4">
        <v>0</v>
      </c>
      <c r="J111" s="4">
        <v>-0.79</v>
      </c>
      <c r="K111" s="4">
        <v>284.38</v>
      </c>
      <c r="L111" s="4">
        <v>0</v>
      </c>
      <c r="M111" s="4">
        <v>306143.77</v>
      </c>
      <c r="N111" s="4">
        <v>313374.53999999998</v>
      </c>
      <c r="O111" s="4">
        <v>1189.5</v>
      </c>
      <c r="P111" s="4">
        <v>1037227.96</v>
      </c>
      <c r="Q111" s="4">
        <v>334100</v>
      </c>
      <c r="R111" s="4">
        <v>0</v>
      </c>
      <c r="S111" s="4">
        <v>214325.34</v>
      </c>
      <c r="T111" s="4">
        <v>253068.89</v>
      </c>
      <c r="U111" s="4">
        <v>0</v>
      </c>
      <c r="V111" s="4">
        <v>1717954.91</v>
      </c>
      <c r="W111" s="4">
        <v>689527558.48000002</v>
      </c>
      <c r="X111" s="4">
        <v>689717.21</v>
      </c>
      <c r="Y111" s="4">
        <v>91721374.920000002</v>
      </c>
      <c r="Z111" s="4">
        <v>3078211.56</v>
      </c>
      <c r="AA111" s="4"/>
      <c r="AB111" s="4">
        <v>0</v>
      </c>
      <c r="AC111" s="4">
        <v>100507.82</v>
      </c>
      <c r="AD111" s="4">
        <v>2361747.7200000002</v>
      </c>
      <c r="AE111" s="4">
        <v>0</v>
      </c>
      <c r="AF111" s="4">
        <v>103956.54</v>
      </c>
      <c r="AG111" s="4">
        <v>-0.7</v>
      </c>
      <c r="AH111" s="4">
        <v>341451.3</v>
      </c>
      <c r="AI111" s="4">
        <v>390948.63</v>
      </c>
      <c r="AJ111" s="4">
        <v>0</v>
      </c>
      <c r="AK111" s="4">
        <v>1311137.95</v>
      </c>
      <c r="AL111" s="4">
        <v>0</v>
      </c>
      <c r="AM111" s="4">
        <v>46866.51</v>
      </c>
      <c r="AN111" s="4">
        <v>0</v>
      </c>
      <c r="AO111" s="4">
        <v>668336.48</v>
      </c>
      <c r="AP111" s="4">
        <v>0</v>
      </c>
      <c r="AQ111" s="4">
        <v>85612.6</v>
      </c>
      <c r="AR111" s="4">
        <v>1074057.71</v>
      </c>
      <c r="AS111" s="4">
        <v>0</v>
      </c>
      <c r="AT111" s="4">
        <v>0.89</v>
      </c>
      <c r="AU111" s="4">
        <v>-0.04</v>
      </c>
      <c r="AV111" s="4">
        <v>881646.03</v>
      </c>
      <c r="AW111" s="4">
        <v>4154589.07</v>
      </c>
      <c r="AX111" s="4">
        <v>5475886.9900000002</v>
      </c>
      <c r="AY111" s="4">
        <v>2743162.08</v>
      </c>
      <c r="AZ111" s="4">
        <v>0</v>
      </c>
      <c r="BA111" s="4">
        <v>3676356.07</v>
      </c>
      <c r="BB111" s="4">
        <f t="shared" si="14"/>
        <v>813363022.40000021</v>
      </c>
    </row>
    <row r="112" spans="1:54" x14ac:dyDescent="0.2">
      <c r="A112" s="3">
        <v>42826</v>
      </c>
      <c r="B112" s="4">
        <v>0</v>
      </c>
      <c r="C112" s="4">
        <v>640685.28</v>
      </c>
      <c r="D112" s="4">
        <v>0</v>
      </c>
      <c r="E112" s="4">
        <v>0</v>
      </c>
      <c r="F112" s="4">
        <v>30.76</v>
      </c>
      <c r="G112" s="4">
        <v>3841.0499999999997</v>
      </c>
      <c r="H112" s="4">
        <v>0</v>
      </c>
      <c r="I112" s="4">
        <v>0</v>
      </c>
      <c r="J112" s="4">
        <v>229.28000000000003</v>
      </c>
      <c r="K112" s="4">
        <v>210.02</v>
      </c>
      <c r="L112" s="4">
        <v>0</v>
      </c>
      <c r="M112" s="4">
        <v>225592.45</v>
      </c>
      <c r="N112" s="4">
        <v>255763.79000000004</v>
      </c>
      <c r="O112" s="4">
        <v>-406.15</v>
      </c>
      <c r="P112" s="4">
        <v>807574.83</v>
      </c>
      <c r="Q112" s="4">
        <v>290037.36</v>
      </c>
      <c r="R112" s="4">
        <v>0</v>
      </c>
      <c r="S112" s="4">
        <v>162338.95000000001</v>
      </c>
      <c r="T112" s="4">
        <v>107019.51</v>
      </c>
      <c r="U112" s="4">
        <v>0</v>
      </c>
      <c r="V112" s="4">
        <v>1471550.92</v>
      </c>
      <c r="W112" s="4">
        <v>536116693.06999993</v>
      </c>
      <c r="X112" s="4">
        <v>520587.85</v>
      </c>
      <c r="Y112" s="4">
        <v>69448076.569999993</v>
      </c>
      <c r="Z112" s="4">
        <v>3529545.1800000006</v>
      </c>
      <c r="AA112" s="4"/>
      <c r="AB112" s="4">
        <v>5.2619725465774536E-8</v>
      </c>
      <c r="AC112" s="4">
        <v>78714.27</v>
      </c>
      <c r="AD112" s="4">
        <v>2081208.8600000003</v>
      </c>
      <c r="AE112" s="4">
        <v>0</v>
      </c>
      <c r="AF112" s="4">
        <v>133006.72999999998</v>
      </c>
      <c r="AG112" s="4">
        <v>28.65</v>
      </c>
      <c r="AH112" s="4">
        <v>343175.94000000006</v>
      </c>
      <c r="AI112" s="4">
        <v>353748.4</v>
      </c>
      <c r="AJ112" s="4">
        <v>0</v>
      </c>
      <c r="AK112" s="4">
        <v>1023879.4800000001</v>
      </c>
      <c r="AL112" s="4">
        <v>0</v>
      </c>
      <c r="AM112" s="4">
        <v>18462.239999999998</v>
      </c>
      <c r="AN112" s="4">
        <v>0</v>
      </c>
      <c r="AO112" s="4">
        <v>539756.88</v>
      </c>
      <c r="AP112" s="4">
        <v>0</v>
      </c>
      <c r="AQ112" s="4">
        <v>39358.650000000009</v>
      </c>
      <c r="AR112" s="4">
        <v>885709.50000000012</v>
      </c>
      <c r="AS112" s="4">
        <v>0</v>
      </c>
      <c r="AT112" s="4">
        <v>0.82</v>
      </c>
      <c r="AU112" s="4">
        <v>0</v>
      </c>
      <c r="AV112" s="4">
        <v>732939.72</v>
      </c>
      <c r="AW112" s="4">
        <v>3521122.4299999997</v>
      </c>
      <c r="AX112" s="4">
        <v>4510368.6099999994</v>
      </c>
      <c r="AY112" s="4">
        <v>2270071.7000000002</v>
      </c>
      <c r="AZ112" s="4">
        <v>0</v>
      </c>
      <c r="BA112" s="4">
        <v>3938513.9</v>
      </c>
      <c r="BB112" s="4">
        <f t="shared" si="14"/>
        <v>634049437.5</v>
      </c>
    </row>
    <row r="113" spans="1:54" x14ac:dyDescent="0.2">
      <c r="A113" s="3">
        <v>42856</v>
      </c>
      <c r="B113" s="4">
        <v>0</v>
      </c>
      <c r="C113" s="4">
        <v>644760.89</v>
      </c>
      <c r="D113" s="4">
        <v>0</v>
      </c>
      <c r="E113" s="4">
        <v>0</v>
      </c>
      <c r="F113" s="4">
        <v>40.630000000000003</v>
      </c>
      <c r="G113" s="4">
        <v>787.52</v>
      </c>
      <c r="H113" s="4">
        <v>0</v>
      </c>
      <c r="I113" s="4">
        <v>0</v>
      </c>
      <c r="J113" s="4">
        <v>-10613.27</v>
      </c>
      <c r="K113" s="4">
        <v>143.38</v>
      </c>
      <c r="L113" s="4">
        <v>0</v>
      </c>
      <c r="M113" s="4">
        <v>173224.7</v>
      </c>
      <c r="N113" s="4">
        <v>260073.80000000002</v>
      </c>
      <c r="O113" s="4">
        <v>3766.1899999999996</v>
      </c>
      <c r="P113" s="4">
        <v>818238.77</v>
      </c>
      <c r="Q113" s="4">
        <v>331149.39999999997</v>
      </c>
      <c r="R113" s="4">
        <v>0</v>
      </c>
      <c r="S113" s="4">
        <v>163368.21</v>
      </c>
      <c r="T113" s="4">
        <v>157425.74</v>
      </c>
      <c r="U113" s="4">
        <v>0</v>
      </c>
      <c r="V113" s="4">
        <v>1361895.84</v>
      </c>
      <c r="W113" s="4">
        <v>535723860.76999992</v>
      </c>
      <c r="X113" s="4">
        <v>498152.77</v>
      </c>
      <c r="Y113" s="4">
        <v>67970138.600000009</v>
      </c>
      <c r="Z113" s="4">
        <v>3347270.93</v>
      </c>
      <c r="AA113" s="4"/>
      <c r="AB113" s="4">
        <v>1.0579242371022701E-8</v>
      </c>
      <c r="AC113" s="4">
        <v>79858.19</v>
      </c>
      <c r="AD113" s="4">
        <v>2066451.7599999998</v>
      </c>
      <c r="AE113" s="4">
        <v>0</v>
      </c>
      <c r="AF113" s="4">
        <v>114655.48000000001</v>
      </c>
      <c r="AG113" s="4">
        <v>0</v>
      </c>
      <c r="AH113" s="4">
        <v>307243.86</v>
      </c>
      <c r="AI113" s="4">
        <v>369422.81999999995</v>
      </c>
      <c r="AJ113" s="4">
        <v>0</v>
      </c>
      <c r="AK113" s="4">
        <v>1021805.68</v>
      </c>
      <c r="AL113" s="4">
        <v>0</v>
      </c>
      <c r="AM113" s="4">
        <v>18719.739999999998</v>
      </c>
      <c r="AN113" s="4">
        <v>0</v>
      </c>
      <c r="AO113" s="4">
        <v>558958.86999999988</v>
      </c>
      <c r="AP113" s="4">
        <v>0</v>
      </c>
      <c r="AQ113" s="4">
        <v>41905.560000000005</v>
      </c>
      <c r="AR113" s="4">
        <v>889632.83</v>
      </c>
      <c r="AS113" s="4">
        <v>0</v>
      </c>
      <c r="AT113" s="4">
        <v>-12.52</v>
      </c>
      <c r="AU113" s="4">
        <v>0</v>
      </c>
      <c r="AV113" s="4">
        <v>719442.47</v>
      </c>
      <c r="AW113" s="4">
        <v>3697608.3000000003</v>
      </c>
      <c r="AX113" s="4">
        <v>4490683.7699999996</v>
      </c>
      <c r="AY113" s="4">
        <v>2252855.0200000005</v>
      </c>
      <c r="AZ113" s="4">
        <v>0</v>
      </c>
      <c r="BA113" s="4">
        <v>4095985.7199999997</v>
      </c>
      <c r="BB113" s="4">
        <f t="shared" si="14"/>
        <v>632168902.41999996</v>
      </c>
    </row>
    <row r="114" spans="1:54" x14ac:dyDescent="0.2">
      <c r="A114" s="3">
        <v>42887</v>
      </c>
      <c r="B114" s="4">
        <v>0</v>
      </c>
      <c r="C114" s="4">
        <v>876515.1100000001</v>
      </c>
      <c r="D114" s="4">
        <v>0</v>
      </c>
      <c r="E114" s="4">
        <v>0</v>
      </c>
      <c r="F114" s="4">
        <v>3.0700000000000003</v>
      </c>
      <c r="G114" s="4">
        <v>6066.71</v>
      </c>
      <c r="H114" s="4">
        <v>0</v>
      </c>
      <c r="I114" s="4">
        <v>0</v>
      </c>
      <c r="J114" s="4">
        <v>167.76</v>
      </c>
      <c r="K114" s="4">
        <v>138.44999999999999</v>
      </c>
      <c r="L114" s="4">
        <v>0</v>
      </c>
      <c r="M114" s="4">
        <v>334394.59999999998</v>
      </c>
      <c r="N114" s="4">
        <v>349077.36</v>
      </c>
      <c r="O114" s="4">
        <v>1614.37</v>
      </c>
      <c r="P114" s="4">
        <v>1189312.8600000001</v>
      </c>
      <c r="Q114" s="4">
        <v>348817.13</v>
      </c>
      <c r="R114" s="4">
        <v>0</v>
      </c>
      <c r="S114" s="4">
        <v>286090.06</v>
      </c>
      <c r="T114" s="4">
        <v>366385.76999999996</v>
      </c>
      <c r="U114" s="4">
        <v>0</v>
      </c>
      <c r="V114" s="4">
        <v>2150948.21</v>
      </c>
      <c r="W114" s="4">
        <v>756927015.99000001</v>
      </c>
      <c r="X114" s="4">
        <v>865366.14000000013</v>
      </c>
      <c r="Y114" s="4">
        <v>103107745.52000001</v>
      </c>
      <c r="Z114" s="4">
        <v>4560106.25</v>
      </c>
      <c r="AA114" s="4"/>
      <c r="AB114" s="4">
        <v>-2.4214386940002441E-8</v>
      </c>
      <c r="AC114" s="4">
        <v>88597.580000000016</v>
      </c>
      <c r="AD114" s="4">
        <v>3154994.5999999996</v>
      </c>
      <c r="AE114" s="4">
        <v>0</v>
      </c>
      <c r="AF114" s="4">
        <v>142468.46000000002</v>
      </c>
      <c r="AG114" s="4">
        <v>-0.18</v>
      </c>
      <c r="AH114" s="4">
        <v>397789.77</v>
      </c>
      <c r="AI114" s="4">
        <v>435755</v>
      </c>
      <c r="AJ114" s="4">
        <v>0</v>
      </c>
      <c r="AK114" s="4">
        <v>1442095.8599999999</v>
      </c>
      <c r="AL114" s="4">
        <v>0</v>
      </c>
      <c r="AM114" s="4">
        <v>41610.51</v>
      </c>
      <c r="AN114" s="4">
        <v>0</v>
      </c>
      <c r="AO114" s="4">
        <v>768460.29999999993</v>
      </c>
      <c r="AP114" s="4">
        <v>0</v>
      </c>
      <c r="AQ114" s="4">
        <v>76644.009999999995</v>
      </c>
      <c r="AR114" s="4">
        <v>665356.82000000007</v>
      </c>
      <c r="AS114" s="4">
        <v>0</v>
      </c>
      <c r="AT114" s="4">
        <v>1.6900000000000002</v>
      </c>
      <c r="AU114" s="4">
        <v>0</v>
      </c>
      <c r="AV114" s="4">
        <v>1089853.2799999998</v>
      </c>
      <c r="AW114" s="4">
        <v>4301140.4300000006</v>
      </c>
      <c r="AX114" s="4">
        <v>5819425.5699999994</v>
      </c>
      <c r="AY114" s="4">
        <v>2918815.0700000003</v>
      </c>
      <c r="AZ114" s="4">
        <v>0</v>
      </c>
      <c r="BA114" s="4">
        <v>4736072.9699999988</v>
      </c>
      <c r="BB114" s="4">
        <f t="shared" si="14"/>
        <v>897448847.10000026</v>
      </c>
    </row>
    <row r="115" spans="1:54" x14ac:dyDescent="0.2">
      <c r="A115" s="3">
        <v>42917</v>
      </c>
      <c r="B115" s="4">
        <v>0</v>
      </c>
      <c r="C115" s="4">
        <v>668128.31999999995</v>
      </c>
      <c r="D115" s="4">
        <v>0</v>
      </c>
      <c r="E115" s="4">
        <v>0</v>
      </c>
      <c r="F115" s="4">
        <v>19.02</v>
      </c>
      <c r="G115" s="4">
        <v>1567.38</v>
      </c>
      <c r="H115" s="4">
        <v>0</v>
      </c>
      <c r="I115" s="4">
        <v>0</v>
      </c>
      <c r="J115" s="4">
        <v>0.14000000000000001</v>
      </c>
      <c r="K115" s="4">
        <v>284.47000000000003</v>
      </c>
      <c r="L115" s="4">
        <v>0</v>
      </c>
      <c r="M115" s="4">
        <v>235132.2</v>
      </c>
      <c r="N115" s="4">
        <v>268975.21000000002</v>
      </c>
      <c r="O115" s="4">
        <v>-671.55</v>
      </c>
      <c r="P115" s="4">
        <v>861769.24</v>
      </c>
      <c r="Q115" s="4">
        <v>296586.78999999998</v>
      </c>
      <c r="R115" s="4">
        <v>0</v>
      </c>
      <c r="S115" s="4">
        <v>169307.03999999998</v>
      </c>
      <c r="T115" s="4">
        <v>209794.64</v>
      </c>
      <c r="U115" s="4">
        <v>0</v>
      </c>
      <c r="V115" s="4">
        <v>1563661.0499999998</v>
      </c>
      <c r="W115" s="4">
        <v>552477582.96999991</v>
      </c>
      <c r="X115" s="4">
        <v>758262.45</v>
      </c>
      <c r="Y115" s="4">
        <v>71906072.729999989</v>
      </c>
      <c r="Z115" s="4">
        <v>5105273.76</v>
      </c>
      <c r="AA115" s="4"/>
      <c r="AB115" s="4">
        <v>8.6038198787719011E-9</v>
      </c>
      <c r="AC115" s="4">
        <v>73715.490000000005</v>
      </c>
      <c r="AD115" s="4">
        <v>2195111.2600000002</v>
      </c>
      <c r="AE115" s="4">
        <v>0</v>
      </c>
      <c r="AF115" s="4">
        <v>117161.77000000002</v>
      </c>
      <c r="AG115" s="4">
        <v>0</v>
      </c>
      <c r="AH115" s="4">
        <v>318871.82000000007</v>
      </c>
      <c r="AI115" s="4">
        <v>362106.17000000004</v>
      </c>
      <c r="AJ115" s="4">
        <v>0</v>
      </c>
      <c r="AK115" s="4">
        <v>1033489.4099999999</v>
      </c>
      <c r="AL115" s="4">
        <v>0</v>
      </c>
      <c r="AM115" s="4">
        <v>20420.86</v>
      </c>
      <c r="AN115" s="4">
        <v>0</v>
      </c>
      <c r="AO115" s="4">
        <v>583029.4800000001</v>
      </c>
      <c r="AP115" s="4">
        <v>0</v>
      </c>
      <c r="AQ115" s="4">
        <v>42099.5</v>
      </c>
      <c r="AR115" s="4">
        <v>1141768.3400000003</v>
      </c>
      <c r="AS115" s="4">
        <v>0</v>
      </c>
      <c r="AT115" s="4">
        <v>22.08</v>
      </c>
      <c r="AU115" s="4">
        <v>0</v>
      </c>
      <c r="AV115" s="4">
        <v>775579.89</v>
      </c>
      <c r="AW115" s="4">
        <v>3888289.1500000004</v>
      </c>
      <c r="AX115" s="4">
        <v>4879690.2999999989</v>
      </c>
      <c r="AY115" s="4">
        <v>2442917.2299999995</v>
      </c>
      <c r="AZ115" s="4">
        <v>0</v>
      </c>
      <c r="BA115" s="4">
        <v>4254770.0100000007</v>
      </c>
      <c r="BB115" s="4">
        <f t="shared" si="14"/>
        <v>656650788.62</v>
      </c>
    </row>
    <row r="116" spans="1:54" x14ac:dyDescent="0.2">
      <c r="A116" s="3">
        <v>42948</v>
      </c>
      <c r="B116" s="4">
        <v>0</v>
      </c>
      <c r="C116" s="4">
        <v>644163.88000000012</v>
      </c>
      <c r="D116" s="4">
        <v>16.940000000000001</v>
      </c>
      <c r="E116" s="4">
        <v>0</v>
      </c>
      <c r="F116" s="4">
        <v>0.26</v>
      </c>
      <c r="G116" s="4">
        <v>2553.0600000000004</v>
      </c>
      <c r="H116" s="4">
        <v>0</v>
      </c>
      <c r="I116" s="4">
        <v>0</v>
      </c>
      <c r="J116" s="4">
        <v>0.25</v>
      </c>
      <c r="K116" s="4">
        <v>216.22</v>
      </c>
      <c r="L116" s="4">
        <v>0</v>
      </c>
      <c r="M116" s="4">
        <v>224497.39999999997</v>
      </c>
      <c r="N116" s="4">
        <v>265923.07</v>
      </c>
      <c r="O116" s="4">
        <v>536.12999999999988</v>
      </c>
      <c r="P116" s="4">
        <v>853615.3</v>
      </c>
      <c r="Q116" s="4">
        <v>279088.17</v>
      </c>
      <c r="R116" s="4">
        <v>0</v>
      </c>
      <c r="S116" s="4">
        <v>142760.28</v>
      </c>
      <c r="T116" s="4">
        <v>202843.06</v>
      </c>
      <c r="U116" s="4">
        <v>0</v>
      </c>
      <c r="V116" s="4">
        <v>1392414.67</v>
      </c>
      <c r="W116" s="4">
        <v>538277371.20000005</v>
      </c>
      <c r="X116" s="4">
        <v>975800.03</v>
      </c>
      <c r="Y116" s="4">
        <v>70216750.709999993</v>
      </c>
      <c r="Z116" s="4">
        <v>4886429.8699999992</v>
      </c>
      <c r="AA116" s="4"/>
      <c r="AB116" s="4">
        <v>2.6226189220324159E-8</v>
      </c>
      <c r="AC116" s="4">
        <v>70780.100000000006</v>
      </c>
      <c r="AD116" s="4">
        <v>2112280.2600000002</v>
      </c>
      <c r="AE116" s="4">
        <v>0</v>
      </c>
      <c r="AF116" s="4">
        <v>104553.93000000001</v>
      </c>
      <c r="AG116" s="4">
        <v>0</v>
      </c>
      <c r="AH116" s="4">
        <v>324227.33</v>
      </c>
      <c r="AI116" s="4">
        <v>368241.95</v>
      </c>
      <c r="AJ116" s="4">
        <v>0</v>
      </c>
      <c r="AK116" s="4">
        <v>999317.82</v>
      </c>
      <c r="AL116" s="4">
        <v>0</v>
      </c>
      <c r="AM116" s="4">
        <v>18919.07</v>
      </c>
      <c r="AN116" s="4">
        <v>0</v>
      </c>
      <c r="AO116" s="4">
        <v>564649.22</v>
      </c>
      <c r="AP116" s="4">
        <v>0</v>
      </c>
      <c r="AQ116" s="4">
        <v>40473.639999999992</v>
      </c>
      <c r="AR116" s="4">
        <v>1067317.5200000003</v>
      </c>
      <c r="AS116" s="4">
        <v>0</v>
      </c>
      <c r="AT116" s="4">
        <v>33.01</v>
      </c>
      <c r="AU116" s="4">
        <v>0</v>
      </c>
      <c r="AV116" s="4">
        <v>742693.56</v>
      </c>
      <c r="AW116" s="4">
        <v>4702800.34</v>
      </c>
      <c r="AX116" s="4">
        <v>4658967.45</v>
      </c>
      <c r="AY116" s="4">
        <v>2326513.5</v>
      </c>
      <c r="AZ116" s="4">
        <v>0</v>
      </c>
      <c r="BA116" s="4">
        <v>4277587.9000000004</v>
      </c>
      <c r="BB116" s="4">
        <f t="shared" si="14"/>
        <v>640744337.10000026</v>
      </c>
    </row>
    <row r="117" spans="1:54" x14ac:dyDescent="0.2">
      <c r="A117" s="3">
        <v>42979</v>
      </c>
      <c r="B117" s="4">
        <v>0</v>
      </c>
      <c r="C117" s="4">
        <v>806161.66</v>
      </c>
      <c r="D117" s="4">
        <v>-7.0000000000000007E-2</v>
      </c>
      <c r="E117" s="4">
        <v>0</v>
      </c>
      <c r="F117" s="4">
        <v>6.38</v>
      </c>
      <c r="G117" s="4">
        <v>2695.64</v>
      </c>
      <c r="H117" s="4">
        <v>0</v>
      </c>
      <c r="I117" s="4">
        <v>0</v>
      </c>
      <c r="J117" s="4">
        <v>13.69</v>
      </c>
      <c r="K117" s="4">
        <v>499.47</v>
      </c>
      <c r="L117" s="4">
        <v>0</v>
      </c>
      <c r="M117" s="4">
        <v>334833.64999999997</v>
      </c>
      <c r="N117" s="4">
        <v>345682.11000000004</v>
      </c>
      <c r="O117" s="4">
        <v>-99.009999999999991</v>
      </c>
      <c r="P117" s="4">
        <v>1233719.72</v>
      </c>
      <c r="Q117" s="4">
        <v>400185.63000000006</v>
      </c>
      <c r="R117" s="4">
        <v>0</v>
      </c>
      <c r="S117" s="4">
        <v>278182.53999999998</v>
      </c>
      <c r="T117" s="4">
        <v>443455.32000000007</v>
      </c>
      <c r="U117" s="4">
        <v>0</v>
      </c>
      <c r="V117" s="4">
        <v>1968692.52</v>
      </c>
      <c r="W117" s="4">
        <v>729426665.74000001</v>
      </c>
      <c r="X117" s="4">
        <v>1131663.49</v>
      </c>
      <c r="Y117" s="4">
        <v>101079451.63000001</v>
      </c>
      <c r="Z117" s="4">
        <v>4595503.18</v>
      </c>
      <c r="AA117" s="4"/>
      <c r="AB117" s="4">
        <v>-3.3527612686157227E-8</v>
      </c>
      <c r="AC117" s="4">
        <v>65389.12000000001</v>
      </c>
      <c r="AD117" s="4">
        <v>2762257.9000000004</v>
      </c>
      <c r="AE117" s="4">
        <v>0</v>
      </c>
      <c r="AF117" s="4">
        <v>164479.85</v>
      </c>
      <c r="AG117" s="4">
        <v>0</v>
      </c>
      <c r="AH117" s="4">
        <v>438526.7</v>
      </c>
      <c r="AI117" s="4">
        <v>445593.07999999996</v>
      </c>
      <c r="AJ117" s="4">
        <v>0</v>
      </c>
      <c r="AK117" s="4">
        <v>1538515.9</v>
      </c>
      <c r="AL117" s="4">
        <v>0</v>
      </c>
      <c r="AM117" s="4">
        <v>21826.81</v>
      </c>
      <c r="AN117" s="4">
        <v>0</v>
      </c>
      <c r="AO117" s="4">
        <v>779495.16</v>
      </c>
      <c r="AP117" s="4">
        <v>0</v>
      </c>
      <c r="AQ117" s="4">
        <v>73266.360000000015</v>
      </c>
      <c r="AR117" s="4">
        <v>1457377.16</v>
      </c>
      <c r="AS117" s="4">
        <v>0</v>
      </c>
      <c r="AT117" s="4">
        <v>32.83</v>
      </c>
      <c r="AU117" s="4">
        <v>0</v>
      </c>
      <c r="AV117" s="4">
        <v>1071872.6099999999</v>
      </c>
      <c r="AW117" s="4">
        <v>3706161.7200000007</v>
      </c>
      <c r="AX117" s="4">
        <v>5647024.5499999998</v>
      </c>
      <c r="AY117" s="4">
        <v>2847237.38</v>
      </c>
      <c r="AZ117" s="4">
        <v>0</v>
      </c>
      <c r="BA117" s="4">
        <v>4787497.4400000004</v>
      </c>
      <c r="BB117" s="4">
        <f t="shared" si="14"/>
        <v>867853867.86000001</v>
      </c>
    </row>
    <row r="118" spans="1:54" x14ac:dyDescent="0.2">
      <c r="A118" s="3">
        <v>43009</v>
      </c>
      <c r="B118" s="4">
        <v>0</v>
      </c>
      <c r="C118" s="4">
        <v>678681.3600000001</v>
      </c>
      <c r="D118" s="4">
        <v>0</v>
      </c>
      <c r="E118" s="4">
        <v>0</v>
      </c>
      <c r="F118" s="4">
        <v>3.17</v>
      </c>
      <c r="G118" s="4">
        <v>5642.35</v>
      </c>
      <c r="H118" s="4">
        <v>0</v>
      </c>
      <c r="I118" s="4">
        <v>0</v>
      </c>
      <c r="J118" s="4">
        <v>0.69000000000000006</v>
      </c>
      <c r="K118" s="4">
        <v>139.72999999999999</v>
      </c>
      <c r="L118" s="4">
        <v>0</v>
      </c>
      <c r="M118" s="4">
        <v>238605.18000000002</v>
      </c>
      <c r="N118" s="4">
        <v>256669.81</v>
      </c>
      <c r="O118" s="4">
        <v>1068.3499999999999</v>
      </c>
      <c r="P118" s="4">
        <v>879931.5</v>
      </c>
      <c r="Q118" s="4">
        <v>283746.74</v>
      </c>
      <c r="R118" s="4">
        <v>0</v>
      </c>
      <c r="S118" s="4">
        <v>158713.78</v>
      </c>
      <c r="T118" s="4">
        <v>199404.83000000002</v>
      </c>
      <c r="U118" s="4">
        <v>0</v>
      </c>
      <c r="V118" s="4">
        <v>1435753.02</v>
      </c>
      <c r="W118" s="4">
        <v>582677475.0999999</v>
      </c>
      <c r="X118" s="4">
        <v>509641.41</v>
      </c>
      <c r="Y118" s="4">
        <v>73181761.499999985</v>
      </c>
      <c r="Z118" s="4">
        <v>3506000.4300000006</v>
      </c>
      <c r="AA118" s="4"/>
      <c r="AB118" s="4">
        <v>0</v>
      </c>
      <c r="AC118" s="4">
        <v>69995.489999999991</v>
      </c>
      <c r="AD118" s="4">
        <v>2165108.33</v>
      </c>
      <c r="AE118" s="4">
        <v>0</v>
      </c>
      <c r="AF118" s="4">
        <v>106869.86000000002</v>
      </c>
      <c r="AG118" s="4">
        <v>0</v>
      </c>
      <c r="AH118" s="4">
        <v>298920.06999999995</v>
      </c>
      <c r="AI118" s="4">
        <v>355698.71999999991</v>
      </c>
      <c r="AJ118" s="4">
        <v>0</v>
      </c>
      <c r="AK118" s="4">
        <v>1050859.57</v>
      </c>
      <c r="AL118" s="4">
        <v>0</v>
      </c>
      <c r="AM118" s="4">
        <v>19518.5</v>
      </c>
      <c r="AN118" s="4">
        <v>0</v>
      </c>
      <c r="AO118" s="4">
        <v>543390.46</v>
      </c>
      <c r="AP118" s="4">
        <v>0</v>
      </c>
      <c r="AQ118" s="4">
        <v>40158.74</v>
      </c>
      <c r="AR118" s="4">
        <v>894961.4800000001</v>
      </c>
      <c r="AS118" s="4">
        <v>0</v>
      </c>
      <c r="AT118" s="4">
        <v>32.630000000000003</v>
      </c>
      <c r="AU118" s="4">
        <v>0</v>
      </c>
      <c r="AV118" s="4">
        <v>727407.92</v>
      </c>
      <c r="AW118" s="4">
        <v>4392363.6500000004</v>
      </c>
      <c r="AX118" s="4">
        <v>4652205.5500000007</v>
      </c>
      <c r="AY118" s="4">
        <v>2330410.44</v>
      </c>
      <c r="AZ118" s="4">
        <v>0</v>
      </c>
      <c r="BA118" s="4">
        <v>4034919.4900000007</v>
      </c>
      <c r="BB118" s="4">
        <f t="shared" si="14"/>
        <v>685696059.85000002</v>
      </c>
    </row>
    <row r="119" spans="1:54" x14ac:dyDescent="0.2">
      <c r="A119" s="3">
        <v>43040</v>
      </c>
      <c r="B119" s="4">
        <v>0</v>
      </c>
      <c r="C119" s="4">
        <v>685142.79</v>
      </c>
      <c r="D119" s="4">
        <v>0</v>
      </c>
      <c r="E119" s="4">
        <v>0</v>
      </c>
      <c r="F119" s="4">
        <v>15.69</v>
      </c>
      <c r="G119" s="4">
        <v>2321.64</v>
      </c>
      <c r="H119" s="4">
        <v>0</v>
      </c>
      <c r="I119" s="4">
        <v>0</v>
      </c>
      <c r="J119" s="4">
        <v>0.15</v>
      </c>
      <c r="K119" s="4">
        <v>129.79</v>
      </c>
      <c r="L119" s="4">
        <v>0</v>
      </c>
      <c r="M119" s="4">
        <v>228894.11</v>
      </c>
      <c r="N119" s="4">
        <v>264273.06</v>
      </c>
      <c r="O119" s="4">
        <v>138.65</v>
      </c>
      <c r="P119" s="4">
        <v>918595.14999999991</v>
      </c>
      <c r="Q119" s="4">
        <v>290403.37</v>
      </c>
      <c r="R119" s="4">
        <v>0</v>
      </c>
      <c r="S119" s="4">
        <v>164184.93</v>
      </c>
      <c r="T119" s="4">
        <v>124659.18</v>
      </c>
      <c r="U119" s="4">
        <v>0</v>
      </c>
      <c r="V119" s="4">
        <v>1753885.69</v>
      </c>
      <c r="W119" s="4">
        <v>623726536.95000005</v>
      </c>
      <c r="X119" s="4">
        <v>535506.99</v>
      </c>
      <c r="Y119" s="4">
        <v>77617195.739999995</v>
      </c>
      <c r="Z119" s="4">
        <v>3658882.4700000007</v>
      </c>
      <c r="AA119" s="4"/>
      <c r="AB119" s="4">
        <v>9.5387804321944714E-9</v>
      </c>
      <c r="AC119" s="4">
        <v>73050.259999999995</v>
      </c>
      <c r="AD119" s="4">
        <v>2327803.11</v>
      </c>
      <c r="AE119" s="4">
        <v>0</v>
      </c>
      <c r="AF119" s="4">
        <v>112144.66</v>
      </c>
      <c r="AG119" s="4">
        <v>0</v>
      </c>
      <c r="AH119" s="4">
        <v>327449.84000000003</v>
      </c>
      <c r="AI119" s="4">
        <v>362062.62</v>
      </c>
      <c r="AJ119" s="4">
        <v>0</v>
      </c>
      <c r="AK119" s="4">
        <v>1078941.8899999999</v>
      </c>
      <c r="AL119" s="4">
        <v>0</v>
      </c>
      <c r="AM119" s="4">
        <v>19843.410000000003</v>
      </c>
      <c r="AN119" s="4">
        <v>0</v>
      </c>
      <c r="AO119" s="4">
        <v>560319.74000000011</v>
      </c>
      <c r="AP119" s="4">
        <v>0</v>
      </c>
      <c r="AQ119" s="4">
        <v>43453.98</v>
      </c>
      <c r="AR119" s="4">
        <v>956711.07</v>
      </c>
      <c r="AS119" s="4">
        <v>0</v>
      </c>
      <c r="AT119" s="4">
        <v>1.26</v>
      </c>
      <c r="AU119" s="4">
        <v>0</v>
      </c>
      <c r="AV119" s="4">
        <v>761658.85000000009</v>
      </c>
      <c r="AW119" s="4">
        <v>4244624.8599999994</v>
      </c>
      <c r="AX119" s="4">
        <v>5377966.4699999988</v>
      </c>
      <c r="AY119" s="4">
        <v>2702936.63</v>
      </c>
      <c r="AZ119" s="4">
        <v>0</v>
      </c>
      <c r="BA119" s="4">
        <v>4132582.83</v>
      </c>
      <c r="BB119" s="4">
        <f t="shared" si="14"/>
        <v>733052317.83000028</v>
      </c>
    </row>
    <row r="120" spans="1:54" x14ac:dyDescent="0.2">
      <c r="A120" s="3">
        <v>43070</v>
      </c>
      <c r="B120" s="4">
        <v>0</v>
      </c>
      <c r="C120" s="4">
        <v>921485.24</v>
      </c>
      <c r="D120" s="4">
        <v>0</v>
      </c>
      <c r="E120" s="4">
        <v>0</v>
      </c>
      <c r="F120" s="4">
        <v>2.9499999999999997</v>
      </c>
      <c r="G120" s="4">
        <v>-377.96999999999991</v>
      </c>
      <c r="H120" s="4">
        <v>0</v>
      </c>
      <c r="I120" s="4">
        <v>0</v>
      </c>
      <c r="J120" s="4">
        <v>0.15</v>
      </c>
      <c r="K120" s="4">
        <v>142.9</v>
      </c>
      <c r="L120" s="4">
        <v>0</v>
      </c>
      <c r="M120" s="4">
        <v>320344.61999999994</v>
      </c>
      <c r="N120" s="4">
        <v>342862.07</v>
      </c>
      <c r="O120" s="4">
        <v>89.66</v>
      </c>
      <c r="P120" s="4">
        <v>1275097.5900000001</v>
      </c>
      <c r="Q120" s="4">
        <v>404313.91</v>
      </c>
      <c r="R120" s="4">
        <v>0</v>
      </c>
      <c r="S120" s="4">
        <v>260600.05000000002</v>
      </c>
      <c r="T120" s="4">
        <v>131700.59999999992</v>
      </c>
      <c r="U120" s="4">
        <v>0</v>
      </c>
      <c r="V120" s="4">
        <v>2558798.02</v>
      </c>
      <c r="W120" s="4">
        <v>789347732.72000003</v>
      </c>
      <c r="X120" s="4">
        <v>831778.34999999986</v>
      </c>
      <c r="Y120" s="4">
        <v>107281894.34</v>
      </c>
      <c r="Z120" s="4">
        <v>2961878.28</v>
      </c>
      <c r="AA120" s="4"/>
      <c r="AB120" s="4">
        <v>2.4214386940002441E-8</v>
      </c>
      <c r="AC120" s="4">
        <v>65120.960000000006</v>
      </c>
      <c r="AD120" s="4">
        <v>2907982.0700000003</v>
      </c>
      <c r="AE120" s="4">
        <v>0</v>
      </c>
      <c r="AF120" s="4">
        <v>132720.61000000002</v>
      </c>
      <c r="AG120" s="4">
        <v>0</v>
      </c>
      <c r="AH120" s="4">
        <v>412370.35000000009</v>
      </c>
      <c r="AI120" s="4">
        <v>451267.61999999988</v>
      </c>
      <c r="AJ120" s="4">
        <v>0</v>
      </c>
      <c r="AK120" s="4">
        <v>1548957.9700000002</v>
      </c>
      <c r="AL120" s="4">
        <v>0</v>
      </c>
      <c r="AM120" s="4">
        <v>24402.639999999999</v>
      </c>
      <c r="AN120" s="4">
        <v>0</v>
      </c>
      <c r="AO120" s="4">
        <v>762673.87</v>
      </c>
      <c r="AP120" s="4">
        <v>0</v>
      </c>
      <c r="AQ120" s="4">
        <v>65360.700000000004</v>
      </c>
      <c r="AR120" s="4">
        <v>1246596.2200000002</v>
      </c>
      <c r="AS120" s="4">
        <v>0</v>
      </c>
      <c r="AT120" s="4">
        <v>32.949999999999996</v>
      </c>
      <c r="AU120" s="4">
        <v>0</v>
      </c>
      <c r="AV120" s="4">
        <v>1052196.03</v>
      </c>
      <c r="AW120" s="4">
        <v>4562961.75</v>
      </c>
      <c r="AX120" s="4">
        <v>5858240.8499999987</v>
      </c>
      <c r="AY120" s="4">
        <v>2931599.4200000004</v>
      </c>
      <c r="AZ120" s="4">
        <v>0</v>
      </c>
      <c r="BA120" s="4">
        <v>5023684.2300000004</v>
      </c>
      <c r="BB120" s="4">
        <f t="shared" si="14"/>
        <v>933684511.72000027</v>
      </c>
    </row>
    <row r="121" spans="1:54" ht="15.75" thickBot="1" x14ac:dyDescent="0.25">
      <c r="A121" s="1" t="s">
        <v>172</v>
      </c>
      <c r="B121" s="5">
        <f>SUM(B109:B120)</f>
        <v>-1.29</v>
      </c>
      <c r="C121" s="5">
        <f t="shared" ref="C121:BB121" si="15">SUM(C109:C120)</f>
        <v>8640011.8800000008</v>
      </c>
      <c r="D121" s="5">
        <f t="shared" si="15"/>
        <v>16.87</v>
      </c>
      <c r="E121" s="5">
        <f t="shared" si="15"/>
        <v>-0.45</v>
      </c>
      <c r="F121" s="5">
        <f t="shared" si="15"/>
        <v>1227.3300000000004</v>
      </c>
      <c r="G121" s="5">
        <f t="shared" si="15"/>
        <v>30201.489999999998</v>
      </c>
      <c r="H121" s="5">
        <f t="shared" si="15"/>
        <v>0</v>
      </c>
      <c r="I121" s="5">
        <f t="shared" si="15"/>
        <v>0</v>
      </c>
      <c r="J121" s="5">
        <f t="shared" si="15"/>
        <v>-9959.8000000000011</v>
      </c>
      <c r="K121" s="5">
        <f t="shared" si="15"/>
        <v>2546.0200000000004</v>
      </c>
      <c r="L121" s="5">
        <f t="shared" si="15"/>
        <v>0</v>
      </c>
      <c r="M121" s="5">
        <f t="shared" si="15"/>
        <v>3058396.19</v>
      </c>
      <c r="N121" s="5">
        <f t="shared" si="15"/>
        <v>3433002.5199999996</v>
      </c>
      <c r="O121" s="5">
        <f t="shared" si="15"/>
        <v>8066.0599999999977</v>
      </c>
      <c r="P121" s="5">
        <f t="shared" si="15"/>
        <v>11452020.770000001</v>
      </c>
      <c r="Q121" s="5">
        <f t="shared" si="15"/>
        <v>3792938.99</v>
      </c>
      <c r="R121" s="5">
        <f t="shared" si="15"/>
        <v>0</v>
      </c>
      <c r="S121" s="5">
        <f t="shared" si="15"/>
        <v>2352936.88</v>
      </c>
      <c r="T121" s="5">
        <f t="shared" si="15"/>
        <v>2393275.2600000002</v>
      </c>
      <c r="U121" s="5">
        <f t="shared" si="15"/>
        <v>0</v>
      </c>
      <c r="V121" s="5">
        <f t="shared" si="15"/>
        <v>20264450.219999999</v>
      </c>
      <c r="W121" s="5">
        <f t="shared" si="15"/>
        <v>7419054303.5200005</v>
      </c>
      <c r="X121" s="5">
        <f t="shared" si="15"/>
        <v>8038569.7000000002</v>
      </c>
      <c r="Y121" s="5">
        <f t="shared" si="15"/>
        <v>969465841.93000007</v>
      </c>
      <c r="Z121" s="5">
        <f t="shared" si="15"/>
        <v>45375840.349999994</v>
      </c>
      <c r="AA121" s="5"/>
      <c r="AB121" s="5">
        <f t="shared" si="15"/>
        <v>7.4040144681930542E-8</v>
      </c>
      <c r="AC121" s="5">
        <f t="shared" si="15"/>
        <v>936131.04</v>
      </c>
      <c r="AD121" s="5">
        <f t="shared" si="15"/>
        <v>28226380.129999995</v>
      </c>
      <c r="AE121" s="5">
        <f t="shared" si="15"/>
        <v>0</v>
      </c>
      <c r="AF121" s="5">
        <f t="shared" si="15"/>
        <v>1469459.5400000003</v>
      </c>
      <c r="AG121" s="5">
        <f t="shared" si="15"/>
        <v>27.77</v>
      </c>
      <c r="AH121" s="5">
        <f t="shared" si="15"/>
        <v>4170605.63</v>
      </c>
      <c r="AI121" s="5">
        <f t="shared" si="15"/>
        <v>4696746.8499999996</v>
      </c>
      <c r="AJ121" s="5">
        <f t="shared" si="15"/>
        <v>0</v>
      </c>
      <c r="AK121" s="5">
        <f t="shared" si="15"/>
        <v>14244454.240000002</v>
      </c>
      <c r="AL121" s="5">
        <f t="shared" si="15"/>
        <v>0</v>
      </c>
      <c r="AM121" s="5">
        <f t="shared" si="15"/>
        <v>299278.86</v>
      </c>
      <c r="AN121" s="5">
        <f t="shared" si="15"/>
        <v>0</v>
      </c>
      <c r="AO121" s="5">
        <f t="shared" si="15"/>
        <v>7504261.5200000005</v>
      </c>
      <c r="AP121" s="5">
        <f t="shared" si="15"/>
        <v>0</v>
      </c>
      <c r="AQ121" s="5">
        <f t="shared" si="15"/>
        <v>637294.21</v>
      </c>
      <c r="AR121" s="5">
        <f t="shared" si="15"/>
        <v>11819003.350000001</v>
      </c>
      <c r="AS121" s="5">
        <f t="shared" si="15"/>
        <v>0</v>
      </c>
      <c r="AT121" s="5">
        <f t="shared" si="15"/>
        <v>149.1</v>
      </c>
      <c r="AU121" s="5">
        <f t="shared" si="15"/>
        <v>-0.04</v>
      </c>
      <c r="AV121" s="5">
        <f t="shared" si="15"/>
        <v>10075033.979999997</v>
      </c>
      <c r="AW121" s="5">
        <f t="shared" si="15"/>
        <v>49244842.589999996</v>
      </c>
      <c r="AX121" s="5">
        <f t="shared" si="15"/>
        <v>60555818.330000006</v>
      </c>
      <c r="AY121" s="5">
        <f t="shared" si="15"/>
        <v>30371777.830000002</v>
      </c>
      <c r="AZ121" s="5">
        <f t="shared" si="15"/>
        <v>0</v>
      </c>
      <c r="BA121" s="5">
        <f t="shared" si="15"/>
        <v>50102973.099999994</v>
      </c>
      <c r="BB121" s="5">
        <f t="shared" si="15"/>
        <v>8771707922.4700012</v>
      </c>
    </row>
    <row r="122" spans="1:54" ht="15.75" thickTop="1" x14ac:dyDescent="0.2"/>
    <row r="123" spans="1:54" x14ac:dyDescent="0.2">
      <c r="A123" s="3">
        <v>42370</v>
      </c>
      <c r="B123" s="4">
        <v>0</v>
      </c>
      <c r="C123" s="4">
        <v>682763.44</v>
      </c>
      <c r="D123" s="4">
        <v>0</v>
      </c>
      <c r="E123" s="4">
        <v>0</v>
      </c>
      <c r="F123" s="4">
        <v>0</v>
      </c>
      <c r="G123" s="4">
        <v>1881.48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217785.60000000001</v>
      </c>
      <c r="N123" s="4">
        <v>269980.71999999997</v>
      </c>
      <c r="O123" s="4">
        <v>-620.48</v>
      </c>
      <c r="P123" s="4">
        <v>773685.07</v>
      </c>
      <c r="Q123" s="4">
        <v>288021.28999999998</v>
      </c>
      <c r="R123" s="4">
        <v>0</v>
      </c>
      <c r="S123" s="4">
        <v>192649.1</v>
      </c>
      <c r="T123" s="4">
        <v>70119</v>
      </c>
      <c r="U123" s="4">
        <v>0</v>
      </c>
      <c r="V123" s="4">
        <v>1610391.97</v>
      </c>
      <c r="W123" s="4">
        <v>589684126.71000004</v>
      </c>
      <c r="X123" s="4">
        <v>443046.1</v>
      </c>
      <c r="Y123" s="4">
        <v>71930250.340000004</v>
      </c>
      <c r="Z123" s="4">
        <v>73749.94</v>
      </c>
      <c r="AA123" s="4"/>
      <c r="AB123" s="4">
        <v>0</v>
      </c>
      <c r="AC123" s="4">
        <v>112080.77</v>
      </c>
      <c r="AD123" s="4">
        <v>2053621.06</v>
      </c>
      <c r="AE123" s="4">
        <v>0</v>
      </c>
      <c r="AF123" s="4">
        <v>110660.28</v>
      </c>
      <c r="AG123" s="4">
        <v>0</v>
      </c>
      <c r="AH123" s="4">
        <v>341545.15</v>
      </c>
      <c r="AI123" s="4">
        <v>369947.19</v>
      </c>
      <c r="AJ123" s="4">
        <v>0</v>
      </c>
      <c r="AK123" s="4">
        <v>982336.88</v>
      </c>
      <c r="AL123" s="4">
        <v>0</v>
      </c>
      <c r="AM123" s="4">
        <v>33392.82</v>
      </c>
      <c r="AN123" s="4">
        <v>0</v>
      </c>
      <c r="AO123" s="4">
        <v>532343.93999999994</v>
      </c>
      <c r="AP123" s="4">
        <v>0</v>
      </c>
      <c r="AQ123" s="4">
        <v>44023.23</v>
      </c>
      <c r="AR123" s="4">
        <v>762489.5</v>
      </c>
      <c r="AS123" s="4">
        <v>0</v>
      </c>
      <c r="AT123" s="4">
        <v>0</v>
      </c>
      <c r="AU123" s="4">
        <v>0</v>
      </c>
      <c r="AV123" s="4">
        <v>723275.77</v>
      </c>
      <c r="AW123" s="4">
        <v>4504797.32</v>
      </c>
      <c r="AX123" s="4">
        <v>5089292.1399999997</v>
      </c>
      <c r="AY123" s="4">
        <v>2603879.2999999998</v>
      </c>
      <c r="AZ123" s="4">
        <v>0</v>
      </c>
      <c r="BA123" s="4">
        <v>172163.28</v>
      </c>
      <c r="BB123" s="4">
        <f t="shared" ref="BB123:BB134" si="16">SUM(B123:BA123)</f>
        <v>684673678.91000021</v>
      </c>
    </row>
    <row r="124" spans="1:54" x14ac:dyDescent="0.2">
      <c r="A124" s="3">
        <v>42401</v>
      </c>
      <c r="B124" s="4">
        <v>0</v>
      </c>
      <c r="C124" s="4">
        <v>574750.74</v>
      </c>
      <c r="D124" s="4">
        <v>0</v>
      </c>
      <c r="E124" s="4">
        <v>0</v>
      </c>
      <c r="F124" s="4">
        <v>0</v>
      </c>
      <c r="G124" s="4">
        <v>1220.71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183473.5</v>
      </c>
      <c r="N124" s="4">
        <v>227604.23</v>
      </c>
      <c r="O124" s="4">
        <v>49.46</v>
      </c>
      <c r="P124" s="4">
        <v>645223.82999999996</v>
      </c>
      <c r="Q124" s="4">
        <v>237116.98</v>
      </c>
      <c r="R124" s="4">
        <v>0</v>
      </c>
      <c r="S124" s="4">
        <v>160610.23999999999</v>
      </c>
      <c r="T124" s="4">
        <v>174570.49</v>
      </c>
      <c r="U124" s="4">
        <v>0</v>
      </c>
      <c r="V124" s="4">
        <v>1314023.77</v>
      </c>
      <c r="W124" s="4">
        <v>474489553.38</v>
      </c>
      <c r="X124" s="4">
        <v>377495.9</v>
      </c>
      <c r="Y124" s="4">
        <v>58160925.159999996</v>
      </c>
      <c r="Z124" s="4">
        <v>-84016.2</v>
      </c>
      <c r="AA124" s="4"/>
      <c r="AB124" s="4">
        <v>0</v>
      </c>
      <c r="AC124" s="4">
        <v>125283.04</v>
      </c>
      <c r="AD124" s="4">
        <v>1756158.76</v>
      </c>
      <c r="AE124" s="4">
        <v>0</v>
      </c>
      <c r="AF124" s="4">
        <v>101736.59</v>
      </c>
      <c r="AG124" s="4">
        <v>0</v>
      </c>
      <c r="AH124" s="4">
        <v>288980.5</v>
      </c>
      <c r="AI124" s="4">
        <v>306807.96000000002</v>
      </c>
      <c r="AJ124" s="4">
        <v>0</v>
      </c>
      <c r="AK124" s="4">
        <v>793850.54</v>
      </c>
      <c r="AL124" s="4">
        <v>0</v>
      </c>
      <c r="AM124" s="4">
        <v>31404.62</v>
      </c>
      <c r="AN124" s="4">
        <v>0</v>
      </c>
      <c r="AO124" s="4">
        <v>445365.68</v>
      </c>
      <c r="AP124" s="4">
        <v>0</v>
      </c>
      <c r="AQ124" s="4">
        <v>34595.699999999997</v>
      </c>
      <c r="AR124" s="4">
        <v>696387.64</v>
      </c>
      <c r="AS124" s="4">
        <v>0</v>
      </c>
      <c r="AT124" s="4">
        <v>0</v>
      </c>
      <c r="AU124" s="4">
        <v>0</v>
      </c>
      <c r="AV124" s="4">
        <v>584707.99</v>
      </c>
      <c r="AW124" s="4">
        <v>3802992.33</v>
      </c>
      <c r="AX124" s="4">
        <v>4128585.25</v>
      </c>
      <c r="AY124" s="4">
        <v>2122134.8199999998</v>
      </c>
      <c r="AZ124" s="4">
        <v>0</v>
      </c>
      <c r="BA124" s="4">
        <v>-58145.48</v>
      </c>
      <c r="BB124" s="4">
        <f t="shared" si="16"/>
        <v>551623448.13000011</v>
      </c>
    </row>
    <row r="125" spans="1:54" x14ac:dyDescent="0.2">
      <c r="A125" s="3">
        <v>42430</v>
      </c>
      <c r="B125" s="4">
        <v>0.06</v>
      </c>
      <c r="C125" s="4">
        <v>805071.24</v>
      </c>
      <c r="D125" s="4">
        <v>200.75</v>
      </c>
      <c r="E125" s="4">
        <v>0</v>
      </c>
      <c r="F125" s="4">
        <v>63.58</v>
      </c>
      <c r="G125" s="4">
        <v>-1223.99</v>
      </c>
      <c r="H125" s="4">
        <v>-962.05</v>
      </c>
      <c r="I125" s="4">
        <v>0</v>
      </c>
      <c r="J125" s="4">
        <v>-4569.16</v>
      </c>
      <c r="K125" s="4">
        <v>1524.14</v>
      </c>
      <c r="L125" s="4">
        <v>-1683.94</v>
      </c>
      <c r="M125" s="4">
        <v>323841.53000000003</v>
      </c>
      <c r="N125" s="4">
        <v>298368.40999999997</v>
      </c>
      <c r="O125" s="4">
        <v>1319.28</v>
      </c>
      <c r="P125" s="4">
        <v>993231.72</v>
      </c>
      <c r="Q125" s="4">
        <v>373718.7</v>
      </c>
      <c r="R125" s="4">
        <v>0</v>
      </c>
      <c r="S125" s="4">
        <v>183968.63</v>
      </c>
      <c r="T125" s="4">
        <v>181107.88</v>
      </c>
      <c r="U125" s="4">
        <v>0</v>
      </c>
      <c r="V125" s="4">
        <v>1655507.37</v>
      </c>
      <c r="W125" s="4">
        <v>644690857.10000002</v>
      </c>
      <c r="X125" s="4">
        <v>549726.65</v>
      </c>
      <c r="Y125" s="4">
        <v>91621870.680000007</v>
      </c>
      <c r="Z125" s="4">
        <v>8559053.3200000003</v>
      </c>
      <c r="AA125" s="4"/>
      <c r="AB125" s="4">
        <v>0</v>
      </c>
      <c r="AC125" s="4">
        <v>39869.06</v>
      </c>
      <c r="AD125" s="4">
        <v>2794174.19</v>
      </c>
      <c r="AE125" s="4">
        <v>-26486.39</v>
      </c>
      <c r="AF125" s="4">
        <v>232448.88</v>
      </c>
      <c r="AG125" s="4">
        <v>8.36</v>
      </c>
      <c r="AH125" s="4">
        <v>444613.63</v>
      </c>
      <c r="AI125" s="4">
        <v>472653.5</v>
      </c>
      <c r="AJ125" s="4">
        <v>0</v>
      </c>
      <c r="AK125" s="4">
        <v>1276187.29</v>
      </c>
      <c r="AL125" s="4">
        <v>-194.05</v>
      </c>
      <c r="AM125" s="4">
        <v>9305.0300000000007</v>
      </c>
      <c r="AN125" s="4">
        <v>0</v>
      </c>
      <c r="AO125" s="4">
        <v>693494.28</v>
      </c>
      <c r="AP125" s="4">
        <v>0</v>
      </c>
      <c r="AQ125" s="4">
        <v>77900.009999999995</v>
      </c>
      <c r="AR125" s="4">
        <v>993977.03</v>
      </c>
      <c r="AS125" s="4">
        <v>0</v>
      </c>
      <c r="AT125" s="4">
        <v>186.08</v>
      </c>
      <c r="AU125" s="4">
        <v>0</v>
      </c>
      <c r="AV125" s="4">
        <v>1114758.56</v>
      </c>
      <c r="AW125" s="4">
        <v>4364404.66</v>
      </c>
      <c r="AX125" s="4">
        <v>5166223.46</v>
      </c>
      <c r="AY125" s="4">
        <v>2478333.36</v>
      </c>
      <c r="AZ125" s="4">
        <v>0</v>
      </c>
      <c r="BA125" s="4">
        <v>10493311.119999999</v>
      </c>
      <c r="BB125" s="4">
        <f t="shared" si="16"/>
        <v>780856159.95999992</v>
      </c>
    </row>
    <row r="126" spans="1:54" x14ac:dyDescent="0.2">
      <c r="A126" s="3">
        <v>42461</v>
      </c>
      <c r="B126" s="4">
        <v>0</v>
      </c>
      <c r="C126" s="4">
        <v>628640.15</v>
      </c>
      <c r="D126" s="4">
        <v>71.03</v>
      </c>
      <c r="E126" s="4">
        <v>0</v>
      </c>
      <c r="F126" s="4">
        <v>384.73</v>
      </c>
      <c r="G126" s="4">
        <v>950.47</v>
      </c>
      <c r="H126" s="4">
        <v>0</v>
      </c>
      <c r="I126" s="4">
        <v>0</v>
      </c>
      <c r="J126" s="4">
        <v>236.75</v>
      </c>
      <c r="K126" s="4">
        <v>596.47</v>
      </c>
      <c r="L126" s="4">
        <v>0</v>
      </c>
      <c r="M126" s="4">
        <v>214722.1</v>
      </c>
      <c r="N126" s="4">
        <v>267750.58</v>
      </c>
      <c r="O126" s="4">
        <v>57.19</v>
      </c>
      <c r="P126" s="4">
        <v>774799.97</v>
      </c>
      <c r="Q126" s="4">
        <v>257879.84</v>
      </c>
      <c r="R126" s="4">
        <v>0</v>
      </c>
      <c r="S126" s="4">
        <v>173193.78</v>
      </c>
      <c r="T126" s="4">
        <v>117437.89</v>
      </c>
      <c r="U126" s="4">
        <v>0</v>
      </c>
      <c r="V126" s="4">
        <v>1402114.41</v>
      </c>
      <c r="W126" s="4">
        <v>556974409.19000006</v>
      </c>
      <c r="X126" s="4">
        <v>461722.52</v>
      </c>
      <c r="Y126" s="4">
        <v>69375605.129999995</v>
      </c>
      <c r="Z126" s="4">
        <v>-57162.04</v>
      </c>
      <c r="AA126" s="4"/>
      <c r="AB126" s="4">
        <v>0</v>
      </c>
      <c r="AC126" s="4">
        <v>97382.39</v>
      </c>
      <c r="AD126" s="4">
        <v>2129332.5299999998</v>
      </c>
      <c r="AE126" s="4">
        <v>0</v>
      </c>
      <c r="AF126" s="4">
        <v>82233.850000000006</v>
      </c>
      <c r="AG126" s="4">
        <v>0</v>
      </c>
      <c r="AH126" s="4">
        <v>274053.59999999998</v>
      </c>
      <c r="AI126" s="4">
        <v>360957.81</v>
      </c>
      <c r="AJ126" s="4">
        <v>0</v>
      </c>
      <c r="AK126" s="4">
        <v>1021757.83</v>
      </c>
      <c r="AL126" s="4">
        <v>0</v>
      </c>
      <c r="AM126" s="4">
        <v>22665.43</v>
      </c>
      <c r="AN126" s="4">
        <v>0</v>
      </c>
      <c r="AO126" s="4">
        <v>561009.56000000006</v>
      </c>
      <c r="AP126" s="4">
        <v>0</v>
      </c>
      <c r="AQ126" s="4">
        <v>42070.080000000002</v>
      </c>
      <c r="AR126" s="4">
        <v>833064.02</v>
      </c>
      <c r="AS126" s="4">
        <v>0</v>
      </c>
      <c r="AT126" s="4">
        <v>54.33</v>
      </c>
      <c r="AU126" s="4">
        <v>0</v>
      </c>
      <c r="AV126" s="4">
        <v>733165.97</v>
      </c>
      <c r="AW126" s="4">
        <v>3896251.46</v>
      </c>
      <c r="AX126" s="4">
        <v>4479891.7699999996</v>
      </c>
      <c r="AY126" s="4">
        <v>2305385.84</v>
      </c>
      <c r="AZ126" s="4">
        <v>0</v>
      </c>
      <c r="BA126" s="4">
        <v>106948.6</v>
      </c>
      <c r="BB126" s="4">
        <f t="shared" si="16"/>
        <v>647539635.23000014</v>
      </c>
    </row>
    <row r="127" spans="1:54" x14ac:dyDescent="0.2">
      <c r="A127" s="3">
        <v>42491</v>
      </c>
      <c r="B127" s="4">
        <v>0</v>
      </c>
      <c r="C127" s="4">
        <v>604371.05000000005</v>
      </c>
      <c r="D127" s="4">
        <v>107.23</v>
      </c>
      <c r="E127" s="4">
        <v>0</v>
      </c>
      <c r="F127" s="4">
        <v>14.7</v>
      </c>
      <c r="G127" s="4">
        <v>2346.5300000000002</v>
      </c>
      <c r="H127" s="4">
        <v>0</v>
      </c>
      <c r="I127" s="4">
        <v>0</v>
      </c>
      <c r="J127" s="4">
        <v>-18.72</v>
      </c>
      <c r="K127" s="4">
        <v>505.39</v>
      </c>
      <c r="L127" s="4">
        <v>0</v>
      </c>
      <c r="M127" s="4">
        <v>193384.16</v>
      </c>
      <c r="N127" s="4">
        <v>257623.14</v>
      </c>
      <c r="O127" s="4">
        <v>-538.26</v>
      </c>
      <c r="P127" s="4">
        <v>774210.02</v>
      </c>
      <c r="Q127" s="4">
        <v>253316.89</v>
      </c>
      <c r="R127" s="4">
        <v>0</v>
      </c>
      <c r="S127" s="4">
        <v>173293.84</v>
      </c>
      <c r="T127" s="4">
        <v>116359.2</v>
      </c>
      <c r="U127" s="4">
        <v>0</v>
      </c>
      <c r="V127" s="4">
        <v>1363658.21</v>
      </c>
      <c r="W127" s="4">
        <v>524546008.36000001</v>
      </c>
      <c r="X127" s="4">
        <v>433177.44</v>
      </c>
      <c r="Y127" s="4">
        <v>65889772.75</v>
      </c>
      <c r="Z127" s="4">
        <v>21716.97</v>
      </c>
      <c r="AA127" s="4"/>
      <c r="AB127" s="4">
        <v>0</v>
      </c>
      <c r="AC127" s="4">
        <v>101269.53</v>
      </c>
      <c r="AD127" s="4">
        <v>2038868.92</v>
      </c>
      <c r="AE127" s="4">
        <v>0</v>
      </c>
      <c r="AF127" s="4">
        <v>113444.8</v>
      </c>
      <c r="AG127" s="4">
        <v>0</v>
      </c>
      <c r="AH127" s="4">
        <v>311950.17</v>
      </c>
      <c r="AI127" s="4">
        <v>345281.75</v>
      </c>
      <c r="AJ127" s="4">
        <v>0</v>
      </c>
      <c r="AK127" s="4">
        <v>969330.69</v>
      </c>
      <c r="AL127" s="4">
        <v>0</v>
      </c>
      <c r="AM127" s="4">
        <v>23577.43</v>
      </c>
      <c r="AN127" s="4">
        <v>0</v>
      </c>
      <c r="AO127" s="4">
        <v>528052.18999999994</v>
      </c>
      <c r="AP127" s="4">
        <v>0</v>
      </c>
      <c r="AQ127" s="4">
        <v>38800.620000000003</v>
      </c>
      <c r="AR127" s="4">
        <v>792511.03</v>
      </c>
      <c r="AS127" s="4">
        <v>0</v>
      </c>
      <c r="AT127" s="4">
        <v>46.09</v>
      </c>
      <c r="AU127" s="4">
        <v>0</v>
      </c>
      <c r="AV127" s="4">
        <v>709765.79</v>
      </c>
      <c r="AW127" s="4">
        <v>3683547.25</v>
      </c>
      <c r="AX127" s="4">
        <v>4351324.0999999996</v>
      </c>
      <c r="AY127" s="4">
        <v>2237257.65</v>
      </c>
      <c r="AZ127" s="4">
        <v>0</v>
      </c>
      <c r="BA127" s="4">
        <v>45912.71</v>
      </c>
      <c r="BB127" s="4">
        <f t="shared" si="16"/>
        <v>610920249.62</v>
      </c>
    </row>
    <row r="128" spans="1:54" x14ac:dyDescent="0.2">
      <c r="A128" s="3">
        <v>42522</v>
      </c>
      <c r="B128" s="4">
        <v>0</v>
      </c>
      <c r="C128" s="4">
        <v>845692.68000000017</v>
      </c>
      <c r="D128" s="4">
        <v>65.680000000000007</v>
      </c>
      <c r="E128" s="4">
        <v>0</v>
      </c>
      <c r="F128" s="4">
        <v>-2.17</v>
      </c>
      <c r="G128" s="4">
        <v>9218.42</v>
      </c>
      <c r="H128" s="4">
        <v>0</v>
      </c>
      <c r="I128" s="4">
        <v>0</v>
      </c>
      <c r="J128" s="4">
        <v>-1.1100000000000001</v>
      </c>
      <c r="K128" s="4">
        <v>2367.02</v>
      </c>
      <c r="L128" s="4">
        <v>0</v>
      </c>
      <c r="M128" s="4">
        <v>315283.15000000002</v>
      </c>
      <c r="N128" s="4">
        <v>295839.39</v>
      </c>
      <c r="O128" s="4">
        <v>6670.7</v>
      </c>
      <c r="P128" s="4">
        <v>1168879.69</v>
      </c>
      <c r="Q128" s="4">
        <v>420714.85</v>
      </c>
      <c r="R128" s="4">
        <v>0</v>
      </c>
      <c r="S128" s="4">
        <v>239403.2</v>
      </c>
      <c r="T128" s="4">
        <v>345091.03</v>
      </c>
      <c r="U128" s="4">
        <v>0</v>
      </c>
      <c r="V128" s="4">
        <v>1892145.4</v>
      </c>
      <c r="W128" s="4">
        <v>691504585.25</v>
      </c>
      <c r="X128" s="4">
        <v>874383.59999999986</v>
      </c>
      <c r="Y128" s="4">
        <v>97513565.420000017</v>
      </c>
      <c r="Z128" s="4">
        <v>13405888.98</v>
      </c>
      <c r="AA128" s="4"/>
      <c r="AB128" s="4">
        <v>0</v>
      </c>
      <c r="AC128" s="4">
        <v>49551.13</v>
      </c>
      <c r="AD128" s="4">
        <v>2823271.71</v>
      </c>
      <c r="AE128" s="4">
        <v>0</v>
      </c>
      <c r="AF128" s="4">
        <v>148331.82999999999</v>
      </c>
      <c r="AG128" s="4">
        <v>0</v>
      </c>
      <c r="AH128" s="4">
        <v>358515.54999999993</v>
      </c>
      <c r="AI128" s="4">
        <v>460713.98</v>
      </c>
      <c r="AJ128" s="4">
        <v>0</v>
      </c>
      <c r="AK128" s="4">
        <v>1529898.04</v>
      </c>
      <c r="AL128" s="4">
        <v>0</v>
      </c>
      <c r="AM128" s="4">
        <v>7976.0899999999992</v>
      </c>
      <c r="AN128" s="4">
        <v>0</v>
      </c>
      <c r="AO128" s="4">
        <v>650079.02</v>
      </c>
      <c r="AP128" s="4">
        <v>0</v>
      </c>
      <c r="AQ128" s="4">
        <v>52506.820000000007</v>
      </c>
      <c r="AR128" s="4">
        <v>1294992.58</v>
      </c>
      <c r="AS128" s="4">
        <v>0</v>
      </c>
      <c r="AT128" s="4">
        <v>35.979999999999997</v>
      </c>
      <c r="AU128" s="4">
        <v>0</v>
      </c>
      <c r="AV128" s="4">
        <v>987788.19</v>
      </c>
      <c r="AW128" s="4">
        <v>4441088.6900000004</v>
      </c>
      <c r="AX128" s="4">
        <v>5395631.7599999998</v>
      </c>
      <c r="AY128" s="4">
        <v>2594715.14</v>
      </c>
      <c r="AZ128" s="4">
        <v>0</v>
      </c>
      <c r="BA128" s="4">
        <v>13566594.529999999</v>
      </c>
      <c r="BB128" s="4">
        <f t="shared" si="16"/>
        <v>843201482.22000027</v>
      </c>
    </row>
    <row r="129" spans="1:54" x14ac:dyDescent="0.2">
      <c r="A129" s="3">
        <v>42552</v>
      </c>
      <c r="B129" s="4">
        <v>0</v>
      </c>
      <c r="C129" s="4">
        <v>668209.76</v>
      </c>
      <c r="D129" s="4">
        <v>67.28</v>
      </c>
      <c r="E129" s="4">
        <v>0</v>
      </c>
      <c r="F129" s="4">
        <v>2.82</v>
      </c>
      <c r="G129" s="4">
        <v>3852.62</v>
      </c>
      <c r="H129" s="4">
        <v>0</v>
      </c>
      <c r="I129" s="4">
        <v>0</v>
      </c>
      <c r="J129" s="4">
        <v>14.83</v>
      </c>
      <c r="K129" s="4">
        <v>120.43</v>
      </c>
      <c r="L129" s="4">
        <v>0</v>
      </c>
      <c r="M129" s="4">
        <v>211969.85</v>
      </c>
      <c r="N129" s="4">
        <v>261399.18</v>
      </c>
      <c r="O129" s="4">
        <v>1298.99</v>
      </c>
      <c r="P129" s="4">
        <v>846175.31</v>
      </c>
      <c r="Q129" s="4">
        <v>297330.98</v>
      </c>
      <c r="R129" s="4">
        <v>0</v>
      </c>
      <c r="S129" s="4">
        <v>163285.32</v>
      </c>
      <c r="T129" s="4">
        <v>156278.54999999999</v>
      </c>
      <c r="U129" s="4">
        <v>0</v>
      </c>
      <c r="V129" s="4">
        <v>1444388.65</v>
      </c>
      <c r="W129" s="4">
        <v>535841957.19</v>
      </c>
      <c r="X129" s="4">
        <v>671686.04</v>
      </c>
      <c r="Y129" s="4">
        <v>69334300.430000007</v>
      </c>
      <c r="Z129" s="4">
        <v>4519424.17</v>
      </c>
      <c r="AA129" s="4"/>
      <c r="AB129" s="4">
        <v>0</v>
      </c>
      <c r="AC129" s="4">
        <v>67801.27</v>
      </c>
      <c r="AD129" s="4">
        <v>2198543.71</v>
      </c>
      <c r="AE129" s="4">
        <v>0</v>
      </c>
      <c r="AF129" s="4">
        <v>111254.48</v>
      </c>
      <c r="AG129" s="4">
        <v>0</v>
      </c>
      <c r="AH129" s="4">
        <v>323519.82</v>
      </c>
      <c r="AI129" s="4">
        <v>297239.39</v>
      </c>
      <c r="AJ129" s="4">
        <v>0</v>
      </c>
      <c r="AK129" s="4">
        <v>989636.25</v>
      </c>
      <c r="AL129" s="4">
        <v>0</v>
      </c>
      <c r="AM129" s="4">
        <v>17296.13</v>
      </c>
      <c r="AN129" s="4">
        <v>0</v>
      </c>
      <c r="AO129" s="4">
        <v>589317.56999999995</v>
      </c>
      <c r="AP129" s="4">
        <v>0</v>
      </c>
      <c r="AQ129" s="4">
        <v>41641.69</v>
      </c>
      <c r="AR129" s="4">
        <v>1059768.01</v>
      </c>
      <c r="AS129" s="4">
        <v>0</v>
      </c>
      <c r="AT129" s="4">
        <v>10.53</v>
      </c>
      <c r="AU129" s="4">
        <v>0</v>
      </c>
      <c r="AV129" s="4">
        <v>698519.7</v>
      </c>
      <c r="AW129" s="4">
        <v>4135338.87</v>
      </c>
      <c r="AX129" s="4">
        <v>4590209.95</v>
      </c>
      <c r="AY129" s="4">
        <v>2354971.7400000002</v>
      </c>
      <c r="AZ129" s="4">
        <v>0</v>
      </c>
      <c r="BA129" s="4">
        <v>3838319.8</v>
      </c>
      <c r="BB129" s="4">
        <f t="shared" si="16"/>
        <v>635735151.31000018</v>
      </c>
    </row>
    <row r="130" spans="1:54" x14ac:dyDescent="0.2">
      <c r="A130" s="3">
        <v>42583</v>
      </c>
      <c r="B130" s="4">
        <v>0</v>
      </c>
      <c r="C130" s="4">
        <v>643848.07999999996</v>
      </c>
      <c r="D130" s="4">
        <v>68.86</v>
      </c>
      <c r="E130" s="4">
        <v>0</v>
      </c>
      <c r="F130" s="4">
        <v>4.34</v>
      </c>
      <c r="G130" s="4">
        <v>4406.17</v>
      </c>
      <c r="H130" s="4">
        <v>0</v>
      </c>
      <c r="I130" s="4">
        <v>0</v>
      </c>
      <c r="J130" s="4">
        <v>0.52</v>
      </c>
      <c r="K130" s="4">
        <v>937.44</v>
      </c>
      <c r="L130" s="4">
        <v>0</v>
      </c>
      <c r="M130" s="4">
        <v>203107.87</v>
      </c>
      <c r="N130" s="4">
        <v>260685.25</v>
      </c>
      <c r="O130" s="4">
        <v>-133.56</v>
      </c>
      <c r="P130" s="4">
        <v>856294.39</v>
      </c>
      <c r="Q130" s="4">
        <v>271512.89</v>
      </c>
      <c r="R130" s="4">
        <v>0</v>
      </c>
      <c r="S130" s="4">
        <v>150455.54999999999</v>
      </c>
      <c r="T130" s="4">
        <v>166336.18</v>
      </c>
      <c r="U130" s="4">
        <v>0</v>
      </c>
      <c r="V130" s="4">
        <v>1347044.1</v>
      </c>
      <c r="W130" s="4">
        <v>509266606.02999997</v>
      </c>
      <c r="X130" s="4">
        <v>649272.63</v>
      </c>
      <c r="Y130" s="4">
        <v>66073642.240000002</v>
      </c>
      <c r="Z130" s="4">
        <v>4312079.96</v>
      </c>
      <c r="AA130" s="4"/>
      <c r="AB130" s="4">
        <v>0</v>
      </c>
      <c r="AC130" s="4">
        <v>61023.199999999997</v>
      </c>
      <c r="AD130" s="4">
        <v>2090878.66</v>
      </c>
      <c r="AE130" s="4">
        <v>0</v>
      </c>
      <c r="AF130" s="4">
        <v>114847.51</v>
      </c>
      <c r="AG130" s="4">
        <v>0</v>
      </c>
      <c r="AH130" s="4">
        <v>326092.82</v>
      </c>
      <c r="AI130" s="4">
        <v>337569.1</v>
      </c>
      <c r="AJ130" s="4">
        <v>0</v>
      </c>
      <c r="AK130" s="4">
        <v>995179.66</v>
      </c>
      <c r="AL130" s="4">
        <v>0</v>
      </c>
      <c r="AM130" s="4">
        <v>16827.53</v>
      </c>
      <c r="AN130" s="4">
        <v>0</v>
      </c>
      <c r="AO130" s="4">
        <v>547028.91</v>
      </c>
      <c r="AP130" s="4">
        <v>0</v>
      </c>
      <c r="AQ130" s="4">
        <v>48372.21</v>
      </c>
      <c r="AR130" s="4">
        <v>1048734.23</v>
      </c>
      <c r="AS130" s="4">
        <v>0</v>
      </c>
      <c r="AT130" s="4">
        <v>10.71</v>
      </c>
      <c r="AU130" s="4">
        <v>0</v>
      </c>
      <c r="AV130" s="4">
        <v>729090.08</v>
      </c>
      <c r="AW130" s="4">
        <v>3765280.14</v>
      </c>
      <c r="AX130" s="4">
        <v>4409446.25</v>
      </c>
      <c r="AY130" s="4">
        <v>2263815.13</v>
      </c>
      <c r="AZ130" s="4">
        <v>0</v>
      </c>
      <c r="BA130" s="4">
        <v>3812464.95</v>
      </c>
      <c r="BB130" s="4">
        <f t="shared" si="16"/>
        <v>604772830.03000009</v>
      </c>
    </row>
    <row r="131" spans="1:54" x14ac:dyDescent="0.2">
      <c r="A131" s="3">
        <v>42614</v>
      </c>
      <c r="B131" s="4">
        <v>0</v>
      </c>
      <c r="C131" s="4">
        <v>961694.89</v>
      </c>
      <c r="D131" s="4">
        <v>67.53</v>
      </c>
      <c r="E131" s="4">
        <v>0</v>
      </c>
      <c r="F131" s="4">
        <v>19.329999999999998</v>
      </c>
      <c r="G131" s="4">
        <v>494.4699999999998</v>
      </c>
      <c r="H131" s="4">
        <v>0</v>
      </c>
      <c r="I131" s="4">
        <v>0</v>
      </c>
      <c r="J131" s="4">
        <v>-63.43</v>
      </c>
      <c r="K131" s="4">
        <v>147.97999999999999</v>
      </c>
      <c r="L131" s="4">
        <v>0</v>
      </c>
      <c r="M131" s="4">
        <v>352430.09</v>
      </c>
      <c r="N131" s="4">
        <v>351437</v>
      </c>
      <c r="O131" s="4">
        <v>-564.79</v>
      </c>
      <c r="P131" s="4">
        <v>1180134.48</v>
      </c>
      <c r="Q131" s="4">
        <v>425650.6</v>
      </c>
      <c r="R131" s="4">
        <v>0</v>
      </c>
      <c r="S131" s="4">
        <v>280906.8</v>
      </c>
      <c r="T131" s="4">
        <v>487560.87</v>
      </c>
      <c r="U131" s="4">
        <v>0</v>
      </c>
      <c r="V131" s="4">
        <v>1856965.49</v>
      </c>
      <c r="W131" s="4">
        <v>711778741.24000001</v>
      </c>
      <c r="X131" s="4">
        <v>1173721.04</v>
      </c>
      <c r="Y131" s="4">
        <v>101561910.03</v>
      </c>
      <c r="Z131" s="4">
        <v>5390966.2000000002</v>
      </c>
      <c r="AA131" s="4"/>
      <c r="AB131" s="4">
        <v>0</v>
      </c>
      <c r="AC131" s="4">
        <v>92667.37</v>
      </c>
      <c r="AD131" s="4">
        <v>2918272.29</v>
      </c>
      <c r="AE131" s="4">
        <v>0</v>
      </c>
      <c r="AF131" s="4">
        <v>211013.08</v>
      </c>
      <c r="AG131" s="4">
        <v>0</v>
      </c>
      <c r="AH131" s="4">
        <v>379059.24</v>
      </c>
      <c r="AI131" s="4">
        <v>495486.14</v>
      </c>
      <c r="AJ131" s="4">
        <v>0</v>
      </c>
      <c r="AK131" s="4">
        <v>1370266.28</v>
      </c>
      <c r="AL131" s="4">
        <v>0</v>
      </c>
      <c r="AM131" s="4">
        <v>22594.57</v>
      </c>
      <c r="AN131" s="4">
        <v>0</v>
      </c>
      <c r="AO131" s="4">
        <v>813483.12</v>
      </c>
      <c r="AP131" s="4">
        <v>0</v>
      </c>
      <c r="AQ131" s="4">
        <v>57702.51</v>
      </c>
      <c r="AR131" s="4">
        <v>1553476.94</v>
      </c>
      <c r="AS131" s="4">
        <v>0</v>
      </c>
      <c r="AT131" s="4">
        <v>7.41</v>
      </c>
      <c r="AU131" s="4">
        <v>0</v>
      </c>
      <c r="AV131" s="4">
        <v>1069642.22</v>
      </c>
      <c r="AW131" s="4">
        <v>4904462.82</v>
      </c>
      <c r="AX131" s="4">
        <v>6240036.8899999997</v>
      </c>
      <c r="AY131" s="4">
        <v>3042870.29</v>
      </c>
      <c r="AZ131" s="4">
        <v>0</v>
      </c>
      <c r="BA131" s="4">
        <v>5221355.93</v>
      </c>
      <c r="BB131" s="4">
        <f t="shared" si="16"/>
        <v>854194616.91999996</v>
      </c>
    </row>
    <row r="132" spans="1:54" x14ac:dyDescent="0.2">
      <c r="A132" s="3">
        <v>42644</v>
      </c>
      <c r="B132" s="4">
        <v>0</v>
      </c>
      <c r="C132" s="4">
        <v>609077.02</v>
      </c>
      <c r="D132" s="4">
        <v>68.599999999999994</v>
      </c>
      <c r="E132" s="4">
        <v>0</v>
      </c>
      <c r="F132" s="4">
        <v>601.30999999999995</v>
      </c>
      <c r="G132" s="4">
        <v>2042.64</v>
      </c>
      <c r="H132" s="4">
        <v>0</v>
      </c>
      <c r="I132" s="4">
        <v>0</v>
      </c>
      <c r="J132" s="4">
        <v>375.96</v>
      </c>
      <c r="K132" s="4">
        <v>132.66</v>
      </c>
      <c r="L132" s="4">
        <v>0</v>
      </c>
      <c r="M132" s="4">
        <v>224783.34</v>
      </c>
      <c r="N132" s="4">
        <v>191025.03</v>
      </c>
      <c r="O132" s="4">
        <v>188.70999999999998</v>
      </c>
      <c r="P132" s="4">
        <v>843761.21</v>
      </c>
      <c r="Q132" s="4">
        <v>287799.77</v>
      </c>
      <c r="R132" s="4">
        <v>0</v>
      </c>
      <c r="S132" s="4">
        <v>151343.65</v>
      </c>
      <c r="T132" s="4">
        <v>122427.11</v>
      </c>
      <c r="U132" s="4">
        <v>0</v>
      </c>
      <c r="V132" s="4">
        <v>1372923.59</v>
      </c>
      <c r="W132" s="4">
        <v>550135703.45000005</v>
      </c>
      <c r="X132" s="4">
        <v>456116.7</v>
      </c>
      <c r="Y132" s="4">
        <v>69786122.819999993</v>
      </c>
      <c r="Z132" s="4">
        <v>3785586.92</v>
      </c>
      <c r="AA132" s="4"/>
      <c r="AB132" s="4">
        <v>0</v>
      </c>
      <c r="AC132" s="4">
        <v>72220.94</v>
      </c>
      <c r="AD132" s="4">
        <v>2175083.56</v>
      </c>
      <c r="AE132" s="4">
        <v>0</v>
      </c>
      <c r="AF132" s="4">
        <v>141547.78</v>
      </c>
      <c r="AG132" s="4">
        <v>0</v>
      </c>
      <c r="AH132" s="4">
        <v>307120.74</v>
      </c>
      <c r="AI132" s="4">
        <v>309333.31</v>
      </c>
      <c r="AJ132" s="4">
        <v>0</v>
      </c>
      <c r="AK132" s="4">
        <v>952212.9</v>
      </c>
      <c r="AL132" s="4">
        <v>0</v>
      </c>
      <c r="AM132" s="4">
        <v>15483.2</v>
      </c>
      <c r="AN132" s="4">
        <v>0</v>
      </c>
      <c r="AO132" s="4">
        <v>520316.66</v>
      </c>
      <c r="AP132" s="4">
        <v>0</v>
      </c>
      <c r="AQ132" s="4">
        <v>37731.440000000002</v>
      </c>
      <c r="AR132" s="4">
        <v>897680.82</v>
      </c>
      <c r="AS132" s="4">
        <v>0</v>
      </c>
      <c r="AT132" s="4">
        <v>7.59</v>
      </c>
      <c r="AU132" s="4">
        <v>0</v>
      </c>
      <c r="AV132" s="4">
        <v>722703.79</v>
      </c>
      <c r="AW132" s="4">
        <v>3982450.07</v>
      </c>
      <c r="AX132" s="4">
        <v>4457287.99</v>
      </c>
      <c r="AY132" s="4">
        <v>2232133.88</v>
      </c>
      <c r="AZ132" s="4">
        <v>0</v>
      </c>
      <c r="BA132" s="4">
        <v>3690877.86</v>
      </c>
      <c r="BB132" s="4">
        <f t="shared" si="16"/>
        <v>648484273.02000022</v>
      </c>
    </row>
    <row r="133" spans="1:54" x14ac:dyDescent="0.2">
      <c r="A133" s="3">
        <v>42675</v>
      </c>
      <c r="B133" s="4">
        <v>0</v>
      </c>
      <c r="C133" s="4">
        <v>633384.79</v>
      </c>
      <c r="D133" s="4">
        <v>0</v>
      </c>
      <c r="E133" s="4">
        <v>0</v>
      </c>
      <c r="F133" s="4">
        <v>2.42</v>
      </c>
      <c r="G133" s="4">
        <v>1842.03</v>
      </c>
      <c r="H133" s="4">
        <v>0</v>
      </c>
      <c r="I133" s="4">
        <v>0</v>
      </c>
      <c r="J133" s="4">
        <v>8.9999999999999969E-2</v>
      </c>
      <c r="K133" s="4">
        <v>504.21</v>
      </c>
      <c r="L133" s="4">
        <v>0</v>
      </c>
      <c r="M133" s="4">
        <v>199878.14</v>
      </c>
      <c r="N133" s="4">
        <v>231596.3</v>
      </c>
      <c r="O133" s="4">
        <v>5423.54</v>
      </c>
      <c r="P133" s="4">
        <v>814961.89</v>
      </c>
      <c r="Q133" s="4">
        <v>270978.65000000002</v>
      </c>
      <c r="R133" s="4">
        <v>0</v>
      </c>
      <c r="S133" s="4">
        <v>148055.91</v>
      </c>
      <c r="T133" s="4">
        <v>133689.21</v>
      </c>
      <c r="U133" s="4">
        <v>0</v>
      </c>
      <c r="V133" s="4">
        <v>1374521.71</v>
      </c>
      <c r="W133" s="4">
        <v>540574977.26999998</v>
      </c>
      <c r="X133" s="4">
        <v>428783.2</v>
      </c>
      <c r="Y133" s="4">
        <v>69389437.689999998</v>
      </c>
      <c r="Z133" s="4">
        <v>3746531.17</v>
      </c>
      <c r="AA133" s="4"/>
      <c r="AB133" s="4">
        <v>0</v>
      </c>
      <c r="AC133" s="4">
        <v>65044.24</v>
      </c>
      <c r="AD133" s="4">
        <v>2122120.6800000002</v>
      </c>
      <c r="AE133" s="4">
        <v>0</v>
      </c>
      <c r="AF133" s="4">
        <v>82041.89</v>
      </c>
      <c r="AG133" s="4">
        <v>0</v>
      </c>
      <c r="AH133" s="4">
        <v>293190.61</v>
      </c>
      <c r="AI133" s="4">
        <v>334082.36</v>
      </c>
      <c r="AJ133" s="4">
        <v>0</v>
      </c>
      <c r="AK133" s="4">
        <v>1022709.79</v>
      </c>
      <c r="AL133" s="4">
        <v>0</v>
      </c>
      <c r="AM133" s="4">
        <v>15057.01</v>
      </c>
      <c r="AN133" s="4">
        <v>0</v>
      </c>
      <c r="AO133" s="4">
        <v>533030.39</v>
      </c>
      <c r="AP133" s="4">
        <v>0</v>
      </c>
      <c r="AQ133" s="4">
        <v>29470.73</v>
      </c>
      <c r="AR133" s="4">
        <v>841411.43</v>
      </c>
      <c r="AS133" s="4">
        <v>0</v>
      </c>
      <c r="AT133" s="4">
        <v>0.56999999999999995</v>
      </c>
      <c r="AU133" s="4">
        <v>0</v>
      </c>
      <c r="AV133" s="4">
        <v>722356.38</v>
      </c>
      <c r="AW133" s="4">
        <v>4044305.3</v>
      </c>
      <c r="AX133" s="4">
        <v>4415643.22</v>
      </c>
      <c r="AY133" s="4">
        <v>2219299.89</v>
      </c>
      <c r="AZ133" s="4">
        <v>0</v>
      </c>
      <c r="BA133" s="4">
        <v>3577655.42</v>
      </c>
      <c r="BB133" s="4">
        <f t="shared" si="16"/>
        <v>638271988.12999976</v>
      </c>
    </row>
    <row r="134" spans="1:54" x14ac:dyDescent="0.2">
      <c r="A134" s="3">
        <v>42705</v>
      </c>
      <c r="B134" s="4">
        <v>0</v>
      </c>
      <c r="C134" s="4">
        <v>872539.2</v>
      </c>
      <c r="D134" s="4">
        <v>-0.35</v>
      </c>
      <c r="E134" s="4">
        <v>0</v>
      </c>
      <c r="F134" s="4">
        <v>8.7200000000000006</v>
      </c>
      <c r="G134" s="4">
        <v>840.95</v>
      </c>
      <c r="H134" s="4">
        <v>0</v>
      </c>
      <c r="I134" s="4">
        <v>0</v>
      </c>
      <c r="J134" s="4">
        <v>0.15</v>
      </c>
      <c r="K134" s="4">
        <v>96.34</v>
      </c>
      <c r="L134" s="4">
        <v>0</v>
      </c>
      <c r="M134" s="4">
        <v>345565.29</v>
      </c>
      <c r="N134" s="4">
        <v>378332.86</v>
      </c>
      <c r="O134" s="4">
        <v>143.03</v>
      </c>
      <c r="P134" s="4">
        <v>1091113.7</v>
      </c>
      <c r="Q134" s="4">
        <v>335796.08</v>
      </c>
      <c r="R134" s="4">
        <v>0</v>
      </c>
      <c r="S134" s="4">
        <v>274239.46999999997</v>
      </c>
      <c r="T134" s="4">
        <v>272788.14</v>
      </c>
      <c r="U134" s="4">
        <v>0</v>
      </c>
      <c r="V134" s="4">
        <v>2063875.56</v>
      </c>
      <c r="W134" s="4">
        <v>775861719.00999999</v>
      </c>
      <c r="X134" s="4">
        <v>800332.69</v>
      </c>
      <c r="Y134" s="4">
        <v>104906231.94</v>
      </c>
      <c r="Z134" s="4">
        <v>4054245.0999999996</v>
      </c>
      <c r="AA134" s="4"/>
      <c r="AB134" s="4">
        <v>0</v>
      </c>
      <c r="AC134" s="4">
        <v>203773.56</v>
      </c>
      <c r="AD134" s="4">
        <v>2879375.44</v>
      </c>
      <c r="AE134" s="4">
        <v>0</v>
      </c>
      <c r="AF134" s="4">
        <v>78482.64</v>
      </c>
      <c r="AG134" s="4">
        <v>0</v>
      </c>
      <c r="AH134" s="4">
        <v>476084.58</v>
      </c>
      <c r="AI134" s="4">
        <v>367618.22</v>
      </c>
      <c r="AJ134" s="4">
        <v>0</v>
      </c>
      <c r="AK134" s="4">
        <v>1157543.23</v>
      </c>
      <c r="AL134" s="4">
        <v>0</v>
      </c>
      <c r="AM134" s="4">
        <v>33137.78</v>
      </c>
      <c r="AN134" s="4">
        <v>0</v>
      </c>
      <c r="AO134" s="4">
        <v>615971.15</v>
      </c>
      <c r="AP134" s="4">
        <v>0</v>
      </c>
      <c r="AQ134" s="4">
        <v>79519.7</v>
      </c>
      <c r="AR134" s="4">
        <v>1160393.73</v>
      </c>
      <c r="AS134" s="4">
        <v>0</v>
      </c>
      <c r="AT134" s="4">
        <v>16.82</v>
      </c>
      <c r="AU134" s="4">
        <v>0</v>
      </c>
      <c r="AV134" s="4">
        <v>875146.05</v>
      </c>
      <c r="AW134" s="4">
        <v>4730868.1100000003</v>
      </c>
      <c r="AX134" s="4">
        <v>6355778.5700000003</v>
      </c>
      <c r="AY134" s="4">
        <v>3191492.5</v>
      </c>
      <c r="AZ134" s="4">
        <v>0</v>
      </c>
      <c r="BA134" s="4">
        <v>5395362.1200000001</v>
      </c>
      <c r="BB134" s="4">
        <f t="shared" si="16"/>
        <v>918858432.08000016</v>
      </c>
    </row>
    <row r="135" spans="1:54" ht="15.75" thickBot="1" x14ac:dyDescent="0.25">
      <c r="A135" s="1" t="s">
        <v>171</v>
      </c>
      <c r="B135" s="5">
        <f>SUM(B123:B134)</f>
        <v>0.06</v>
      </c>
      <c r="C135" s="5">
        <f t="shared" ref="C135:BB135" si="17">SUM(C123:C134)</f>
        <v>8530043.040000001</v>
      </c>
      <c r="D135" s="5">
        <f t="shared" si="17"/>
        <v>716.61</v>
      </c>
      <c r="E135" s="5">
        <f t="shared" si="17"/>
        <v>0</v>
      </c>
      <c r="F135" s="5">
        <f t="shared" si="17"/>
        <v>1099.78</v>
      </c>
      <c r="G135" s="5">
        <f t="shared" si="17"/>
        <v>27872.500000000004</v>
      </c>
      <c r="H135" s="5">
        <f t="shared" si="17"/>
        <v>-962.05</v>
      </c>
      <c r="I135" s="5">
        <f t="shared" si="17"/>
        <v>0</v>
      </c>
      <c r="J135" s="5">
        <f t="shared" si="17"/>
        <v>-4024.1199999999994</v>
      </c>
      <c r="K135" s="5">
        <f t="shared" si="17"/>
        <v>6932.0800000000008</v>
      </c>
      <c r="L135" s="5">
        <f t="shared" si="17"/>
        <v>-1683.94</v>
      </c>
      <c r="M135" s="5">
        <f t="shared" si="17"/>
        <v>2986224.62</v>
      </c>
      <c r="N135" s="5">
        <f t="shared" si="17"/>
        <v>3291642.09</v>
      </c>
      <c r="O135" s="5">
        <f t="shared" si="17"/>
        <v>13293.81</v>
      </c>
      <c r="P135" s="5">
        <f t="shared" si="17"/>
        <v>10762471.279999997</v>
      </c>
      <c r="Q135" s="5">
        <f t="shared" si="17"/>
        <v>3719837.5200000005</v>
      </c>
      <c r="R135" s="5">
        <f t="shared" si="17"/>
        <v>0</v>
      </c>
      <c r="S135" s="5">
        <f t="shared" si="17"/>
        <v>2291405.4900000002</v>
      </c>
      <c r="T135" s="5">
        <f t="shared" si="17"/>
        <v>2343765.5499999998</v>
      </c>
      <c r="U135" s="5">
        <f t="shared" si="17"/>
        <v>0</v>
      </c>
      <c r="V135" s="5">
        <f t="shared" si="17"/>
        <v>18697560.23</v>
      </c>
      <c r="W135" s="5">
        <f t="shared" si="17"/>
        <v>7105349244.1800003</v>
      </c>
      <c r="X135" s="5">
        <f t="shared" si="17"/>
        <v>7319464.5099999998</v>
      </c>
      <c r="Y135" s="5">
        <f t="shared" si="17"/>
        <v>935543634.63000011</v>
      </c>
      <c r="Z135" s="5">
        <f t="shared" si="17"/>
        <v>47728064.49000001</v>
      </c>
      <c r="AA135" s="5"/>
      <c r="AB135" s="5">
        <f t="shared" si="17"/>
        <v>0</v>
      </c>
      <c r="AC135" s="5">
        <f t="shared" si="17"/>
        <v>1087966.5</v>
      </c>
      <c r="AD135" s="5">
        <f t="shared" si="17"/>
        <v>27979701.509999998</v>
      </c>
      <c r="AE135" s="5">
        <f t="shared" si="17"/>
        <v>-26486.39</v>
      </c>
      <c r="AF135" s="5">
        <f t="shared" si="17"/>
        <v>1528043.6099999999</v>
      </c>
      <c r="AG135" s="5">
        <f t="shared" si="17"/>
        <v>8.36</v>
      </c>
      <c r="AH135" s="5">
        <f t="shared" si="17"/>
        <v>4124726.4099999997</v>
      </c>
      <c r="AI135" s="5">
        <f t="shared" si="17"/>
        <v>4457690.71</v>
      </c>
      <c r="AJ135" s="5">
        <f t="shared" si="17"/>
        <v>0</v>
      </c>
      <c r="AK135" s="5">
        <f t="shared" si="17"/>
        <v>13060909.379999999</v>
      </c>
      <c r="AL135" s="5">
        <f t="shared" si="17"/>
        <v>-194.05</v>
      </c>
      <c r="AM135" s="5">
        <f t="shared" si="17"/>
        <v>248717.64</v>
      </c>
      <c r="AN135" s="5">
        <f t="shared" si="17"/>
        <v>0</v>
      </c>
      <c r="AO135" s="5">
        <f t="shared" si="17"/>
        <v>7029492.4699999997</v>
      </c>
      <c r="AP135" s="5">
        <f t="shared" si="17"/>
        <v>0</v>
      </c>
      <c r="AQ135" s="5">
        <f t="shared" si="17"/>
        <v>584334.74</v>
      </c>
      <c r="AR135" s="5">
        <f t="shared" si="17"/>
        <v>11934886.959999999</v>
      </c>
      <c r="AS135" s="5">
        <f t="shared" si="17"/>
        <v>0</v>
      </c>
      <c r="AT135" s="5">
        <f t="shared" si="17"/>
        <v>376.10999999999996</v>
      </c>
      <c r="AU135" s="5">
        <f t="shared" si="17"/>
        <v>0</v>
      </c>
      <c r="AV135" s="5">
        <f t="shared" si="17"/>
        <v>9670920.4900000002</v>
      </c>
      <c r="AW135" s="5">
        <f t="shared" si="17"/>
        <v>50255787.020000003</v>
      </c>
      <c r="AX135" s="5">
        <f t="shared" si="17"/>
        <v>59079351.349999994</v>
      </c>
      <c r="AY135" s="5">
        <f t="shared" si="17"/>
        <v>29646289.539999999</v>
      </c>
      <c r="AZ135" s="5">
        <f t="shared" si="17"/>
        <v>0</v>
      </c>
      <c r="BA135" s="5">
        <f t="shared" si="17"/>
        <v>49862820.839999996</v>
      </c>
      <c r="BB135" s="5">
        <f t="shared" si="17"/>
        <v>8419131945.5600014</v>
      </c>
    </row>
    <row r="136" spans="1:54" ht="15.75" thickTop="1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</row>
    <row r="137" spans="1:54" x14ac:dyDescent="0.2">
      <c r="A137" s="3">
        <v>42005</v>
      </c>
      <c r="B137" s="4">
        <v>0</v>
      </c>
      <c r="C137" s="4">
        <v>725165.08</v>
      </c>
      <c r="D137" s="4">
        <v>0</v>
      </c>
      <c r="E137" s="4">
        <v>0</v>
      </c>
      <c r="F137" s="4">
        <v>0</v>
      </c>
      <c r="G137" s="4">
        <v>208487.87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217835.67</v>
      </c>
      <c r="N137" s="4">
        <v>271794.99</v>
      </c>
      <c r="O137" s="4">
        <v>214098.25</v>
      </c>
      <c r="P137" s="4">
        <v>807396.16</v>
      </c>
      <c r="Q137" s="4">
        <v>333899.44</v>
      </c>
      <c r="R137" s="4">
        <v>0</v>
      </c>
      <c r="S137" s="4">
        <v>207919.13</v>
      </c>
      <c r="T137" s="4">
        <v>77170.009999999995</v>
      </c>
      <c r="U137" s="4">
        <v>0</v>
      </c>
      <c r="V137" s="4">
        <v>1664942.74</v>
      </c>
      <c r="W137" s="4">
        <v>583075235.66999996</v>
      </c>
      <c r="X137" s="4">
        <v>490776.22</v>
      </c>
      <c r="Y137" s="4">
        <v>68910000.870000005</v>
      </c>
      <c r="Z137" s="4">
        <v>3016.03</v>
      </c>
      <c r="AA137" s="4"/>
      <c r="AB137" s="4">
        <v>0</v>
      </c>
      <c r="AC137" s="4">
        <v>109713.73</v>
      </c>
      <c r="AD137" s="4">
        <v>2007496.29</v>
      </c>
      <c r="AE137" s="4">
        <v>0</v>
      </c>
      <c r="AF137" s="4">
        <v>127705.18</v>
      </c>
      <c r="AG137" s="4">
        <v>0</v>
      </c>
      <c r="AH137" s="4">
        <v>362935.61</v>
      </c>
      <c r="AI137" s="4">
        <v>352981.52</v>
      </c>
      <c r="AJ137" s="4">
        <v>0</v>
      </c>
      <c r="AK137" s="4">
        <v>1074082.3400000001</v>
      </c>
      <c r="AL137" s="4">
        <v>0</v>
      </c>
      <c r="AM137" s="4">
        <v>40612.82</v>
      </c>
      <c r="AN137" s="4">
        <v>0</v>
      </c>
      <c r="AO137" s="4">
        <v>562192.42000000004</v>
      </c>
      <c r="AP137" s="4">
        <v>0</v>
      </c>
      <c r="AQ137" s="4">
        <v>54668.44</v>
      </c>
      <c r="AR137" s="4">
        <v>769950.39</v>
      </c>
      <c r="AS137" s="4">
        <v>0</v>
      </c>
      <c r="AT137" s="4">
        <v>0</v>
      </c>
      <c r="AU137" s="4">
        <v>0</v>
      </c>
      <c r="AV137" s="4">
        <v>754993.06</v>
      </c>
      <c r="AW137" s="4">
        <v>4814128.24</v>
      </c>
      <c r="AX137" s="4">
        <v>3671123.28</v>
      </c>
      <c r="AY137" s="4">
        <v>2447415.39</v>
      </c>
      <c r="AZ137" s="4">
        <v>0</v>
      </c>
      <c r="BA137" s="4">
        <v>-88238.32</v>
      </c>
      <c r="BB137" s="4">
        <f t="shared" ref="BB137:BB142" si="18">SUM(B137:BA137)</f>
        <v>674269498.51999986</v>
      </c>
    </row>
    <row r="138" spans="1:54" x14ac:dyDescent="0.2">
      <c r="A138" s="3">
        <v>42036</v>
      </c>
      <c r="B138" s="4">
        <v>0</v>
      </c>
      <c r="C138" s="4">
        <v>587441.99</v>
      </c>
      <c r="D138" s="4">
        <v>0</v>
      </c>
      <c r="E138" s="4">
        <v>0</v>
      </c>
      <c r="F138" s="4">
        <v>0</v>
      </c>
      <c r="G138" s="4">
        <v>170117.74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184010.15</v>
      </c>
      <c r="N138" s="4">
        <v>222209.15</v>
      </c>
      <c r="O138" s="4">
        <v>157754.92000000001</v>
      </c>
      <c r="P138" s="4">
        <v>647465.29</v>
      </c>
      <c r="Q138" s="4">
        <v>281364.47999999998</v>
      </c>
      <c r="R138" s="4">
        <v>0</v>
      </c>
      <c r="S138" s="4">
        <v>179736.17</v>
      </c>
      <c r="T138" s="4">
        <v>79337.710000000006</v>
      </c>
      <c r="U138" s="4">
        <v>0</v>
      </c>
      <c r="V138" s="4">
        <v>1319818.25</v>
      </c>
      <c r="W138" s="4">
        <v>472119029.63999999</v>
      </c>
      <c r="X138" s="4">
        <v>466650.89</v>
      </c>
      <c r="Y138" s="4">
        <v>56361688.960000001</v>
      </c>
      <c r="Z138" s="4">
        <v>489.74</v>
      </c>
      <c r="AA138" s="4"/>
      <c r="AB138" s="4">
        <v>0</v>
      </c>
      <c r="AC138" s="4">
        <v>95144.58</v>
      </c>
      <c r="AD138" s="4">
        <v>1736294.47</v>
      </c>
      <c r="AE138" s="4">
        <v>0</v>
      </c>
      <c r="AF138" s="4">
        <v>107307.63</v>
      </c>
      <c r="AG138" s="4">
        <v>0</v>
      </c>
      <c r="AH138" s="4">
        <v>297421.03999999998</v>
      </c>
      <c r="AI138" s="4">
        <v>298629.92</v>
      </c>
      <c r="AJ138" s="4">
        <v>0</v>
      </c>
      <c r="AK138" s="4">
        <v>818866.84</v>
      </c>
      <c r="AL138" s="4">
        <v>0</v>
      </c>
      <c r="AM138" s="4">
        <v>32096.67</v>
      </c>
      <c r="AN138" s="4">
        <v>0</v>
      </c>
      <c r="AO138" s="4">
        <v>463899.5</v>
      </c>
      <c r="AP138" s="4">
        <v>0</v>
      </c>
      <c r="AQ138" s="4">
        <v>44326.54</v>
      </c>
      <c r="AR138" s="4">
        <v>663350.94999999995</v>
      </c>
      <c r="AS138" s="4">
        <v>0</v>
      </c>
      <c r="AT138" s="4">
        <v>0</v>
      </c>
      <c r="AU138" s="4">
        <v>0</v>
      </c>
      <c r="AV138" s="4">
        <v>648131.96</v>
      </c>
      <c r="AW138" s="4">
        <v>3878104.31</v>
      </c>
      <c r="AX138" s="4">
        <v>3124970.36</v>
      </c>
      <c r="AY138" s="4">
        <v>2083313.42</v>
      </c>
      <c r="AZ138" s="4">
        <v>50</v>
      </c>
      <c r="BA138" s="4">
        <v>68050.36</v>
      </c>
      <c r="BB138" s="4">
        <f t="shared" si="18"/>
        <v>547137073.63</v>
      </c>
    </row>
    <row r="139" spans="1:54" x14ac:dyDescent="0.2">
      <c r="A139" s="3">
        <v>42064</v>
      </c>
      <c r="B139" s="4">
        <v>0</v>
      </c>
      <c r="C139" s="4">
        <v>818167.17</v>
      </c>
      <c r="D139" s="4">
        <v>471.02</v>
      </c>
      <c r="E139" s="4">
        <v>0</v>
      </c>
      <c r="F139" s="4">
        <v>577.42999999999995</v>
      </c>
      <c r="G139" s="4">
        <v>148950.63</v>
      </c>
      <c r="H139" s="4">
        <v>0</v>
      </c>
      <c r="I139" s="4">
        <v>0</v>
      </c>
      <c r="J139" s="4">
        <v>0</v>
      </c>
      <c r="K139" s="4">
        <v>2490.29</v>
      </c>
      <c r="L139" s="4">
        <v>0</v>
      </c>
      <c r="M139" s="4">
        <v>292388.76</v>
      </c>
      <c r="N139" s="4">
        <v>326854.17</v>
      </c>
      <c r="O139" s="4">
        <v>149935.79999999999</v>
      </c>
      <c r="P139" s="4">
        <v>903317.58</v>
      </c>
      <c r="Q139" s="4">
        <v>219139.02</v>
      </c>
      <c r="R139" s="4">
        <v>0</v>
      </c>
      <c r="S139" s="4">
        <v>217002.63</v>
      </c>
      <c r="T139" s="4">
        <v>394333.08</v>
      </c>
      <c r="U139" s="4">
        <v>0</v>
      </c>
      <c r="V139" s="4">
        <v>1618502.33</v>
      </c>
      <c r="W139" s="4">
        <v>604708555.71000004</v>
      </c>
      <c r="X139" s="4">
        <v>459129.94</v>
      </c>
      <c r="Y139" s="4">
        <v>88292587.090000004</v>
      </c>
      <c r="Z139" s="4">
        <v>8939598.5800000001</v>
      </c>
      <c r="AA139" s="4"/>
      <c r="AB139" s="4">
        <v>0</v>
      </c>
      <c r="AC139" s="4">
        <v>108421.47</v>
      </c>
      <c r="AD139" s="4">
        <v>2340165.14</v>
      </c>
      <c r="AE139" s="4">
        <v>0</v>
      </c>
      <c r="AF139" s="4">
        <v>133020.91</v>
      </c>
      <c r="AG139" s="4">
        <v>1.1299999999999999</v>
      </c>
      <c r="AH139" s="4">
        <v>428582.31</v>
      </c>
      <c r="AI139" s="4">
        <v>433082.78999999992</v>
      </c>
      <c r="AJ139" s="4">
        <v>0</v>
      </c>
      <c r="AK139" s="4">
        <v>1165962.0900000001</v>
      </c>
      <c r="AL139" s="4">
        <v>0</v>
      </c>
      <c r="AM139" s="4">
        <v>12300.78</v>
      </c>
      <c r="AN139" s="4">
        <v>0</v>
      </c>
      <c r="AO139" s="4">
        <v>572948.09</v>
      </c>
      <c r="AP139" s="4">
        <v>0</v>
      </c>
      <c r="AQ139" s="4">
        <v>54318.259999999995</v>
      </c>
      <c r="AR139" s="4">
        <v>992095.96</v>
      </c>
      <c r="AS139" s="4">
        <v>0</v>
      </c>
      <c r="AT139" s="4">
        <v>206.65</v>
      </c>
      <c r="AU139" s="4">
        <v>0</v>
      </c>
      <c r="AV139" s="4">
        <v>847305.55</v>
      </c>
      <c r="AW139" s="4">
        <v>4197947.05</v>
      </c>
      <c r="AX139" s="4">
        <v>4030678.34</v>
      </c>
      <c r="AY139" s="4">
        <v>2687118.87</v>
      </c>
      <c r="AZ139" s="4">
        <v>0</v>
      </c>
      <c r="BA139" s="4">
        <v>9790126.6999999993</v>
      </c>
      <c r="BB139" s="4">
        <f t="shared" si="18"/>
        <v>735286283.32000005</v>
      </c>
    </row>
    <row r="140" spans="1:54" x14ac:dyDescent="0.2">
      <c r="A140" s="3">
        <v>42095</v>
      </c>
      <c r="B140" s="4">
        <v>0</v>
      </c>
      <c r="C140" s="4">
        <v>575078.29</v>
      </c>
      <c r="D140" s="4">
        <v>0</v>
      </c>
      <c r="E140" s="4">
        <v>0</v>
      </c>
      <c r="F140" s="4">
        <v>0</v>
      </c>
      <c r="G140" s="4">
        <v>2836.56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198353.02</v>
      </c>
      <c r="N140" s="4">
        <v>264368.92</v>
      </c>
      <c r="O140" s="4">
        <v>-12986.9</v>
      </c>
      <c r="P140" s="4">
        <v>792149.09</v>
      </c>
      <c r="Q140" s="4">
        <v>251292.08</v>
      </c>
      <c r="R140" s="4">
        <v>0</v>
      </c>
      <c r="S140" s="4">
        <v>171518.44</v>
      </c>
      <c r="T140" s="4">
        <v>166133.35999999999</v>
      </c>
      <c r="U140" s="4">
        <v>0</v>
      </c>
      <c r="V140" s="4">
        <v>1428100.82</v>
      </c>
      <c r="W140" s="4">
        <v>540972820.62</v>
      </c>
      <c r="X140" s="4">
        <v>470509.97</v>
      </c>
      <c r="Y140" s="4">
        <v>67712533.239999995</v>
      </c>
      <c r="Z140" s="4">
        <v>127019.45</v>
      </c>
      <c r="AA140" s="4"/>
      <c r="AB140" s="4">
        <v>0</v>
      </c>
      <c r="AC140" s="4">
        <v>88826.75</v>
      </c>
      <c r="AD140" s="4">
        <v>2205991.5299999998</v>
      </c>
      <c r="AE140" s="4">
        <v>0</v>
      </c>
      <c r="AF140" s="4">
        <v>117915.75</v>
      </c>
      <c r="AG140" s="4">
        <v>0</v>
      </c>
      <c r="AH140" s="4">
        <v>258610.96</v>
      </c>
      <c r="AI140" s="4">
        <v>336709.44</v>
      </c>
      <c r="AJ140" s="4">
        <v>0</v>
      </c>
      <c r="AK140" s="4">
        <v>1013908.65</v>
      </c>
      <c r="AL140" s="4">
        <v>0</v>
      </c>
      <c r="AM140" s="4">
        <v>21619.78</v>
      </c>
      <c r="AN140" s="4">
        <v>0</v>
      </c>
      <c r="AO140" s="4">
        <v>535087.71</v>
      </c>
      <c r="AP140" s="4">
        <v>0</v>
      </c>
      <c r="AQ140" s="4">
        <v>44266.89</v>
      </c>
      <c r="AR140" s="4">
        <v>739363.4</v>
      </c>
      <c r="AS140" s="4">
        <v>0</v>
      </c>
      <c r="AT140" s="4">
        <v>0</v>
      </c>
      <c r="AU140" s="4">
        <v>0</v>
      </c>
      <c r="AV140" s="4">
        <v>743807.12</v>
      </c>
      <c r="AW140" s="4">
        <v>4048470.87</v>
      </c>
      <c r="AX140" s="4">
        <v>3506133.02</v>
      </c>
      <c r="AY140" s="4">
        <v>2337421.35</v>
      </c>
      <c r="AZ140" s="4">
        <v>0</v>
      </c>
      <c r="BA140" s="4">
        <v>140442.65</v>
      </c>
      <c r="BB140" s="4">
        <f t="shared" si="18"/>
        <v>629258302.83000004</v>
      </c>
    </row>
    <row r="141" spans="1:54" x14ac:dyDescent="0.2">
      <c r="A141" s="3">
        <v>42125</v>
      </c>
      <c r="B141" s="4">
        <v>0</v>
      </c>
      <c r="C141" s="4">
        <v>637703.93000000005</v>
      </c>
      <c r="D141" s="4">
        <v>0</v>
      </c>
      <c r="E141" s="4">
        <v>0</v>
      </c>
      <c r="F141" s="4">
        <v>0</v>
      </c>
      <c r="G141" s="4">
        <v>-232.7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200945.74</v>
      </c>
      <c r="N141" s="4">
        <v>244286.94</v>
      </c>
      <c r="O141" s="4">
        <v>3705.59</v>
      </c>
      <c r="P141" s="4">
        <v>803397.95</v>
      </c>
      <c r="Q141" s="4">
        <v>254177.38</v>
      </c>
      <c r="R141" s="4">
        <v>0</v>
      </c>
      <c r="S141" s="4">
        <v>172926.7</v>
      </c>
      <c r="T141" s="4">
        <v>108717.12</v>
      </c>
      <c r="U141" s="4">
        <v>0</v>
      </c>
      <c r="V141" s="4">
        <v>1443506.98</v>
      </c>
      <c r="W141" s="4">
        <v>520800403.08999997</v>
      </c>
      <c r="X141" s="4">
        <v>504394.35</v>
      </c>
      <c r="Y141" s="4">
        <v>65231711.030000001</v>
      </c>
      <c r="Z141" s="4">
        <v>99195.02</v>
      </c>
      <c r="AA141" s="4"/>
      <c r="AB141" s="4">
        <v>0</v>
      </c>
      <c r="AC141" s="4">
        <v>89591.45</v>
      </c>
      <c r="AD141" s="4">
        <v>2127374.2200000002</v>
      </c>
      <c r="AE141" s="4">
        <v>0</v>
      </c>
      <c r="AF141" s="4">
        <v>118226.06</v>
      </c>
      <c r="AG141" s="4">
        <v>0</v>
      </c>
      <c r="AH141" s="4">
        <v>336103.05</v>
      </c>
      <c r="AI141" s="4">
        <v>332031.65999999997</v>
      </c>
      <c r="AJ141" s="4">
        <v>0</v>
      </c>
      <c r="AK141" s="4">
        <v>986123.21</v>
      </c>
      <c r="AL141" s="4">
        <v>0</v>
      </c>
      <c r="AM141" s="4">
        <v>21981.119999999999</v>
      </c>
      <c r="AN141" s="4">
        <v>0</v>
      </c>
      <c r="AO141" s="4">
        <v>519259.81</v>
      </c>
      <c r="AP141" s="4">
        <v>0</v>
      </c>
      <c r="AQ141" s="4">
        <v>45820.480000000003</v>
      </c>
      <c r="AR141" s="4">
        <v>772811.07</v>
      </c>
      <c r="AS141" s="4">
        <v>0</v>
      </c>
      <c r="AT141" s="4">
        <v>0</v>
      </c>
      <c r="AU141" s="4">
        <v>0</v>
      </c>
      <c r="AV141" s="4">
        <v>751646.85</v>
      </c>
      <c r="AW141" s="4">
        <v>4109420.21</v>
      </c>
      <c r="AX141" s="4">
        <v>3469184.44</v>
      </c>
      <c r="AY141" s="4">
        <v>2312789.2400000002</v>
      </c>
      <c r="AZ141" s="4">
        <v>0</v>
      </c>
      <c r="BA141" s="4">
        <v>239096.28</v>
      </c>
      <c r="BB141" s="4">
        <f t="shared" si="18"/>
        <v>606736298.2700001</v>
      </c>
    </row>
    <row r="142" spans="1:54" x14ac:dyDescent="0.2">
      <c r="A142" s="3">
        <v>42156</v>
      </c>
      <c r="B142" s="4">
        <v>0</v>
      </c>
      <c r="C142" s="4">
        <v>864755.03000000014</v>
      </c>
      <c r="D142" s="4">
        <v>197.24</v>
      </c>
      <c r="E142" s="4">
        <v>0</v>
      </c>
      <c r="F142" s="4">
        <v>410.27</v>
      </c>
      <c r="G142" s="4">
        <v>1751.72</v>
      </c>
      <c r="H142" s="4">
        <v>0</v>
      </c>
      <c r="I142" s="4">
        <v>0</v>
      </c>
      <c r="J142" s="4">
        <v>0</v>
      </c>
      <c r="K142" s="4">
        <v>2314.63</v>
      </c>
      <c r="L142" s="4">
        <v>0</v>
      </c>
      <c r="M142" s="4">
        <v>311517.46999999997</v>
      </c>
      <c r="N142" s="4">
        <v>374327</v>
      </c>
      <c r="O142" s="4">
        <v>-5944.2</v>
      </c>
      <c r="P142" s="4">
        <v>1117897.3600000003</v>
      </c>
      <c r="Q142" s="4">
        <v>391727.07</v>
      </c>
      <c r="R142" s="4">
        <v>0</v>
      </c>
      <c r="S142" s="4">
        <v>237493.2</v>
      </c>
      <c r="T142" s="4">
        <v>281884.13</v>
      </c>
      <c r="U142" s="4">
        <v>0</v>
      </c>
      <c r="V142" s="4">
        <v>1817507.12</v>
      </c>
      <c r="W142" s="4">
        <v>679925000.47000003</v>
      </c>
      <c r="X142" s="4">
        <v>796965.53</v>
      </c>
      <c r="Y142" s="4">
        <v>95751768.420000002</v>
      </c>
      <c r="Z142" s="4">
        <v>10646886.59</v>
      </c>
      <c r="AA142" s="4"/>
      <c r="AB142" s="4">
        <v>0</v>
      </c>
      <c r="AC142" s="4">
        <v>137146.94</v>
      </c>
      <c r="AD142" s="4">
        <v>2876766.7</v>
      </c>
      <c r="AE142" s="4">
        <v>0</v>
      </c>
      <c r="AF142" s="4">
        <v>140841.19</v>
      </c>
      <c r="AG142" s="4">
        <v>6.5</v>
      </c>
      <c r="AH142" s="4">
        <v>416615.5</v>
      </c>
      <c r="AI142" s="4">
        <v>489248.41000000003</v>
      </c>
      <c r="AJ142" s="4">
        <v>0</v>
      </c>
      <c r="AK142" s="4">
        <v>1421020.34</v>
      </c>
      <c r="AL142" s="4">
        <v>0</v>
      </c>
      <c r="AM142" s="4">
        <v>24422.49</v>
      </c>
      <c r="AN142" s="4">
        <v>0</v>
      </c>
      <c r="AO142" s="4">
        <v>744569.15</v>
      </c>
      <c r="AP142" s="4">
        <v>0</v>
      </c>
      <c r="AQ142" s="4">
        <v>55401.79</v>
      </c>
      <c r="AR142" s="4">
        <v>1370181.25</v>
      </c>
      <c r="AS142" s="4">
        <v>0</v>
      </c>
      <c r="AT142" s="4">
        <v>133.54</v>
      </c>
      <c r="AU142" s="4">
        <v>0</v>
      </c>
      <c r="AV142" s="4">
        <v>1008603.81</v>
      </c>
      <c r="AW142" s="4">
        <v>4256930.2699999996</v>
      </c>
      <c r="AX142" s="4">
        <v>4172492.8199999994</v>
      </c>
      <c r="AY142" s="4">
        <v>2781658.84</v>
      </c>
      <c r="AZ142" s="4">
        <v>0</v>
      </c>
      <c r="BA142" s="4">
        <v>11395994.369999999</v>
      </c>
      <c r="BB142" s="4">
        <f t="shared" si="18"/>
        <v>823808492.96000004</v>
      </c>
    </row>
    <row r="143" spans="1:54" x14ac:dyDescent="0.2">
      <c r="A143" s="3">
        <v>42186</v>
      </c>
      <c r="B143" s="4">
        <v>0</v>
      </c>
      <c r="C143" s="4">
        <v>670479.46</v>
      </c>
      <c r="D143" s="4">
        <v>0</v>
      </c>
      <c r="E143" s="4">
        <v>0</v>
      </c>
      <c r="F143" s="4">
        <v>0</v>
      </c>
      <c r="G143" s="4">
        <v>9812.14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241800.59</v>
      </c>
      <c r="N143" s="4">
        <v>278123.01</v>
      </c>
      <c r="O143" s="4">
        <v>-4494.09</v>
      </c>
      <c r="P143" s="4">
        <v>836502.27</v>
      </c>
      <c r="Q143" s="4">
        <v>281581.59999999998</v>
      </c>
      <c r="R143" s="4">
        <v>0</v>
      </c>
      <c r="S143" s="4">
        <v>153874.97</v>
      </c>
      <c r="T143" s="4">
        <v>165966.72</v>
      </c>
      <c r="U143" s="4">
        <v>0</v>
      </c>
      <c r="V143" s="4">
        <v>1392086.12</v>
      </c>
      <c r="W143" s="4">
        <v>526036305.17000002</v>
      </c>
      <c r="X143" s="4">
        <v>680125.7</v>
      </c>
      <c r="Y143" s="4">
        <v>71271391.950000003</v>
      </c>
      <c r="Z143" s="4">
        <v>46599.46</v>
      </c>
      <c r="AA143" s="4"/>
      <c r="AB143" s="4">
        <v>0</v>
      </c>
      <c r="AC143" s="4">
        <v>70652.77</v>
      </c>
      <c r="AD143" s="4">
        <v>2135970.33</v>
      </c>
      <c r="AE143" s="4">
        <v>0</v>
      </c>
      <c r="AF143" s="4">
        <v>118018.36</v>
      </c>
      <c r="AG143" s="4">
        <v>0</v>
      </c>
      <c r="AH143" s="4">
        <v>339911.86</v>
      </c>
      <c r="AI143" s="4">
        <v>373278.38</v>
      </c>
      <c r="AJ143" s="4">
        <v>0</v>
      </c>
      <c r="AK143" s="4">
        <v>1086457.53</v>
      </c>
      <c r="AL143" s="4">
        <v>0</v>
      </c>
      <c r="AM143" s="4">
        <v>19605.63</v>
      </c>
      <c r="AN143" s="4">
        <v>0</v>
      </c>
      <c r="AO143" s="4">
        <v>574945.06999999995</v>
      </c>
      <c r="AP143" s="4">
        <v>0</v>
      </c>
      <c r="AQ143" s="4">
        <v>41546.720000000001</v>
      </c>
      <c r="AR143" s="4">
        <v>1118333.49</v>
      </c>
      <c r="AS143" s="4">
        <v>0</v>
      </c>
      <c r="AT143" s="4">
        <v>0</v>
      </c>
      <c r="AU143" s="4">
        <v>0</v>
      </c>
      <c r="AV143" s="4">
        <v>750702.16</v>
      </c>
      <c r="AW143" s="4">
        <v>3988624.9</v>
      </c>
      <c r="AX143" s="4">
        <v>3083980.31</v>
      </c>
      <c r="AY143" s="4">
        <v>2055986.74</v>
      </c>
      <c r="AZ143" s="4">
        <v>0</v>
      </c>
      <c r="BA143" s="4">
        <v>162666.28</v>
      </c>
      <c r="BB143" s="4">
        <f t="shared" ref="BB143:BB148" si="19">SUM(B143:BA143)</f>
        <v>617980835.60000002</v>
      </c>
    </row>
    <row r="144" spans="1:54" x14ac:dyDescent="0.2">
      <c r="A144" s="3">
        <v>42217</v>
      </c>
      <c r="B144" s="4">
        <v>0</v>
      </c>
      <c r="C144" s="4">
        <v>665725.96</v>
      </c>
      <c r="D144" s="4">
        <v>0</v>
      </c>
      <c r="E144" s="4">
        <v>0</v>
      </c>
      <c r="F144" s="4">
        <v>0</v>
      </c>
      <c r="G144" s="4">
        <v>3867.38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211326.34</v>
      </c>
      <c r="N144" s="4">
        <v>268242.96000000002</v>
      </c>
      <c r="O144" s="4">
        <v>-160.16999999999999</v>
      </c>
      <c r="P144" s="4">
        <v>812989.26</v>
      </c>
      <c r="Q144" s="4">
        <v>280663.75</v>
      </c>
      <c r="R144" s="4">
        <v>0</v>
      </c>
      <c r="S144" s="4">
        <v>151476.76999999999</v>
      </c>
      <c r="T144" s="4">
        <v>203349.93</v>
      </c>
      <c r="U144" s="4">
        <v>0</v>
      </c>
      <c r="V144" s="4">
        <v>1438320.09</v>
      </c>
      <c r="W144" s="4">
        <v>510440016.92000002</v>
      </c>
      <c r="X144" s="4">
        <v>657288.88</v>
      </c>
      <c r="Y144" s="4">
        <v>66316158.460000001</v>
      </c>
      <c r="Z144" s="4">
        <v>28509.5</v>
      </c>
      <c r="AA144" s="4"/>
      <c r="AB144" s="4">
        <v>0</v>
      </c>
      <c r="AC144" s="4">
        <v>65620.899999999994</v>
      </c>
      <c r="AD144" s="4">
        <v>2167462.3199999998</v>
      </c>
      <c r="AE144" s="4">
        <v>0</v>
      </c>
      <c r="AF144" s="4">
        <v>117604.32</v>
      </c>
      <c r="AG144" s="4">
        <v>0</v>
      </c>
      <c r="AH144" s="4">
        <v>309067.51</v>
      </c>
      <c r="AI144" s="4">
        <v>359877.52</v>
      </c>
      <c r="AJ144" s="4">
        <v>0</v>
      </c>
      <c r="AK144" s="4">
        <v>1005912.74</v>
      </c>
      <c r="AL144" s="4">
        <v>0</v>
      </c>
      <c r="AM144" s="4">
        <v>19245.189999999999</v>
      </c>
      <c r="AN144" s="4">
        <v>0</v>
      </c>
      <c r="AO144" s="4">
        <v>562661.79</v>
      </c>
      <c r="AP144" s="4">
        <v>0</v>
      </c>
      <c r="AQ144" s="4">
        <v>42959.17</v>
      </c>
      <c r="AR144" s="4">
        <v>1093155.8500000001</v>
      </c>
      <c r="AS144" s="4">
        <v>0</v>
      </c>
      <c r="AT144" s="4">
        <v>0</v>
      </c>
      <c r="AU144" s="4">
        <v>0</v>
      </c>
      <c r="AV144" s="4">
        <v>720433.3</v>
      </c>
      <c r="AW144" s="4">
        <v>3802375.85</v>
      </c>
      <c r="AX144" s="4">
        <v>3367215.17</v>
      </c>
      <c r="AY144" s="4">
        <v>2244810.04</v>
      </c>
      <c r="AZ144" s="4">
        <v>0</v>
      </c>
      <c r="BA144" s="4">
        <v>80931.66</v>
      </c>
      <c r="BB144" s="4">
        <f t="shared" si="19"/>
        <v>597437109.3599999</v>
      </c>
    </row>
    <row r="145" spans="1:54" x14ac:dyDescent="0.2">
      <c r="A145" s="3">
        <v>42248</v>
      </c>
      <c r="B145" s="4">
        <v>0</v>
      </c>
      <c r="C145" s="4">
        <v>823633.87</v>
      </c>
      <c r="D145" s="4">
        <v>199.78</v>
      </c>
      <c r="E145" s="4">
        <v>0</v>
      </c>
      <c r="F145" s="4">
        <v>80.319999999999993</v>
      </c>
      <c r="G145" s="4">
        <v>-571.74</v>
      </c>
      <c r="H145" s="4">
        <v>0</v>
      </c>
      <c r="I145" s="4">
        <v>0</v>
      </c>
      <c r="J145" s="4">
        <v>0</v>
      </c>
      <c r="K145" s="4">
        <v>857.28</v>
      </c>
      <c r="L145" s="4">
        <v>0</v>
      </c>
      <c r="M145" s="4">
        <v>311314.53000000003</v>
      </c>
      <c r="N145" s="4">
        <v>343194</v>
      </c>
      <c r="O145" s="4">
        <v>-193.16</v>
      </c>
      <c r="P145" s="4">
        <v>1265148.1399999999</v>
      </c>
      <c r="Q145" s="4">
        <v>415394.05</v>
      </c>
      <c r="R145" s="4">
        <v>0</v>
      </c>
      <c r="S145" s="4">
        <v>214952.59</v>
      </c>
      <c r="T145" s="4">
        <v>326165.48</v>
      </c>
      <c r="U145" s="4">
        <v>0</v>
      </c>
      <c r="V145" s="4">
        <v>1693409.1</v>
      </c>
      <c r="W145" s="4">
        <v>680735249.5</v>
      </c>
      <c r="X145" s="4">
        <v>832648.87</v>
      </c>
      <c r="Y145" s="4">
        <v>108949096.91</v>
      </c>
      <c r="Z145" s="4">
        <v>14738012.09</v>
      </c>
      <c r="AA145" s="4"/>
      <c r="AB145" s="4">
        <v>0</v>
      </c>
      <c r="AC145" s="4">
        <v>65667.600000000006</v>
      </c>
      <c r="AD145" s="4">
        <v>2966456.34</v>
      </c>
      <c r="AE145" s="4">
        <v>0</v>
      </c>
      <c r="AF145" s="4">
        <v>126803.97</v>
      </c>
      <c r="AG145" s="4">
        <v>0</v>
      </c>
      <c r="AH145" s="4">
        <v>475267.68000000005</v>
      </c>
      <c r="AI145" s="4">
        <v>421320.48</v>
      </c>
      <c r="AJ145" s="4">
        <v>0</v>
      </c>
      <c r="AK145" s="4">
        <v>1225802.98</v>
      </c>
      <c r="AL145" s="4">
        <v>0</v>
      </c>
      <c r="AM145" s="4">
        <v>11969.16</v>
      </c>
      <c r="AN145" s="4">
        <v>0</v>
      </c>
      <c r="AO145" s="4">
        <v>654919.49</v>
      </c>
      <c r="AP145" s="4">
        <v>0</v>
      </c>
      <c r="AQ145" s="4">
        <v>67964.039999999994</v>
      </c>
      <c r="AR145" s="4">
        <v>1238819.3999999999</v>
      </c>
      <c r="AS145" s="4">
        <v>0</v>
      </c>
      <c r="AT145" s="4">
        <v>147.66999999999999</v>
      </c>
      <c r="AU145" s="4">
        <v>0</v>
      </c>
      <c r="AV145" s="4">
        <v>953753.14</v>
      </c>
      <c r="AW145" s="4">
        <v>4588539.38</v>
      </c>
      <c r="AX145" s="4">
        <v>4541998.8499999996</v>
      </c>
      <c r="AY145" s="4">
        <v>2672890.52</v>
      </c>
      <c r="AZ145" s="4">
        <v>0</v>
      </c>
      <c r="BA145" s="4">
        <v>12051312.140000001</v>
      </c>
      <c r="BB145" s="4">
        <f t="shared" si="19"/>
        <v>842712224.44999993</v>
      </c>
    </row>
    <row r="146" spans="1:54" x14ac:dyDescent="0.2">
      <c r="A146" s="3">
        <v>42278</v>
      </c>
      <c r="B146" s="4">
        <v>0</v>
      </c>
      <c r="C146" s="4">
        <v>679257.33</v>
      </c>
      <c r="D146" s="4">
        <v>0</v>
      </c>
      <c r="E146" s="4">
        <v>0</v>
      </c>
      <c r="F146" s="4">
        <v>0</v>
      </c>
      <c r="G146" s="4">
        <v>5259.11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221858.59</v>
      </c>
      <c r="N146" s="4">
        <v>253419.19</v>
      </c>
      <c r="O146" s="4">
        <v>-80.89</v>
      </c>
      <c r="P146" s="4">
        <v>717478.27</v>
      </c>
      <c r="Q146" s="4">
        <v>277770.73</v>
      </c>
      <c r="R146" s="4">
        <v>0</v>
      </c>
      <c r="S146" s="4">
        <v>137162.18</v>
      </c>
      <c r="T146" s="4">
        <v>162950.89000000001</v>
      </c>
      <c r="U146" s="4">
        <v>0</v>
      </c>
      <c r="V146" s="4">
        <v>1411871.89</v>
      </c>
      <c r="W146" s="4">
        <v>665591845.75999999</v>
      </c>
      <c r="X146" s="4">
        <v>489656.99</v>
      </c>
      <c r="Y146" s="4">
        <v>58847380.479999997</v>
      </c>
      <c r="Z146" s="4">
        <v>302041.34999999998</v>
      </c>
      <c r="AA146" s="4"/>
      <c r="AB146" s="4">
        <v>0</v>
      </c>
      <c r="AC146" s="4">
        <v>71103.87</v>
      </c>
      <c r="AD146" s="4">
        <v>2082203.46</v>
      </c>
      <c r="AE146" s="4">
        <v>0</v>
      </c>
      <c r="AF146" s="4">
        <v>137162.73000000001</v>
      </c>
      <c r="AG146" s="4">
        <v>0</v>
      </c>
      <c r="AH146" s="4">
        <v>328954.57</v>
      </c>
      <c r="AI146" s="4">
        <v>344855.85</v>
      </c>
      <c r="AJ146" s="4">
        <v>0</v>
      </c>
      <c r="AK146" s="4">
        <v>1005810.3</v>
      </c>
      <c r="AL146" s="4">
        <v>0</v>
      </c>
      <c r="AM146" s="4">
        <v>17429.89</v>
      </c>
      <c r="AN146" s="4">
        <v>0</v>
      </c>
      <c r="AO146" s="4">
        <v>574001.07999999996</v>
      </c>
      <c r="AP146" s="4">
        <v>0</v>
      </c>
      <c r="AQ146" s="4">
        <v>39219.79</v>
      </c>
      <c r="AR146" s="4">
        <v>777091.86</v>
      </c>
      <c r="AS146" s="4">
        <v>0</v>
      </c>
      <c r="AT146" s="4">
        <v>0</v>
      </c>
      <c r="AU146" s="4">
        <v>0</v>
      </c>
      <c r="AV146" s="4">
        <v>758154.82</v>
      </c>
      <c r="AW146" s="4">
        <v>4311063.84</v>
      </c>
      <c r="AX146" s="4">
        <v>4637511.1500000004</v>
      </c>
      <c r="AY146" s="4">
        <v>2344043.85</v>
      </c>
      <c r="AZ146" s="4">
        <v>0</v>
      </c>
      <c r="BA146" s="4">
        <v>165531.97</v>
      </c>
      <c r="BB146" s="4">
        <f t="shared" si="19"/>
        <v>746692010.90000021</v>
      </c>
    </row>
    <row r="147" spans="1:54" x14ac:dyDescent="0.2">
      <c r="A147" s="3">
        <v>42309</v>
      </c>
      <c r="B147" s="4">
        <v>0</v>
      </c>
      <c r="C147" s="4">
        <v>680693.1</v>
      </c>
      <c r="D147" s="4">
        <v>0</v>
      </c>
      <c r="E147" s="4">
        <v>0</v>
      </c>
      <c r="F147" s="4">
        <v>0</v>
      </c>
      <c r="G147" s="4">
        <v>2481.9899999999998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204241.46</v>
      </c>
      <c r="N147" s="4">
        <v>254856.48</v>
      </c>
      <c r="O147" s="4">
        <v>5835.43</v>
      </c>
      <c r="P147" s="4">
        <v>831549.54</v>
      </c>
      <c r="Q147" s="4">
        <v>277449.03999999998</v>
      </c>
      <c r="R147" s="4">
        <v>0</v>
      </c>
      <c r="S147" s="4">
        <v>163908.14000000001</v>
      </c>
      <c r="T147" s="4">
        <v>89827.99</v>
      </c>
      <c r="U147" s="4">
        <v>0</v>
      </c>
      <c r="V147" s="4">
        <v>1419131.87</v>
      </c>
      <c r="W147" s="4">
        <v>536473592.68000001</v>
      </c>
      <c r="X147" s="4">
        <v>482755.34</v>
      </c>
      <c r="Y147" s="4">
        <v>67565253.310000002</v>
      </c>
      <c r="Z147" s="4">
        <v>-14527.36</v>
      </c>
      <c r="AA147" s="4"/>
      <c r="AB147" s="4">
        <v>0</v>
      </c>
      <c r="AC147" s="4">
        <v>99895.4</v>
      </c>
      <c r="AD147" s="4">
        <v>2112451.36</v>
      </c>
      <c r="AE147" s="4">
        <v>0</v>
      </c>
      <c r="AF147" s="4">
        <v>122538.08</v>
      </c>
      <c r="AG147" s="4">
        <v>0</v>
      </c>
      <c r="AH147" s="4">
        <v>336542.2</v>
      </c>
      <c r="AI147" s="4">
        <v>356291.33</v>
      </c>
      <c r="AJ147" s="4">
        <v>0</v>
      </c>
      <c r="AK147" s="4">
        <v>1004078</v>
      </c>
      <c r="AL147" s="4">
        <v>0</v>
      </c>
      <c r="AM147" s="4">
        <v>20072.61</v>
      </c>
      <c r="AN147" s="4">
        <v>0</v>
      </c>
      <c r="AO147" s="4">
        <v>548359.64</v>
      </c>
      <c r="AP147" s="4">
        <v>0</v>
      </c>
      <c r="AQ147" s="4">
        <v>37386.559999999998</v>
      </c>
      <c r="AR147" s="4">
        <v>891553.51</v>
      </c>
      <c r="AS147" s="4">
        <v>0</v>
      </c>
      <c r="AT147" s="4">
        <v>0</v>
      </c>
      <c r="AU147" s="4">
        <v>0</v>
      </c>
      <c r="AV147" s="4">
        <v>756316.67</v>
      </c>
      <c r="AW147" s="4">
        <v>4212720.96</v>
      </c>
      <c r="AX147" s="4">
        <v>4506079.8099999996</v>
      </c>
      <c r="AY147" s="4">
        <v>2259045.7200000002</v>
      </c>
      <c r="AZ147" s="4">
        <v>0</v>
      </c>
      <c r="BA147" s="4">
        <v>2372</v>
      </c>
      <c r="BB147" s="4">
        <f t="shared" si="19"/>
        <v>625702752.86000013</v>
      </c>
    </row>
    <row r="148" spans="1:54" x14ac:dyDescent="0.2">
      <c r="A148" s="3">
        <v>42339</v>
      </c>
      <c r="B148" s="4">
        <v>0</v>
      </c>
      <c r="C148" s="4">
        <v>790086.3</v>
      </c>
      <c r="D148" s="4">
        <v>200.52</v>
      </c>
      <c r="E148" s="4">
        <v>0</v>
      </c>
      <c r="F148" s="4">
        <v>225.67</v>
      </c>
      <c r="G148" s="4">
        <v>1032.96</v>
      </c>
      <c r="H148" s="4">
        <v>0</v>
      </c>
      <c r="I148" s="4">
        <v>0</v>
      </c>
      <c r="J148" s="4">
        <v>0</v>
      </c>
      <c r="K148" s="4">
        <v>1011.54</v>
      </c>
      <c r="L148" s="4">
        <v>0</v>
      </c>
      <c r="M148" s="4">
        <v>271930.86</v>
      </c>
      <c r="N148" s="4">
        <v>335416.96000000002</v>
      </c>
      <c r="O148" s="4">
        <v>-200.14</v>
      </c>
      <c r="P148" s="4">
        <v>1109008.04</v>
      </c>
      <c r="Q148" s="4">
        <v>372733.83000000007</v>
      </c>
      <c r="R148" s="4">
        <v>0</v>
      </c>
      <c r="S148" s="4">
        <v>272945.14</v>
      </c>
      <c r="T148" s="4">
        <v>214269.61</v>
      </c>
      <c r="U148" s="4">
        <v>0</v>
      </c>
      <c r="V148" s="4">
        <v>1830428.3200000003</v>
      </c>
      <c r="W148" s="4">
        <v>819206712.44000006</v>
      </c>
      <c r="X148" s="4">
        <v>644052.47</v>
      </c>
      <c r="Y148" s="4">
        <v>87142637.409999996</v>
      </c>
      <c r="Z148" s="4">
        <v>11808774.9</v>
      </c>
      <c r="AA148" s="4"/>
      <c r="AB148" s="4">
        <v>0</v>
      </c>
      <c r="AC148" s="4">
        <v>118161.95</v>
      </c>
      <c r="AD148" s="4">
        <v>2753824.4</v>
      </c>
      <c r="AE148" s="4">
        <v>0</v>
      </c>
      <c r="AF148" s="4">
        <v>172565.52</v>
      </c>
      <c r="AG148" s="4">
        <v>0</v>
      </c>
      <c r="AH148" s="4">
        <v>421133.7</v>
      </c>
      <c r="AI148" s="4">
        <v>425094.31000000006</v>
      </c>
      <c r="AJ148" s="4">
        <v>0</v>
      </c>
      <c r="AK148" s="4">
        <v>1347490.45</v>
      </c>
      <c r="AL148" s="4">
        <v>0</v>
      </c>
      <c r="AM148" s="4">
        <v>31320.409999999996</v>
      </c>
      <c r="AN148" s="4">
        <v>0</v>
      </c>
      <c r="AO148" s="4">
        <v>684702.46</v>
      </c>
      <c r="AP148" s="4">
        <v>0</v>
      </c>
      <c r="AQ148" s="4">
        <v>67154.02</v>
      </c>
      <c r="AR148" s="4">
        <v>1190741.76</v>
      </c>
      <c r="AS148" s="4">
        <v>0</v>
      </c>
      <c r="AT148" s="4">
        <v>132.09</v>
      </c>
      <c r="AU148" s="4">
        <v>0</v>
      </c>
      <c r="AV148" s="4">
        <v>932271.29999999993</v>
      </c>
      <c r="AW148" s="4">
        <v>4195135.51</v>
      </c>
      <c r="AX148" s="4">
        <v>5163919.1500000004</v>
      </c>
      <c r="AY148" s="4">
        <v>2602987.9900000002</v>
      </c>
      <c r="AZ148" s="4">
        <v>-50.23</v>
      </c>
      <c r="BA148" s="4">
        <v>11572111.109999999</v>
      </c>
      <c r="BB148" s="4">
        <f t="shared" si="19"/>
        <v>955679962.73000002</v>
      </c>
    </row>
    <row r="149" spans="1:54" ht="15.75" thickBot="1" x14ac:dyDescent="0.25">
      <c r="A149" s="1" t="s">
        <v>170</v>
      </c>
      <c r="B149" s="5">
        <f t="shared" ref="B149:BB149" si="20">SUM(B137:B148)</f>
        <v>0</v>
      </c>
      <c r="C149" s="5">
        <f t="shared" si="20"/>
        <v>8518187.5099999998</v>
      </c>
      <c r="D149" s="5">
        <f t="shared" si="20"/>
        <v>1068.56</v>
      </c>
      <c r="E149" s="5">
        <f t="shared" si="20"/>
        <v>0</v>
      </c>
      <c r="F149" s="5">
        <f t="shared" si="20"/>
        <v>1293.69</v>
      </c>
      <c r="G149" s="5">
        <f t="shared" si="20"/>
        <v>553793.66</v>
      </c>
      <c r="H149" s="5">
        <f t="shared" si="20"/>
        <v>0</v>
      </c>
      <c r="I149" s="5">
        <f t="shared" si="20"/>
        <v>0</v>
      </c>
      <c r="J149" s="5">
        <f t="shared" si="20"/>
        <v>0</v>
      </c>
      <c r="K149" s="5">
        <f t="shared" si="20"/>
        <v>6673.74</v>
      </c>
      <c r="L149" s="5">
        <f t="shared" si="20"/>
        <v>0</v>
      </c>
      <c r="M149" s="5">
        <f t="shared" si="20"/>
        <v>2867523.18</v>
      </c>
      <c r="N149" s="5">
        <f t="shared" si="20"/>
        <v>3437093.77</v>
      </c>
      <c r="O149" s="5">
        <f t="shared" si="20"/>
        <v>507270.44</v>
      </c>
      <c r="P149" s="5">
        <f t="shared" si="20"/>
        <v>10644298.949999999</v>
      </c>
      <c r="Q149" s="5">
        <f t="shared" si="20"/>
        <v>3637192.4699999997</v>
      </c>
      <c r="R149" s="5">
        <f t="shared" si="20"/>
        <v>0</v>
      </c>
      <c r="S149" s="5">
        <f t="shared" si="20"/>
        <v>2280916.06</v>
      </c>
      <c r="T149" s="5">
        <f t="shared" si="20"/>
        <v>2270106.0300000003</v>
      </c>
      <c r="U149" s="5">
        <f t="shared" si="20"/>
        <v>0</v>
      </c>
      <c r="V149" s="5">
        <f t="shared" si="20"/>
        <v>18477625.630000003</v>
      </c>
      <c r="W149" s="5">
        <f t="shared" si="20"/>
        <v>7140084767.6700001</v>
      </c>
      <c r="X149" s="5">
        <f t="shared" si="20"/>
        <v>6974955.1500000004</v>
      </c>
      <c r="Y149" s="5">
        <f t="shared" si="20"/>
        <v>902352208.13</v>
      </c>
      <c r="Z149" s="5">
        <f t="shared" si="20"/>
        <v>46725615.349999994</v>
      </c>
      <c r="AA149" s="5"/>
      <c r="AB149" s="5">
        <f t="shared" si="20"/>
        <v>0</v>
      </c>
      <c r="AC149" s="5">
        <f t="shared" si="20"/>
        <v>1119947.4100000001</v>
      </c>
      <c r="AD149" s="5">
        <f t="shared" si="20"/>
        <v>27512456.559999999</v>
      </c>
      <c r="AE149" s="5">
        <f t="shared" si="20"/>
        <v>0</v>
      </c>
      <c r="AF149" s="5">
        <f t="shared" si="20"/>
        <v>1539709.7</v>
      </c>
      <c r="AG149" s="5">
        <f t="shared" si="20"/>
        <v>7.63</v>
      </c>
      <c r="AH149" s="5">
        <f t="shared" si="20"/>
        <v>4311145.99</v>
      </c>
      <c r="AI149" s="5">
        <f t="shared" si="20"/>
        <v>4523401.6099999994</v>
      </c>
      <c r="AJ149" s="5">
        <f t="shared" si="20"/>
        <v>0</v>
      </c>
      <c r="AK149" s="5">
        <f t="shared" si="20"/>
        <v>13155515.470000001</v>
      </c>
      <c r="AL149" s="5">
        <f t="shared" si="20"/>
        <v>0</v>
      </c>
      <c r="AM149" s="5">
        <f t="shared" si="20"/>
        <v>272676.54999999993</v>
      </c>
      <c r="AN149" s="5">
        <f t="shared" si="20"/>
        <v>0</v>
      </c>
      <c r="AO149" s="5">
        <f t="shared" si="20"/>
        <v>6997546.209999999</v>
      </c>
      <c r="AP149" s="5">
        <f t="shared" si="20"/>
        <v>0</v>
      </c>
      <c r="AQ149" s="5">
        <f t="shared" si="20"/>
        <v>595032.69999999995</v>
      </c>
      <c r="AR149" s="5">
        <f t="shared" si="20"/>
        <v>11617448.889999999</v>
      </c>
      <c r="AS149" s="5">
        <f t="shared" si="20"/>
        <v>0</v>
      </c>
      <c r="AT149" s="5">
        <f t="shared" si="20"/>
        <v>619.95000000000005</v>
      </c>
      <c r="AU149" s="5">
        <f t="shared" si="20"/>
        <v>0</v>
      </c>
      <c r="AV149" s="5">
        <f t="shared" si="20"/>
        <v>9626119.7400000021</v>
      </c>
      <c r="AW149" s="5">
        <f t="shared" si="20"/>
        <v>50403461.390000001</v>
      </c>
      <c r="AX149" s="5">
        <f t="shared" si="20"/>
        <v>47275286.700000003</v>
      </c>
      <c r="AY149" s="5">
        <f t="shared" si="20"/>
        <v>28829481.969999999</v>
      </c>
      <c r="AZ149" s="5">
        <f t="shared" si="20"/>
        <v>-0.22999999999999687</v>
      </c>
      <c r="BA149" s="5">
        <f t="shared" si="20"/>
        <v>45580397.200000003</v>
      </c>
      <c r="BB149" s="5">
        <f t="shared" si="20"/>
        <v>8402700845.4300003</v>
      </c>
    </row>
    <row r="150" spans="1:54" ht="15.75" thickTop="1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</row>
    <row r="151" spans="1:54" x14ac:dyDescent="0.2">
      <c r="A151" s="3">
        <v>41640</v>
      </c>
      <c r="B151" s="4">
        <v>0</v>
      </c>
      <c r="C151" s="4">
        <v>633113.06999999995</v>
      </c>
      <c r="D151" s="4">
        <v>0</v>
      </c>
      <c r="E151" s="4">
        <v>0</v>
      </c>
      <c r="F151" s="4">
        <v>0</v>
      </c>
      <c r="G151" s="4">
        <v>190318.98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228440.8</v>
      </c>
      <c r="N151" s="4">
        <v>193589.97</v>
      </c>
      <c r="O151" s="4">
        <v>207443.71</v>
      </c>
      <c r="P151" s="4">
        <v>744297.48</v>
      </c>
      <c r="Q151" s="4">
        <v>258842.65</v>
      </c>
      <c r="R151" s="4">
        <v>0</v>
      </c>
      <c r="S151" s="4">
        <v>189087.05</v>
      </c>
      <c r="T151" s="4">
        <v>43138.68</v>
      </c>
      <c r="U151" s="4">
        <v>0</v>
      </c>
      <c r="V151" s="4">
        <v>1486936.48</v>
      </c>
      <c r="W151" s="4">
        <v>547518241.90999997</v>
      </c>
      <c r="X151" s="4">
        <v>449320.66</v>
      </c>
      <c r="Y151" s="4">
        <v>67370301.579999998</v>
      </c>
      <c r="Z151" s="4">
        <v>-515517.08</v>
      </c>
      <c r="AA151" s="4"/>
      <c r="AB151" s="4">
        <v>0</v>
      </c>
      <c r="AC151" s="4">
        <v>101446.53</v>
      </c>
      <c r="AD151" s="4">
        <v>1999478.78</v>
      </c>
      <c r="AE151" s="4">
        <v>0</v>
      </c>
      <c r="AF151" s="4">
        <v>110112.32000000001</v>
      </c>
      <c r="AG151" s="4">
        <v>0</v>
      </c>
      <c r="AH151" s="4">
        <v>339517.83</v>
      </c>
      <c r="AI151" s="4">
        <v>341983.03</v>
      </c>
      <c r="AJ151" s="4">
        <v>0</v>
      </c>
      <c r="AK151" s="4">
        <v>1041462.94</v>
      </c>
      <c r="AL151" s="4">
        <v>0</v>
      </c>
      <c r="AM151" s="4">
        <v>31446.81</v>
      </c>
      <c r="AN151" s="4">
        <v>0</v>
      </c>
      <c r="AO151" s="4">
        <v>527704.88</v>
      </c>
      <c r="AP151" s="4">
        <v>0</v>
      </c>
      <c r="AQ151" s="4">
        <v>42761.11</v>
      </c>
      <c r="AR151" s="4">
        <v>719250.58</v>
      </c>
      <c r="AS151" s="4">
        <v>0</v>
      </c>
      <c r="AT151" s="4">
        <v>0</v>
      </c>
      <c r="AU151" s="4">
        <v>0</v>
      </c>
      <c r="AV151" s="4">
        <v>701230.35</v>
      </c>
      <c r="AW151" s="4">
        <v>4875684.79</v>
      </c>
      <c r="AX151" s="4">
        <v>3759774.25</v>
      </c>
      <c r="AY151" s="4">
        <v>2506514.94</v>
      </c>
      <c r="AZ151" s="4">
        <v>73000</v>
      </c>
      <c r="BA151" s="4">
        <v>93797.09</v>
      </c>
      <c r="BB151" s="4">
        <f t="shared" ref="BB151:BB162" si="21">SUM(B151:BA151)</f>
        <v>636262722.17000008</v>
      </c>
    </row>
    <row r="152" spans="1:54" x14ac:dyDescent="0.2">
      <c r="A152" s="3">
        <v>41671</v>
      </c>
      <c r="B152" s="4">
        <v>0</v>
      </c>
      <c r="C152" s="4">
        <v>544603.59</v>
      </c>
      <c r="D152" s="4">
        <v>0</v>
      </c>
      <c r="E152" s="4">
        <v>0</v>
      </c>
      <c r="F152" s="4">
        <v>0</v>
      </c>
      <c r="G152" s="4">
        <v>158145.69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168280.89</v>
      </c>
      <c r="N152" s="4">
        <v>162211.07</v>
      </c>
      <c r="O152" s="4">
        <v>176675.78</v>
      </c>
      <c r="P152" s="4">
        <v>636236.22</v>
      </c>
      <c r="Q152" s="4">
        <v>207583.79</v>
      </c>
      <c r="R152" s="4">
        <v>0</v>
      </c>
      <c r="S152" s="4">
        <v>163144.81</v>
      </c>
      <c r="T152" s="4">
        <v>42163.86</v>
      </c>
      <c r="U152" s="4">
        <v>0</v>
      </c>
      <c r="V152" s="4">
        <v>1333766.97</v>
      </c>
      <c r="W152" s="4">
        <v>463562224.06</v>
      </c>
      <c r="X152" s="4">
        <v>366273.14</v>
      </c>
      <c r="Y152" s="4">
        <v>57209014.909999996</v>
      </c>
      <c r="Z152" s="4">
        <v>62352.73</v>
      </c>
      <c r="AA152" s="4"/>
      <c r="AB152" s="4">
        <v>0</v>
      </c>
      <c r="AC152" s="4">
        <v>89139.32</v>
      </c>
      <c r="AD152" s="4">
        <v>1707193.58</v>
      </c>
      <c r="AE152" s="4">
        <v>0</v>
      </c>
      <c r="AF152" s="4">
        <v>96908.01</v>
      </c>
      <c r="AG152" s="4">
        <v>0</v>
      </c>
      <c r="AH152" s="4">
        <v>283677.92</v>
      </c>
      <c r="AI152" s="4">
        <v>288195.69</v>
      </c>
      <c r="AJ152" s="4">
        <v>0</v>
      </c>
      <c r="AK152" s="4">
        <v>812254.39</v>
      </c>
      <c r="AL152" s="4">
        <v>0</v>
      </c>
      <c r="AM152" s="4">
        <v>27910.51</v>
      </c>
      <c r="AN152" s="4">
        <v>0</v>
      </c>
      <c r="AO152" s="4">
        <v>451215.91</v>
      </c>
      <c r="AP152" s="4">
        <v>0</v>
      </c>
      <c r="AQ152" s="4">
        <v>37951.58</v>
      </c>
      <c r="AR152" s="4">
        <v>590365.56000000006</v>
      </c>
      <c r="AS152" s="4">
        <v>0</v>
      </c>
      <c r="AT152" s="4">
        <v>0</v>
      </c>
      <c r="AU152" s="4">
        <v>0</v>
      </c>
      <c r="AV152" s="4">
        <v>600030.47</v>
      </c>
      <c r="AW152" s="4">
        <v>4017474.24</v>
      </c>
      <c r="AX152" s="4">
        <v>3114653.79</v>
      </c>
      <c r="AY152" s="4">
        <v>2076434.83</v>
      </c>
      <c r="AZ152" s="4">
        <v>29000</v>
      </c>
      <c r="BA152" s="4">
        <v>14602.82</v>
      </c>
      <c r="BB152" s="4">
        <f t="shared" si="21"/>
        <v>539029686.13000011</v>
      </c>
    </row>
    <row r="153" spans="1:54" x14ac:dyDescent="0.2">
      <c r="A153" s="3">
        <v>41699</v>
      </c>
      <c r="B153" s="4">
        <v>0</v>
      </c>
      <c r="C153" s="4">
        <v>950379.7</v>
      </c>
      <c r="D153" s="4">
        <v>193.64</v>
      </c>
      <c r="E153" s="4">
        <v>0</v>
      </c>
      <c r="F153" s="4">
        <v>2075.88</v>
      </c>
      <c r="G153" s="4">
        <v>259374.91999999998</v>
      </c>
      <c r="H153" s="4">
        <v>0</v>
      </c>
      <c r="I153" s="4">
        <v>0</v>
      </c>
      <c r="J153" s="4">
        <v>0</v>
      </c>
      <c r="K153" s="4">
        <v>2021.5</v>
      </c>
      <c r="L153" s="4">
        <v>0</v>
      </c>
      <c r="M153" s="4">
        <v>268172.71000000002</v>
      </c>
      <c r="N153" s="4">
        <v>654640.49</v>
      </c>
      <c r="O153" s="4">
        <v>239770.34000000003</v>
      </c>
      <c r="P153" s="4">
        <v>1031289.61</v>
      </c>
      <c r="Q153" s="4">
        <v>591298.66</v>
      </c>
      <c r="R153" s="4">
        <v>0</v>
      </c>
      <c r="S153" s="4">
        <v>254002.77999999997</v>
      </c>
      <c r="T153" s="4">
        <v>222935.94</v>
      </c>
      <c r="U153" s="4">
        <v>0</v>
      </c>
      <c r="V153" s="4">
        <v>1765161.6</v>
      </c>
      <c r="W153" s="4">
        <v>628809488.09000003</v>
      </c>
      <c r="X153" s="4">
        <v>703199.24</v>
      </c>
      <c r="Y153" s="4">
        <v>86406199.579999998</v>
      </c>
      <c r="Z153" s="4">
        <v>9189058.9399999995</v>
      </c>
      <c r="AA153" s="4"/>
      <c r="AB153" s="4">
        <v>0</v>
      </c>
      <c r="AC153" s="4">
        <v>93977.81</v>
      </c>
      <c r="AD153" s="4">
        <v>2546465.12</v>
      </c>
      <c r="AE153" s="4">
        <v>0</v>
      </c>
      <c r="AF153" s="4">
        <v>162221.46</v>
      </c>
      <c r="AG153" s="4">
        <v>0</v>
      </c>
      <c r="AH153" s="4">
        <v>426253.05000000005</v>
      </c>
      <c r="AI153" s="4">
        <v>418621.62</v>
      </c>
      <c r="AJ153" s="4">
        <v>0</v>
      </c>
      <c r="AK153" s="4">
        <v>1186158.55</v>
      </c>
      <c r="AL153" s="4">
        <v>0</v>
      </c>
      <c r="AM153" s="4">
        <v>33336.639999999999</v>
      </c>
      <c r="AN153" s="4">
        <v>0</v>
      </c>
      <c r="AO153" s="4">
        <v>642040.98</v>
      </c>
      <c r="AP153" s="4">
        <v>0</v>
      </c>
      <c r="AQ153" s="4">
        <v>76434.02</v>
      </c>
      <c r="AR153" s="4">
        <v>1025803.44</v>
      </c>
      <c r="AS153" s="4">
        <v>0</v>
      </c>
      <c r="AT153" s="4">
        <v>339.64</v>
      </c>
      <c r="AU153" s="4">
        <v>0</v>
      </c>
      <c r="AV153" s="4">
        <v>974706.04</v>
      </c>
      <c r="AW153" s="4">
        <v>4161532.25</v>
      </c>
      <c r="AX153" s="4">
        <v>3522614.82</v>
      </c>
      <c r="AY153" s="4">
        <v>2348408.77</v>
      </c>
      <c r="AZ153" s="4">
        <v>19450.04</v>
      </c>
      <c r="BA153" s="4">
        <v>9713163.0800000001</v>
      </c>
      <c r="BB153" s="4">
        <f t="shared" si="21"/>
        <v>758700790.95000005</v>
      </c>
    </row>
    <row r="154" spans="1:54" x14ac:dyDescent="0.2">
      <c r="A154" s="3">
        <v>41730</v>
      </c>
      <c r="B154" s="4">
        <v>0</v>
      </c>
      <c r="C154" s="4">
        <v>606490.85</v>
      </c>
      <c r="D154" s="4">
        <v>0</v>
      </c>
      <c r="E154" s="4">
        <v>0</v>
      </c>
      <c r="F154" s="4">
        <v>0</v>
      </c>
      <c r="G154" s="4">
        <v>213723.05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206659.58</v>
      </c>
      <c r="N154" s="4">
        <v>199344.76</v>
      </c>
      <c r="O154" s="4">
        <v>195649.14</v>
      </c>
      <c r="P154" s="4">
        <v>786791.17</v>
      </c>
      <c r="Q154" s="4">
        <v>251249.72</v>
      </c>
      <c r="R154" s="4">
        <v>0</v>
      </c>
      <c r="S154" s="4">
        <v>148452.76999999999</v>
      </c>
      <c r="T154" s="4">
        <v>57029.69</v>
      </c>
      <c r="U154" s="4">
        <v>0</v>
      </c>
      <c r="V154" s="4">
        <v>1311661.4099999999</v>
      </c>
      <c r="W154" s="4">
        <v>501153812.5</v>
      </c>
      <c r="X154" s="4">
        <v>480603.67</v>
      </c>
      <c r="Y154" s="4">
        <v>64805373.219999999</v>
      </c>
      <c r="Z154" s="4">
        <v>5650.76</v>
      </c>
      <c r="AA154" s="4"/>
      <c r="AB154" s="4">
        <v>0</v>
      </c>
      <c r="AC154" s="4">
        <v>83590.720000000001</v>
      </c>
      <c r="AD154" s="4">
        <v>2035179.74</v>
      </c>
      <c r="AE154" s="4">
        <v>0</v>
      </c>
      <c r="AF154" s="4">
        <v>107279</v>
      </c>
      <c r="AG154" s="4">
        <v>0</v>
      </c>
      <c r="AH154" s="4">
        <v>316266.17</v>
      </c>
      <c r="AI154" s="4">
        <v>332040.76</v>
      </c>
      <c r="AJ154" s="4">
        <v>0</v>
      </c>
      <c r="AK154" s="4">
        <v>959868.43</v>
      </c>
      <c r="AL154" s="4">
        <v>0</v>
      </c>
      <c r="AM154" s="4">
        <v>19864.82</v>
      </c>
      <c r="AN154" s="4">
        <v>0</v>
      </c>
      <c r="AO154" s="4">
        <v>529804.89</v>
      </c>
      <c r="AP154" s="4">
        <v>0</v>
      </c>
      <c r="AQ154" s="4">
        <v>43023.09</v>
      </c>
      <c r="AR154" s="4">
        <v>722181.57</v>
      </c>
      <c r="AS154" s="4">
        <v>0</v>
      </c>
      <c r="AT154" s="4">
        <v>0</v>
      </c>
      <c r="AU154" s="4">
        <v>0</v>
      </c>
      <c r="AV154" s="4">
        <v>706017.01</v>
      </c>
      <c r="AW154" s="4">
        <v>3899348.59</v>
      </c>
      <c r="AX154" s="4">
        <v>3393871.03</v>
      </c>
      <c r="AY154" s="4">
        <v>2262579.0699999998</v>
      </c>
      <c r="AZ154" s="4">
        <v>12500</v>
      </c>
      <c r="BA154" s="4">
        <v>100629.67</v>
      </c>
      <c r="BB154" s="4">
        <f t="shared" si="21"/>
        <v>585946536.85000002</v>
      </c>
    </row>
    <row r="155" spans="1:54" x14ac:dyDescent="0.2">
      <c r="A155" s="3">
        <v>41760</v>
      </c>
      <c r="B155" s="4">
        <v>0</v>
      </c>
      <c r="C155" s="4">
        <v>642725.30000000005</v>
      </c>
      <c r="D155" s="4">
        <v>0</v>
      </c>
      <c r="E155" s="4">
        <v>0</v>
      </c>
      <c r="F155" s="4">
        <v>0</v>
      </c>
      <c r="G155" s="4">
        <v>187078.99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209549.38</v>
      </c>
      <c r="N155" s="4">
        <v>184832.76</v>
      </c>
      <c r="O155" s="4">
        <v>195385.99</v>
      </c>
      <c r="P155" s="4">
        <v>788422.57</v>
      </c>
      <c r="Q155" s="4">
        <v>249438.5</v>
      </c>
      <c r="R155" s="4">
        <v>0</v>
      </c>
      <c r="S155" s="4">
        <v>151406.6</v>
      </c>
      <c r="T155" s="4">
        <v>175981.03</v>
      </c>
      <c r="U155" s="4">
        <v>0</v>
      </c>
      <c r="V155" s="4">
        <v>1359473.42</v>
      </c>
      <c r="W155" s="4">
        <v>497195921.91000003</v>
      </c>
      <c r="X155" s="4">
        <v>457534.65</v>
      </c>
      <c r="Y155" s="4">
        <v>64113427.469999999</v>
      </c>
      <c r="Z155" s="4">
        <v>24365.4</v>
      </c>
      <c r="AA155" s="4"/>
      <c r="AB155" s="4">
        <v>0</v>
      </c>
      <c r="AC155" s="4">
        <v>86333.6</v>
      </c>
      <c r="AD155" s="4">
        <v>1993953.67</v>
      </c>
      <c r="AE155" s="4">
        <v>0</v>
      </c>
      <c r="AF155" s="4">
        <v>95403.19</v>
      </c>
      <c r="AG155" s="4">
        <v>0</v>
      </c>
      <c r="AH155" s="4">
        <v>317028.63</v>
      </c>
      <c r="AI155" s="4">
        <v>326357.06</v>
      </c>
      <c r="AJ155" s="4">
        <v>0</v>
      </c>
      <c r="AK155" s="4">
        <v>963856.5</v>
      </c>
      <c r="AL155" s="4">
        <v>0</v>
      </c>
      <c r="AM155" s="4">
        <v>18772.7</v>
      </c>
      <c r="AN155" s="4">
        <v>0</v>
      </c>
      <c r="AO155" s="4">
        <v>524004.31</v>
      </c>
      <c r="AP155" s="4">
        <v>0</v>
      </c>
      <c r="AQ155" s="4">
        <v>44480.44</v>
      </c>
      <c r="AR155" s="4">
        <v>731165.95</v>
      </c>
      <c r="AS155" s="4">
        <v>0</v>
      </c>
      <c r="AT155" s="4">
        <v>0</v>
      </c>
      <c r="AU155" s="4">
        <v>0</v>
      </c>
      <c r="AV155" s="4">
        <v>738017</v>
      </c>
      <c r="AW155" s="4">
        <v>3862309.34</v>
      </c>
      <c r="AX155" s="4">
        <v>3261686.13</v>
      </c>
      <c r="AY155" s="4">
        <v>2174456.89</v>
      </c>
      <c r="AZ155" s="4">
        <v>2900</v>
      </c>
      <c r="BA155" s="4">
        <v>45710.84</v>
      </c>
      <c r="BB155" s="4">
        <f t="shared" si="21"/>
        <v>581121980.22000015</v>
      </c>
    </row>
    <row r="156" spans="1:54" x14ac:dyDescent="0.2">
      <c r="A156" s="3">
        <v>41791</v>
      </c>
      <c r="B156" s="4">
        <v>8.25</v>
      </c>
      <c r="C156" s="4">
        <v>936689.86999999988</v>
      </c>
      <c r="D156" s="4">
        <v>194.04</v>
      </c>
      <c r="E156" s="4">
        <v>0</v>
      </c>
      <c r="F156" s="4">
        <v>1235.23</v>
      </c>
      <c r="G156" s="4">
        <v>320214.21999999997</v>
      </c>
      <c r="H156" s="4">
        <v>0</v>
      </c>
      <c r="I156" s="4">
        <v>13.59</v>
      </c>
      <c r="J156" s="4">
        <v>0</v>
      </c>
      <c r="K156" s="4">
        <v>732.2</v>
      </c>
      <c r="L156" s="4">
        <v>0</v>
      </c>
      <c r="M156" s="4">
        <v>284286.46999999997</v>
      </c>
      <c r="N156" s="4">
        <v>467425.4</v>
      </c>
      <c r="O156" s="4">
        <v>266298.3</v>
      </c>
      <c r="P156" s="4">
        <v>1159602.05</v>
      </c>
      <c r="Q156" s="4">
        <v>447552.29</v>
      </c>
      <c r="R156" s="4">
        <v>0</v>
      </c>
      <c r="S156" s="4">
        <v>323397.61</v>
      </c>
      <c r="T156" s="4">
        <v>277972.28000000003</v>
      </c>
      <c r="U156" s="4">
        <v>0</v>
      </c>
      <c r="V156" s="4">
        <v>1988305.56</v>
      </c>
      <c r="W156" s="4">
        <v>672537757.4799999</v>
      </c>
      <c r="X156" s="4">
        <v>736551.71</v>
      </c>
      <c r="Y156" s="4">
        <v>95220321.530000001</v>
      </c>
      <c r="Z156" s="4">
        <v>9837780.9199999999</v>
      </c>
      <c r="AA156" s="4"/>
      <c r="AB156" s="4">
        <v>0</v>
      </c>
      <c r="AC156" s="4">
        <v>155294.47</v>
      </c>
      <c r="AD156" s="4">
        <v>2747412.23</v>
      </c>
      <c r="AE156" s="4">
        <v>0</v>
      </c>
      <c r="AF156" s="4">
        <v>181051.79</v>
      </c>
      <c r="AG156" s="4">
        <v>5.29</v>
      </c>
      <c r="AH156" s="4">
        <v>463251.02</v>
      </c>
      <c r="AI156" s="4">
        <v>421509.53000000009</v>
      </c>
      <c r="AJ156" s="4">
        <v>0</v>
      </c>
      <c r="AK156" s="4">
        <v>1362248.42</v>
      </c>
      <c r="AL156" s="4">
        <v>0</v>
      </c>
      <c r="AM156" s="4">
        <v>48503.32</v>
      </c>
      <c r="AN156" s="4">
        <v>0</v>
      </c>
      <c r="AO156" s="4">
        <v>637469.85000000009</v>
      </c>
      <c r="AP156" s="4">
        <v>0</v>
      </c>
      <c r="AQ156" s="4">
        <v>82562.289999999994</v>
      </c>
      <c r="AR156" s="4">
        <v>1164809.01</v>
      </c>
      <c r="AS156" s="4">
        <v>0</v>
      </c>
      <c r="AT156" s="4">
        <v>556.07000000000005</v>
      </c>
      <c r="AU156" s="4">
        <v>0</v>
      </c>
      <c r="AV156" s="4">
        <v>1011041.28</v>
      </c>
      <c r="AW156" s="4">
        <v>5389048.54</v>
      </c>
      <c r="AX156" s="4">
        <v>4000744.41</v>
      </c>
      <c r="AY156" s="4">
        <v>2667161.7599999998</v>
      </c>
      <c r="AZ156" s="4">
        <v>700</v>
      </c>
      <c r="BA156" s="4">
        <v>11353323.48</v>
      </c>
      <c r="BB156" s="4">
        <f t="shared" si="21"/>
        <v>816493031.75999975</v>
      </c>
    </row>
    <row r="157" spans="1:54" x14ac:dyDescent="0.2">
      <c r="A157" s="3">
        <v>41821</v>
      </c>
      <c r="B157" s="4">
        <v>0</v>
      </c>
      <c r="C157" s="4">
        <v>634252.11</v>
      </c>
      <c r="D157" s="4">
        <v>0</v>
      </c>
      <c r="E157" s="4">
        <v>0</v>
      </c>
      <c r="F157" s="4">
        <v>0</v>
      </c>
      <c r="G157" s="4">
        <v>229135.05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201683.11</v>
      </c>
      <c r="N157" s="4">
        <v>209005.19</v>
      </c>
      <c r="O157" s="4">
        <v>208075.12</v>
      </c>
      <c r="P157" s="4">
        <v>811225.57</v>
      </c>
      <c r="Q157" s="4">
        <v>270990.96000000002</v>
      </c>
      <c r="R157" s="4">
        <v>0</v>
      </c>
      <c r="S157" s="4">
        <v>122382.7</v>
      </c>
      <c r="T157" s="4">
        <v>119536.97</v>
      </c>
      <c r="U157" s="4">
        <v>0</v>
      </c>
      <c r="V157" s="4">
        <v>1329757.75</v>
      </c>
      <c r="W157" s="4">
        <v>487339575.30000001</v>
      </c>
      <c r="X157" s="4">
        <v>700671.25</v>
      </c>
      <c r="Y157" s="4">
        <v>63973887.07</v>
      </c>
      <c r="Z157" s="4">
        <v>629807.76</v>
      </c>
      <c r="AA157" s="4"/>
      <c r="AB157" s="4">
        <v>0</v>
      </c>
      <c r="AC157" s="4">
        <v>67100.08</v>
      </c>
      <c r="AD157" s="4">
        <v>1784368.08</v>
      </c>
      <c r="AE157" s="4">
        <v>0</v>
      </c>
      <c r="AF157" s="4">
        <v>113100.04</v>
      </c>
      <c r="AG157" s="4">
        <v>0</v>
      </c>
      <c r="AH157" s="4">
        <v>320850.40999999997</v>
      </c>
      <c r="AI157" s="4">
        <v>336127.26</v>
      </c>
      <c r="AJ157" s="4">
        <v>0</v>
      </c>
      <c r="AK157" s="4">
        <v>957843.92</v>
      </c>
      <c r="AL157" s="4">
        <v>0</v>
      </c>
      <c r="AM157" s="4">
        <v>18263.73</v>
      </c>
      <c r="AN157" s="4">
        <v>0</v>
      </c>
      <c r="AO157" s="4">
        <v>558572.62</v>
      </c>
      <c r="AP157" s="4">
        <v>0</v>
      </c>
      <c r="AQ157" s="4">
        <v>42006.67</v>
      </c>
      <c r="AR157" s="4">
        <v>1015821.34</v>
      </c>
      <c r="AS157" s="4">
        <v>0</v>
      </c>
      <c r="AT157" s="4">
        <v>0</v>
      </c>
      <c r="AU157" s="4">
        <v>0</v>
      </c>
      <c r="AV157" s="4">
        <v>754606.53</v>
      </c>
      <c r="AW157" s="4">
        <v>3955899.13</v>
      </c>
      <c r="AX157" s="4">
        <v>3331198.28</v>
      </c>
      <c r="AY157" s="4">
        <v>2220797.85</v>
      </c>
      <c r="AZ157" s="4">
        <v>100</v>
      </c>
      <c r="BA157" s="4">
        <v>-291445.38</v>
      </c>
      <c r="BB157" s="4">
        <f>SUM(B157:BA157)</f>
        <v>571965196.46999991</v>
      </c>
    </row>
    <row r="158" spans="1:54" x14ac:dyDescent="0.2">
      <c r="A158" s="3">
        <v>41852</v>
      </c>
      <c r="B158" s="4">
        <v>0</v>
      </c>
      <c r="C158" s="4">
        <v>634185.47</v>
      </c>
      <c r="D158" s="4">
        <v>0</v>
      </c>
      <c r="E158" s="4">
        <v>0</v>
      </c>
      <c r="F158" s="4">
        <v>0</v>
      </c>
      <c r="G158" s="4">
        <v>215899.83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203824.9</v>
      </c>
      <c r="N158" s="4">
        <v>207515.87</v>
      </c>
      <c r="O158" s="4">
        <v>212819.21</v>
      </c>
      <c r="P158" s="4">
        <v>823494.2</v>
      </c>
      <c r="Q158" s="4">
        <v>269495.45</v>
      </c>
      <c r="R158" s="4">
        <v>0</v>
      </c>
      <c r="S158" s="4">
        <v>144184.44</v>
      </c>
      <c r="T158" s="4">
        <v>196914.86</v>
      </c>
      <c r="U158" s="4">
        <v>0</v>
      </c>
      <c r="V158" s="4">
        <v>1290845.0900000001</v>
      </c>
      <c r="W158" s="4">
        <v>478710638.31999999</v>
      </c>
      <c r="X158" s="4">
        <v>656238.09</v>
      </c>
      <c r="Y158" s="4">
        <v>63367408.020000003</v>
      </c>
      <c r="Z158" s="4">
        <v>-20351.240000000002</v>
      </c>
      <c r="AA158" s="4"/>
      <c r="AB158" s="4">
        <v>0</v>
      </c>
      <c r="AC158" s="4">
        <v>99941.77</v>
      </c>
      <c r="AD158" s="4">
        <v>2087270.59</v>
      </c>
      <c r="AE158" s="4">
        <v>0</v>
      </c>
      <c r="AF158" s="4">
        <v>123374.6</v>
      </c>
      <c r="AG158" s="4">
        <v>0</v>
      </c>
      <c r="AH158" s="4">
        <v>329720.56</v>
      </c>
      <c r="AI158" s="4">
        <v>350352.25</v>
      </c>
      <c r="AJ158" s="4">
        <v>0</v>
      </c>
      <c r="AK158" s="4">
        <v>1010093.85</v>
      </c>
      <c r="AL158" s="4">
        <v>0</v>
      </c>
      <c r="AM158" s="4">
        <v>19549.59</v>
      </c>
      <c r="AN158" s="4">
        <v>0</v>
      </c>
      <c r="AO158" s="4">
        <v>615328.31999999995</v>
      </c>
      <c r="AP158" s="4">
        <v>0</v>
      </c>
      <c r="AQ158" s="4">
        <v>40685.94</v>
      </c>
      <c r="AR158" s="4">
        <v>1105624.74</v>
      </c>
      <c r="AS158" s="4">
        <v>0</v>
      </c>
      <c r="AT158" s="4">
        <v>0</v>
      </c>
      <c r="AU158" s="4">
        <v>0</v>
      </c>
      <c r="AV158" s="4">
        <v>832763.36</v>
      </c>
      <c r="AW158" s="4">
        <v>4126165.56</v>
      </c>
      <c r="AX158" s="4">
        <v>3231291.04</v>
      </c>
      <c r="AY158" s="4">
        <v>2154193.54</v>
      </c>
      <c r="AZ158" s="4">
        <v>150</v>
      </c>
      <c r="BA158" s="4">
        <v>569442.66</v>
      </c>
      <c r="BB158" s="4">
        <f t="shared" si="21"/>
        <v>563609060.88</v>
      </c>
    </row>
    <row r="159" spans="1:54" x14ac:dyDescent="0.2">
      <c r="A159" s="3">
        <v>41883</v>
      </c>
      <c r="B159" s="4">
        <v>0</v>
      </c>
      <c r="C159" s="4">
        <v>942771.33</v>
      </c>
      <c r="D159" s="4">
        <v>195.76</v>
      </c>
      <c r="E159" s="4">
        <v>0</v>
      </c>
      <c r="F159" s="4">
        <v>73.3</v>
      </c>
      <c r="G159" s="4">
        <v>266717.53999999998</v>
      </c>
      <c r="H159" s="4">
        <v>0</v>
      </c>
      <c r="I159" s="4">
        <v>0</v>
      </c>
      <c r="J159" s="4">
        <v>0</v>
      </c>
      <c r="K159" s="4">
        <v>1369.32</v>
      </c>
      <c r="L159" s="4">
        <v>0</v>
      </c>
      <c r="M159" s="4">
        <v>297228.77</v>
      </c>
      <c r="N159" s="4">
        <v>425244.57</v>
      </c>
      <c r="O159" s="4">
        <v>242770.23</v>
      </c>
      <c r="P159" s="4">
        <v>1133253.92</v>
      </c>
      <c r="Q159" s="4">
        <v>401634.39</v>
      </c>
      <c r="R159" s="4">
        <v>0</v>
      </c>
      <c r="S159" s="4">
        <v>222013.01</v>
      </c>
      <c r="T159" s="4">
        <v>357440.15</v>
      </c>
      <c r="U159" s="4">
        <v>0</v>
      </c>
      <c r="V159" s="4">
        <v>2056137.02</v>
      </c>
      <c r="W159" s="4">
        <v>655059156.03999996</v>
      </c>
      <c r="X159" s="4">
        <v>767279.74</v>
      </c>
      <c r="Y159" s="4">
        <v>96415835.430000007</v>
      </c>
      <c r="Z159" s="4">
        <v>14232884.560000001</v>
      </c>
      <c r="AA159" s="4"/>
      <c r="AB159" s="4">
        <v>0</v>
      </c>
      <c r="AC159" s="4">
        <v>59299.43</v>
      </c>
      <c r="AD159" s="4">
        <v>2944715.34</v>
      </c>
      <c r="AE159" s="4">
        <v>0</v>
      </c>
      <c r="AF159" s="4">
        <v>132373.07</v>
      </c>
      <c r="AG159" s="4">
        <v>0</v>
      </c>
      <c r="AH159" s="4">
        <v>396566.79</v>
      </c>
      <c r="AI159" s="4">
        <v>407959.21</v>
      </c>
      <c r="AJ159" s="4">
        <v>0</v>
      </c>
      <c r="AK159" s="4">
        <v>1425680.03</v>
      </c>
      <c r="AL159" s="4">
        <v>0</v>
      </c>
      <c r="AM159" s="4">
        <v>21297.77</v>
      </c>
      <c r="AN159" s="4">
        <v>0</v>
      </c>
      <c r="AO159" s="4">
        <v>695673.51</v>
      </c>
      <c r="AP159" s="4">
        <v>0</v>
      </c>
      <c r="AQ159" s="4">
        <v>68986.89</v>
      </c>
      <c r="AR159" s="4">
        <v>1174935.1599999999</v>
      </c>
      <c r="AS159" s="4">
        <v>0</v>
      </c>
      <c r="AT159" s="4">
        <v>160.61000000000001</v>
      </c>
      <c r="AU159" s="4">
        <v>0</v>
      </c>
      <c r="AV159" s="4">
        <v>937940.64</v>
      </c>
      <c r="AW159" s="4">
        <v>4423906.22</v>
      </c>
      <c r="AX159" s="4">
        <v>4333239.34</v>
      </c>
      <c r="AY159" s="4">
        <v>2888824.99</v>
      </c>
      <c r="AZ159" s="4">
        <v>0</v>
      </c>
      <c r="BA159" s="4">
        <v>11866010.82</v>
      </c>
      <c r="BB159" s="4">
        <f t="shared" si="21"/>
        <v>804599574.89999998</v>
      </c>
    </row>
    <row r="160" spans="1:54" x14ac:dyDescent="0.2">
      <c r="A160" s="3">
        <v>41913</v>
      </c>
      <c r="B160" s="4">
        <v>0</v>
      </c>
      <c r="C160" s="4">
        <v>661398.92000000004</v>
      </c>
      <c r="D160" s="4">
        <v>0</v>
      </c>
      <c r="E160" s="4">
        <v>0</v>
      </c>
      <c r="F160" s="4">
        <v>0</v>
      </c>
      <c r="G160" s="4">
        <v>207596.83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126669.24</v>
      </c>
      <c r="N160" s="4">
        <v>249832.85</v>
      </c>
      <c r="O160" s="4">
        <v>194083.55</v>
      </c>
      <c r="P160" s="4">
        <v>829333.49</v>
      </c>
      <c r="Q160" s="4">
        <v>264124.69</v>
      </c>
      <c r="R160" s="4">
        <v>0</v>
      </c>
      <c r="S160" s="4">
        <v>117151.5</v>
      </c>
      <c r="T160" s="4">
        <v>102544.2</v>
      </c>
      <c r="U160" s="4">
        <v>0</v>
      </c>
      <c r="V160" s="4">
        <v>1374834.87</v>
      </c>
      <c r="W160" s="4">
        <v>514884014.00999999</v>
      </c>
      <c r="X160" s="4">
        <v>466193.5</v>
      </c>
      <c r="Y160" s="4">
        <v>65132541.740000002</v>
      </c>
      <c r="Z160" s="4">
        <v>-1894.09</v>
      </c>
      <c r="AA160" s="4"/>
      <c r="AB160" s="4">
        <v>0</v>
      </c>
      <c r="AC160" s="4">
        <v>64827.3</v>
      </c>
      <c r="AD160" s="4">
        <v>1927467.74</v>
      </c>
      <c r="AE160" s="4">
        <v>0</v>
      </c>
      <c r="AF160" s="4">
        <v>120219.29</v>
      </c>
      <c r="AG160" s="4">
        <v>0</v>
      </c>
      <c r="AH160" s="4">
        <v>300005.95</v>
      </c>
      <c r="AI160" s="4">
        <v>328455.98</v>
      </c>
      <c r="AJ160" s="4">
        <v>0</v>
      </c>
      <c r="AK160" s="4">
        <v>1006172.15</v>
      </c>
      <c r="AL160" s="4">
        <v>0</v>
      </c>
      <c r="AM160" s="4">
        <v>18496.52</v>
      </c>
      <c r="AN160" s="4">
        <v>0</v>
      </c>
      <c r="AO160" s="4">
        <v>521611.27</v>
      </c>
      <c r="AP160" s="4">
        <v>0</v>
      </c>
      <c r="AQ160" s="4">
        <v>41953.55</v>
      </c>
      <c r="AR160" s="4">
        <v>925769.46</v>
      </c>
      <c r="AS160" s="4">
        <v>0</v>
      </c>
      <c r="AT160" s="4">
        <v>0</v>
      </c>
      <c r="AU160" s="4">
        <v>0</v>
      </c>
      <c r="AV160" s="4">
        <v>742036.23</v>
      </c>
      <c r="AW160" s="4">
        <v>4026283.09</v>
      </c>
      <c r="AX160" s="4">
        <v>3273652.8</v>
      </c>
      <c r="AY160" s="4">
        <v>2182434.83</v>
      </c>
      <c r="AZ160" s="4">
        <v>50</v>
      </c>
      <c r="BA160" s="4">
        <v>300869.93</v>
      </c>
      <c r="BB160" s="4">
        <f t="shared" si="21"/>
        <v>600388731.38999987</v>
      </c>
    </row>
    <row r="161" spans="1:54" x14ac:dyDescent="0.2">
      <c r="A161" s="3">
        <v>41944</v>
      </c>
      <c r="B161" s="4">
        <v>0</v>
      </c>
      <c r="C161" s="4">
        <v>818852.04</v>
      </c>
      <c r="D161" s="4">
        <v>0</v>
      </c>
      <c r="E161" s="4">
        <v>0</v>
      </c>
      <c r="F161" s="4">
        <v>0</v>
      </c>
      <c r="G161" s="4">
        <v>214901.4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199987.14</v>
      </c>
      <c r="N161" s="4">
        <v>276351.03000000003</v>
      </c>
      <c r="O161" s="4">
        <v>220115.33</v>
      </c>
      <c r="P161" s="4">
        <v>962266.43</v>
      </c>
      <c r="Q161" s="4">
        <v>279282.99</v>
      </c>
      <c r="R161" s="4">
        <v>0</v>
      </c>
      <c r="S161" s="4">
        <v>362634.59</v>
      </c>
      <c r="T161" s="4">
        <v>93998.78</v>
      </c>
      <c r="U161" s="4">
        <v>0</v>
      </c>
      <c r="V161" s="4">
        <v>1386867.63</v>
      </c>
      <c r="W161" s="4">
        <v>516954812.26999998</v>
      </c>
      <c r="X161" s="4">
        <v>493072.15</v>
      </c>
      <c r="Y161" s="4">
        <v>65968881.799999997</v>
      </c>
      <c r="Z161" s="4">
        <v>23554.25</v>
      </c>
      <c r="AA161" s="4"/>
      <c r="AB161" s="4">
        <v>0</v>
      </c>
      <c r="AC161" s="4">
        <v>67157.36</v>
      </c>
      <c r="AD161" s="4">
        <v>2031551.37</v>
      </c>
      <c r="AE161" s="4">
        <v>0</v>
      </c>
      <c r="AF161" s="4">
        <v>136299.95000000001</v>
      </c>
      <c r="AG161" s="4">
        <v>0</v>
      </c>
      <c r="AH161" s="4">
        <v>363200.03</v>
      </c>
      <c r="AI161" s="4">
        <v>324667.98</v>
      </c>
      <c r="AJ161" s="4">
        <v>0</v>
      </c>
      <c r="AK161" s="4">
        <v>1001874.45</v>
      </c>
      <c r="AL161" s="4">
        <v>0</v>
      </c>
      <c r="AM161" s="4">
        <v>18957.57</v>
      </c>
      <c r="AN161" s="4">
        <v>0</v>
      </c>
      <c r="AO161" s="4">
        <v>528942.34</v>
      </c>
      <c r="AP161" s="4">
        <v>0</v>
      </c>
      <c r="AQ161" s="4">
        <v>40373.870000000003</v>
      </c>
      <c r="AR161" s="4">
        <v>830745.17</v>
      </c>
      <c r="AS161" s="4">
        <v>0</v>
      </c>
      <c r="AT161" s="4">
        <v>0</v>
      </c>
      <c r="AU161" s="4">
        <v>0</v>
      </c>
      <c r="AV161" s="4">
        <v>795062.34</v>
      </c>
      <c r="AW161" s="4">
        <v>4117393.32</v>
      </c>
      <c r="AX161" s="4">
        <v>3357419.39</v>
      </c>
      <c r="AY161" s="4">
        <v>2238279.65</v>
      </c>
      <c r="AZ161" s="4">
        <v>0</v>
      </c>
      <c r="BA161" s="4">
        <v>185384.19</v>
      </c>
      <c r="BB161" s="4">
        <f t="shared" si="21"/>
        <v>604292886.81000018</v>
      </c>
    </row>
    <row r="162" spans="1:54" x14ac:dyDescent="0.2">
      <c r="A162" s="3">
        <v>41974</v>
      </c>
      <c r="B162" s="4">
        <v>0</v>
      </c>
      <c r="C162" s="4">
        <v>985806.22</v>
      </c>
      <c r="D162" s="4">
        <v>196.61</v>
      </c>
      <c r="E162" s="4">
        <v>0</v>
      </c>
      <c r="F162" s="4">
        <v>420.99</v>
      </c>
      <c r="G162" s="4">
        <v>287231.03000000003</v>
      </c>
      <c r="H162" s="4">
        <v>0</v>
      </c>
      <c r="I162" s="4">
        <v>0</v>
      </c>
      <c r="J162" s="4">
        <v>0</v>
      </c>
      <c r="K162" s="4">
        <v>1510.25</v>
      </c>
      <c r="L162" s="4">
        <v>0</v>
      </c>
      <c r="M162" s="4">
        <v>322377.03999999998</v>
      </c>
      <c r="N162" s="4">
        <v>308664.99</v>
      </c>
      <c r="O162" s="4">
        <v>297857.03000000003</v>
      </c>
      <c r="P162" s="4">
        <v>1094359.06</v>
      </c>
      <c r="Q162" s="4">
        <v>431501.94000000006</v>
      </c>
      <c r="R162" s="4">
        <v>0</v>
      </c>
      <c r="S162" s="4">
        <v>360526.06</v>
      </c>
      <c r="T162" s="4">
        <v>198131.73</v>
      </c>
      <c r="U162" s="4">
        <v>0</v>
      </c>
      <c r="V162" s="4">
        <v>1888059.7999999998</v>
      </c>
      <c r="W162" s="4">
        <v>688967634.26999998</v>
      </c>
      <c r="X162" s="4">
        <v>592172.98</v>
      </c>
      <c r="Y162" s="4">
        <v>96471768.739999995</v>
      </c>
      <c r="Z162" s="4">
        <v>11123268.74</v>
      </c>
      <c r="AA162" s="4"/>
      <c r="AB162" s="4">
        <v>0</v>
      </c>
      <c r="AC162" s="4">
        <v>92277.41</v>
      </c>
      <c r="AD162" s="4">
        <v>2854878.8</v>
      </c>
      <c r="AE162" s="4">
        <v>0</v>
      </c>
      <c r="AF162" s="4">
        <v>155585.72</v>
      </c>
      <c r="AG162" s="4">
        <v>0</v>
      </c>
      <c r="AH162" s="4">
        <v>440671.17</v>
      </c>
      <c r="AI162" s="4">
        <v>517632.38</v>
      </c>
      <c r="AJ162" s="4">
        <v>0</v>
      </c>
      <c r="AK162" s="4">
        <v>1291459.1000000001</v>
      </c>
      <c r="AL162" s="4">
        <v>0</v>
      </c>
      <c r="AM162" s="4">
        <v>20610.210000000003</v>
      </c>
      <c r="AN162" s="4">
        <v>0</v>
      </c>
      <c r="AO162" s="4">
        <v>711108.15</v>
      </c>
      <c r="AP162" s="4">
        <v>0</v>
      </c>
      <c r="AQ162" s="4">
        <v>58230.789999999994</v>
      </c>
      <c r="AR162" s="4">
        <v>1176263.06</v>
      </c>
      <c r="AS162" s="4">
        <v>0</v>
      </c>
      <c r="AT162" s="4">
        <v>148.69</v>
      </c>
      <c r="AU162" s="4">
        <v>0</v>
      </c>
      <c r="AV162" s="4">
        <v>939079.04</v>
      </c>
      <c r="AW162" s="4">
        <v>5017942.0999999996</v>
      </c>
      <c r="AX162" s="4">
        <v>4588934.13</v>
      </c>
      <c r="AY162" s="4">
        <v>3059289.42</v>
      </c>
      <c r="AZ162" s="4">
        <v>0</v>
      </c>
      <c r="BA162" s="4">
        <v>11699038.060000001</v>
      </c>
      <c r="BB162" s="4">
        <f t="shared" si="21"/>
        <v>835954635.7099998</v>
      </c>
    </row>
    <row r="163" spans="1:54" ht="15.75" thickBot="1" x14ac:dyDescent="0.25">
      <c r="A163" s="1" t="s">
        <v>168</v>
      </c>
      <c r="B163" s="5">
        <f t="shared" ref="B163:BB163" si="22">SUM(B151:B162)</f>
        <v>8.25</v>
      </c>
      <c r="C163" s="5">
        <f t="shared" si="22"/>
        <v>8991268.4700000007</v>
      </c>
      <c r="D163" s="5">
        <f t="shared" si="22"/>
        <v>780.05</v>
      </c>
      <c r="E163" s="5">
        <f t="shared" si="22"/>
        <v>0</v>
      </c>
      <c r="F163" s="5">
        <f t="shared" si="22"/>
        <v>3805.4000000000005</v>
      </c>
      <c r="G163" s="5">
        <f t="shared" si="22"/>
        <v>2750337.5300000003</v>
      </c>
      <c r="H163" s="5">
        <f t="shared" si="22"/>
        <v>0</v>
      </c>
      <c r="I163" s="5">
        <f t="shared" si="22"/>
        <v>13.59</v>
      </c>
      <c r="J163" s="5">
        <f t="shared" si="22"/>
        <v>0</v>
      </c>
      <c r="K163" s="5">
        <f t="shared" si="22"/>
        <v>5633.2699999999995</v>
      </c>
      <c r="L163" s="5">
        <f t="shared" si="22"/>
        <v>0</v>
      </c>
      <c r="M163" s="5">
        <f t="shared" si="22"/>
        <v>2717160.0300000003</v>
      </c>
      <c r="N163" s="5">
        <f t="shared" si="22"/>
        <v>3538658.95</v>
      </c>
      <c r="O163" s="5">
        <f t="shared" si="22"/>
        <v>2656943.7299999995</v>
      </c>
      <c r="P163" s="5">
        <f t="shared" si="22"/>
        <v>10800571.77</v>
      </c>
      <c r="Q163" s="5">
        <f t="shared" si="22"/>
        <v>3922996.0300000007</v>
      </c>
      <c r="R163" s="5">
        <f t="shared" si="22"/>
        <v>0</v>
      </c>
      <c r="S163" s="5">
        <f t="shared" si="22"/>
        <v>2558383.92</v>
      </c>
      <c r="T163" s="5">
        <f t="shared" si="22"/>
        <v>1887788.17</v>
      </c>
      <c r="U163" s="5">
        <f t="shared" si="22"/>
        <v>0</v>
      </c>
      <c r="V163" s="5">
        <f t="shared" si="22"/>
        <v>18571807.600000001</v>
      </c>
      <c r="W163" s="5">
        <f t="shared" si="22"/>
        <v>6652693276.1600018</v>
      </c>
      <c r="X163" s="5">
        <f t="shared" si="22"/>
        <v>6869110.7800000012</v>
      </c>
      <c r="Y163" s="5">
        <f t="shared" si="22"/>
        <v>886454961.08999991</v>
      </c>
      <c r="Z163" s="5">
        <f t="shared" si="22"/>
        <v>44590961.650000006</v>
      </c>
      <c r="AA163" s="5"/>
      <c r="AB163" s="5">
        <f t="shared" si="22"/>
        <v>0</v>
      </c>
      <c r="AC163" s="5">
        <f t="shared" si="22"/>
        <v>1060385.8</v>
      </c>
      <c r="AD163" s="5">
        <f t="shared" si="22"/>
        <v>26659935.040000003</v>
      </c>
      <c r="AE163" s="5">
        <f t="shared" si="22"/>
        <v>0</v>
      </c>
      <c r="AF163" s="5">
        <f t="shared" si="22"/>
        <v>1533928.44</v>
      </c>
      <c r="AG163" s="5">
        <f t="shared" si="22"/>
        <v>5.29</v>
      </c>
      <c r="AH163" s="5">
        <f t="shared" si="22"/>
        <v>4297009.53</v>
      </c>
      <c r="AI163" s="5">
        <f t="shared" si="22"/>
        <v>4393902.75</v>
      </c>
      <c r="AJ163" s="5">
        <f t="shared" si="22"/>
        <v>0</v>
      </c>
      <c r="AK163" s="5">
        <f t="shared" si="22"/>
        <v>13018972.729999999</v>
      </c>
      <c r="AL163" s="5">
        <f t="shared" si="22"/>
        <v>0</v>
      </c>
      <c r="AM163" s="5">
        <f t="shared" si="22"/>
        <v>297010.19</v>
      </c>
      <c r="AN163" s="5">
        <f t="shared" si="22"/>
        <v>0</v>
      </c>
      <c r="AO163" s="5">
        <f t="shared" si="22"/>
        <v>6943477.0300000012</v>
      </c>
      <c r="AP163" s="5">
        <f t="shared" si="22"/>
        <v>0</v>
      </c>
      <c r="AQ163" s="5">
        <f t="shared" si="22"/>
        <v>619450.24000000011</v>
      </c>
      <c r="AR163" s="5">
        <f t="shared" si="22"/>
        <v>11182735.039999999</v>
      </c>
      <c r="AS163" s="5">
        <f t="shared" si="22"/>
        <v>0</v>
      </c>
      <c r="AT163" s="5">
        <f t="shared" si="22"/>
        <v>1205.0100000000002</v>
      </c>
      <c r="AU163" s="5">
        <f t="shared" si="22"/>
        <v>0</v>
      </c>
      <c r="AV163" s="5">
        <f t="shared" si="22"/>
        <v>9732530.2899999991</v>
      </c>
      <c r="AW163" s="5">
        <f t="shared" si="22"/>
        <v>51872987.170000002</v>
      </c>
      <c r="AX163" s="5">
        <f t="shared" si="22"/>
        <v>43169079.410000004</v>
      </c>
      <c r="AY163" s="5">
        <f t="shared" si="22"/>
        <v>28779376.539999999</v>
      </c>
      <c r="AZ163" s="5">
        <f t="shared" si="22"/>
        <v>137850.04</v>
      </c>
      <c r="BA163" s="5">
        <f t="shared" si="22"/>
        <v>45650527.260000005</v>
      </c>
      <c r="BB163" s="5">
        <f t="shared" si="22"/>
        <v>7898364834.2399998</v>
      </c>
    </row>
    <row r="164" spans="1:54" ht="15.75" thickTop="1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</row>
    <row r="165" spans="1:54" x14ac:dyDescent="0.2">
      <c r="A165" s="3">
        <v>41275</v>
      </c>
      <c r="B165" s="4">
        <v>0</v>
      </c>
      <c r="C165" s="4">
        <v>688243.44</v>
      </c>
      <c r="D165" s="4">
        <v>0</v>
      </c>
      <c r="E165" s="4">
        <v>0</v>
      </c>
      <c r="F165" s="4">
        <v>0</v>
      </c>
      <c r="G165" s="4">
        <v>216332.37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215372.87</v>
      </c>
      <c r="N165" s="4">
        <v>177116.13</v>
      </c>
      <c r="O165" s="4">
        <v>214887.7</v>
      </c>
      <c r="P165" s="4">
        <v>814643.52</v>
      </c>
      <c r="Q165" s="4">
        <v>243239.67999999999</v>
      </c>
      <c r="R165" s="4">
        <v>0</v>
      </c>
      <c r="S165" s="4">
        <v>249039.63</v>
      </c>
      <c r="T165" s="4">
        <v>31025.77</v>
      </c>
      <c r="U165" s="4">
        <v>0</v>
      </c>
      <c r="V165" s="4">
        <v>1523414.22</v>
      </c>
      <c r="W165" s="4">
        <v>529378992.02999997</v>
      </c>
      <c r="X165" s="4">
        <v>537339.63</v>
      </c>
      <c r="Y165" s="4">
        <v>66435020.310000002</v>
      </c>
      <c r="Z165" s="4">
        <v>-83510.679999999993</v>
      </c>
      <c r="AA165" s="4"/>
      <c r="AB165" s="4">
        <v>0</v>
      </c>
      <c r="AC165" s="4">
        <v>95640.5</v>
      </c>
      <c r="AD165" s="4">
        <v>2056915.21</v>
      </c>
      <c r="AE165" s="4">
        <v>0</v>
      </c>
      <c r="AF165" s="4">
        <v>120056.05</v>
      </c>
      <c r="AG165" s="4">
        <v>0</v>
      </c>
      <c r="AH165" s="4">
        <v>349226.65</v>
      </c>
      <c r="AI165" s="4">
        <v>357242.98</v>
      </c>
      <c r="AJ165" s="4">
        <v>0</v>
      </c>
      <c r="AK165" s="4">
        <v>947651.05</v>
      </c>
      <c r="AL165" s="4">
        <v>0</v>
      </c>
      <c r="AM165" s="4">
        <v>34618.03</v>
      </c>
      <c r="AN165" s="4">
        <v>0</v>
      </c>
      <c r="AO165" s="4">
        <v>568259.85</v>
      </c>
      <c r="AP165" s="4">
        <v>0</v>
      </c>
      <c r="AQ165" s="4">
        <v>45336.88</v>
      </c>
      <c r="AR165" s="4">
        <v>682512.75</v>
      </c>
      <c r="AS165" s="4">
        <v>0</v>
      </c>
      <c r="AT165" s="4">
        <v>0</v>
      </c>
      <c r="AU165" s="4">
        <v>0</v>
      </c>
      <c r="AV165" s="4">
        <v>745641.24</v>
      </c>
      <c r="AW165" s="4">
        <v>4880124.2</v>
      </c>
      <c r="AX165" s="4">
        <v>3669656.22</v>
      </c>
      <c r="AY165" s="4">
        <v>2446437.15</v>
      </c>
      <c r="AZ165" s="4">
        <v>600</v>
      </c>
      <c r="BA165" s="4">
        <v>212555.23</v>
      </c>
      <c r="BB165" s="4">
        <f t="shared" ref="BB165:BB176" si="23">SUM(B165:BA165)</f>
        <v>617853630.61000001</v>
      </c>
    </row>
    <row r="166" spans="1:54" x14ac:dyDescent="0.2">
      <c r="A166" s="3">
        <v>41306</v>
      </c>
      <c r="B166" s="4">
        <v>0</v>
      </c>
      <c r="C166" s="4">
        <v>586792.9</v>
      </c>
      <c r="D166" s="4">
        <v>0</v>
      </c>
      <c r="E166" s="4">
        <v>0</v>
      </c>
      <c r="F166" s="4">
        <v>0</v>
      </c>
      <c r="G166" s="4">
        <v>184499.78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182338.44</v>
      </c>
      <c r="N166" s="4">
        <v>144108.9</v>
      </c>
      <c r="O166" s="4">
        <v>190614.88</v>
      </c>
      <c r="P166" s="4">
        <v>677180.96</v>
      </c>
      <c r="Q166" s="4">
        <v>214100.42</v>
      </c>
      <c r="R166" s="4">
        <v>0</v>
      </c>
      <c r="S166" s="4">
        <v>161418.66</v>
      </c>
      <c r="T166" s="4">
        <v>41797.440000000002</v>
      </c>
      <c r="U166" s="4">
        <v>0</v>
      </c>
      <c r="V166" s="4">
        <v>1317693.01</v>
      </c>
      <c r="W166" s="4">
        <v>454835507.68000001</v>
      </c>
      <c r="X166" s="4">
        <v>358896.73</v>
      </c>
      <c r="Y166" s="4">
        <v>56896579.07</v>
      </c>
      <c r="Z166" s="4">
        <v>24712.68</v>
      </c>
      <c r="AA166" s="4"/>
      <c r="AB166" s="4">
        <v>0</v>
      </c>
      <c r="AC166" s="4">
        <v>84562.32</v>
      </c>
      <c r="AD166" s="4">
        <v>1766160.06</v>
      </c>
      <c r="AE166" s="4">
        <v>0</v>
      </c>
      <c r="AF166" s="4">
        <v>171668.69</v>
      </c>
      <c r="AG166" s="4">
        <v>0</v>
      </c>
      <c r="AH166" s="4">
        <v>326813.73</v>
      </c>
      <c r="AI166" s="4">
        <v>310741.33</v>
      </c>
      <c r="AJ166" s="4">
        <v>0</v>
      </c>
      <c r="AK166" s="4">
        <v>847432.69</v>
      </c>
      <c r="AL166" s="4">
        <v>0</v>
      </c>
      <c r="AM166" s="4">
        <v>38695.160000000003</v>
      </c>
      <c r="AN166" s="4">
        <v>0</v>
      </c>
      <c r="AO166" s="4">
        <v>476720.16</v>
      </c>
      <c r="AP166" s="4">
        <v>0</v>
      </c>
      <c r="AQ166" s="4">
        <v>39107.339999999997</v>
      </c>
      <c r="AR166" s="4">
        <v>590488.43000000005</v>
      </c>
      <c r="AS166" s="4">
        <v>0</v>
      </c>
      <c r="AT166" s="4">
        <v>0</v>
      </c>
      <c r="AU166" s="4">
        <v>0</v>
      </c>
      <c r="AV166" s="4">
        <v>613851.06000000006</v>
      </c>
      <c r="AW166" s="4">
        <v>4071724.28</v>
      </c>
      <c r="AX166" s="4">
        <v>3072373</v>
      </c>
      <c r="AY166" s="4">
        <v>2048247.89</v>
      </c>
      <c r="AZ166" s="4">
        <v>700</v>
      </c>
      <c r="BA166" s="4">
        <v>168552.65</v>
      </c>
      <c r="BB166" s="4">
        <f t="shared" si="23"/>
        <v>530444080.33999997</v>
      </c>
    </row>
    <row r="167" spans="1:54" x14ac:dyDescent="0.2">
      <c r="A167" s="3">
        <v>41334</v>
      </c>
      <c r="B167" s="4">
        <v>14.66</v>
      </c>
      <c r="C167" s="4">
        <v>787845.24</v>
      </c>
      <c r="D167" s="4">
        <v>0</v>
      </c>
      <c r="E167" s="4">
        <v>0</v>
      </c>
      <c r="F167" s="4">
        <v>567.41999999999996</v>
      </c>
      <c r="G167" s="4">
        <v>137398.67000000001</v>
      </c>
      <c r="H167" s="4">
        <v>0</v>
      </c>
      <c r="I167" s="4">
        <v>5.94</v>
      </c>
      <c r="J167" s="4">
        <v>0</v>
      </c>
      <c r="K167" s="4">
        <v>1310.96</v>
      </c>
      <c r="L167" s="4">
        <v>0</v>
      </c>
      <c r="M167" s="4">
        <v>214748.63</v>
      </c>
      <c r="N167" s="4">
        <v>442022.45</v>
      </c>
      <c r="O167" s="4">
        <v>153690.49</v>
      </c>
      <c r="P167" s="4">
        <v>961792.08</v>
      </c>
      <c r="Q167" s="4">
        <v>366783.44</v>
      </c>
      <c r="R167" s="4">
        <v>0</v>
      </c>
      <c r="S167" s="4">
        <v>146624.79</v>
      </c>
      <c r="T167" s="4">
        <v>-32840.26</v>
      </c>
      <c r="U167" s="4">
        <v>0</v>
      </c>
      <c r="V167" s="4">
        <v>1950326.6</v>
      </c>
      <c r="W167" s="4">
        <v>586639466.38</v>
      </c>
      <c r="X167" s="4">
        <v>382193.95</v>
      </c>
      <c r="Y167" s="4">
        <v>86481178.780000001</v>
      </c>
      <c r="Z167" s="4">
        <v>9677056.4000000004</v>
      </c>
      <c r="AA167" s="4"/>
      <c r="AB167" s="4">
        <v>0</v>
      </c>
      <c r="AC167" s="4">
        <v>63339.040000000001</v>
      </c>
      <c r="AD167" s="4">
        <v>2561021.7599999998</v>
      </c>
      <c r="AE167" s="4">
        <v>0</v>
      </c>
      <c r="AF167" s="4">
        <v>231833.05</v>
      </c>
      <c r="AG167" s="4">
        <v>0</v>
      </c>
      <c r="AH167" s="4">
        <v>347885.8</v>
      </c>
      <c r="AI167" s="4">
        <v>400716.23</v>
      </c>
      <c r="AJ167" s="4">
        <v>0</v>
      </c>
      <c r="AK167" s="4">
        <v>1250761.77</v>
      </c>
      <c r="AL167" s="4">
        <v>0</v>
      </c>
      <c r="AM167" s="4">
        <v>1328.55</v>
      </c>
      <c r="AN167" s="4">
        <v>0</v>
      </c>
      <c r="AO167" s="4">
        <v>603417.79</v>
      </c>
      <c r="AP167" s="4">
        <v>0</v>
      </c>
      <c r="AQ167" s="4">
        <v>61001.649999999994</v>
      </c>
      <c r="AR167" s="4">
        <v>861663.8</v>
      </c>
      <c r="AS167" s="4">
        <v>0</v>
      </c>
      <c r="AT167" s="4">
        <v>155.79</v>
      </c>
      <c r="AU167" s="4">
        <v>0</v>
      </c>
      <c r="AV167" s="4">
        <v>1044487.5700000001</v>
      </c>
      <c r="AW167" s="4">
        <v>4074912.29</v>
      </c>
      <c r="AX167" s="4">
        <v>4023491.12</v>
      </c>
      <c r="AY167" s="4">
        <v>2682312.87</v>
      </c>
      <c r="AZ167" s="4">
        <v>7067.94</v>
      </c>
      <c r="BA167" s="4">
        <v>8715484.7699999996</v>
      </c>
      <c r="BB167" s="4">
        <f t="shared" si="23"/>
        <v>715241068.40999973</v>
      </c>
    </row>
    <row r="168" spans="1:54" x14ac:dyDescent="0.2">
      <c r="A168" s="3">
        <v>41365</v>
      </c>
      <c r="B168" s="4">
        <v>0</v>
      </c>
      <c r="C168" s="4">
        <v>580175.14</v>
      </c>
      <c r="D168" s="4">
        <v>0</v>
      </c>
      <c r="E168" s="4">
        <v>0</v>
      </c>
      <c r="F168" s="4">
        <v>0</v>
      </c>
      <c r="G168" s="4">
        <v>199757.54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213805.1</v>
      </c>
      <c r="N168" s="4">
        <v>183790.51</v>
      </c>
      <c r="O168" s="4">
        <v>192091.37</v>
      </c>
      <c r="P168" s="4">
        <v>742472.13</v>
      </c>
      <c r="Q168" s="4">
        <v>233444.28</v>
      </c>
      <c r="R168" s="4">
        <v>0</v>
      </c>
      <c r="S168" s="4">
        <v>167858.49</v>
      </c>
      <c r="T168" s="4">
        <v>43876.32</v>
      </c>
      <c r="U168" s="4">
        <v>0</v>
      </c>
      <c r="V168" s="4">
        <v>1342175.96</v>
      </c>
      <c r="W168" s="4">
        <v>481675816.42000002</v>
      </c>
      <c r="X168" s="4">
        <v>482529.9</v>
      </c>
      <c r="Y168" s="4">
        <v>61009107.43</v>
      </c>
      <c r="Z168" s="4">
        <v>37545.75</v>
      </c>
      <c r="AA168" s="4"/>
      <c r="AB168" s="4">
        <v>0</v>
      </c>
      <c r="AC168" s="4">
        <v>75757.16</v>
      </c>
      <c r="AD168" s="4">
        <v>1856278.22</v>
      </c>
      <c r="AE168" s="4">
        <v>0</v>
      </c>
      <c r="AF168" s="4">
        <v>107907.52</v>
      </c>
      <c r="AG168" s="4">
        <v>0</v>
      </c>
      <c r="AH168" s="4">
        <v>307219.89</v>
      </c>
      <c r="AI168" s="4">
        <v>330333.21000000002</v>
      </c>
      <c r="AJ168" s="4">
        <v>0</v>
      </c>
      <c r="AK168" s="4">
        <v>978780.62</v>
      </c>
      <c r="AL168" s="4">
        <v>0</v>
      </c>
      <c r="AM168" s="4">
        <v>14999.96</v>
      </c>
      <c r="AN168" s="4">
        <v>0</v>
      </c>
      <c r="AO168" s="4">
        <v>519114.26</v>
      </c>
      <c r="AP168" s="4">
        <v>0</v>
      </c>
      <c r="AQ168" s="4">
        <v>40173.85</v>
      </c>
      <c r="AR168" s="4">
        <v>672737.62</v>
      </c>
      <c r="AS168" s="4">
        <v>0</v>
      </c>
      <c r="AT168" s="4">
        <v>0</v>
      </c>
      <c r="AU168" s="4">
        <v>0</v>
      </c>
      <c r="AV168" s="4">
        <v>644482.72</v>
      </c>
      <c r="AW168" s="4">
        <v>3930289.49</v>
      </c>
      <c r="AX168" s="4">
        <v>3101790.91</v>
      </c>
      <c r="AY168" s="4">
        <v>2067858.47</v>
      </c>
      <c r="AZ168" s="4">
        <v>350</v>
      </c>
      <c r="BA168" s="4">
        <v>359572.47999999998</v>
      </c>
      <c r="BB168" s="4">
        <f t="shared" si="23"/>
        <v>562112092.72000003</v>
      </c>
    </row>
    <row r="169" spans="1:54" x14ac:dyDescent="0.2">
      <c r="A169" s="3">
        <v>41395</v>
      </c>
      <c r="B169" s="4">
        <v>0</v>
      </c>
      <c r="C169" s="4">
        <v>612507.09</v>
      </c>
      <c r="D169" s="4">
        <v>0</v>
      </c>
      <c r="E169" s="4">
        <v>0</v>
      </c>
      <c r="F169" s="4">
        <v>0</v>
      </c>
      <c r="G169" s="4">
        <v>194178.81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199210.3</v>
      </c>
      <c r="N169" s="4">
        <v>173707</v>
      </c>
      <c r="O169" s="4">
        <v>196460.07</v>
      </c>
      <c r="P169" s="4">
        <v>737589.1</v>
      </c>
      <c r="Q169" s="4">
        <v>229597.97</v>
      </c>
      <c r="R169" s="4">
        <v>0</v>
      </c>
      <c r="S169" s="4">
        <v>165595.18</v>
      </c>
      <c r="T169" s="4">
        <v>30937.620000000003</v>
      </c>
      <c r="U169" s="4">
        <v>0</v>
      </c>
      <c r="V169" s="4">
        <v>1232053.27</v>
      </c>
      <c r="W169" s="4">
        <v>474875050.38999999</v>
      </c>
      <c r="X169" s="4">
        <v>468993.9</v>
      </c>
      <c r="Y169" s="4">
        <v>60618516.520000003</v>
      </c>
      <c r="Z169" s="4">
        <v>4558.7700000000004</v>
      </c>
      <c r="AA169" s="4"/>
      <c r="AB169" s="4">
        <v>0</v>
      </c>
      <c r="AC169" s="4">
        <v>83072.570000000007</v>
      </c>
      <c r="AD169" s="4">
        <v>1918049.7</v>
      </c>
      <c r="AE169" s="4">
        <v>0</v>
      </c>
      <c r="AF169" s="4">
        <v>75793.990000000005</v>
      </c>
      <c r="AG169" s="4">
        <v>0</v>
      </c>
      <c r="AH169" s="4">
        <v>315988.45</v>
      </c>
      <c r="AI169" s="4">
        <v>336606.77</v>
      </c>
      <c r="AJ169" s="4">
        <v>0</v>
      </c>
      <c r="AK169" s="4">
        <v>977166.92</v>
      </c>
      <c r="AL169" s="4">
        <v>0</v>
      </c>
      <c r="AM169" s="4">
        <v>15715.2</v>
      </c>
      <c r="AN169" s="4">
        <v>0</v>
      </c>
      <c r="AO169" s="4">
        <v>523896.45</v>
      </c>
      <c r="AP169" s="4">
        <v>0</v>
      </c>
      <c r="AQ169" s="4">
        <v>43449.15</v>
      </c>
      <c r="AR169" s="4">
        <v>696210.94</v>
      </c>
      <c r="AS169" s="4">
        <v>0</v>
      </c>
      <c r="AT169" s="4">
        <v>0</v>
      </c>
      <c r="AU169" s="4">
        <v>0</v>
      </c>
      <c r="AV169" s="4">
        <v>661705.5</v>
      </c>
      <c r="AW169" s="4">
        <v>3932120.64</v>
      </c>
      <c r="AX169" s="4">
        <v>3126881.66</v>
      </c>
      <c r="AY169" s="4">
        <v>2084586.91</v>
      </c>
      <c r="AZ169" s="4">
        <v>400</v>
      </c>
      <c r="BA169" s="4">
        <v>62886.04</v>
      </c>
      <c r="BB169" s="4">
        <f t="shared" si="23"/>
        <v>554593486.88000011</v>
      </c>
    </row>
    <row r="170" spans="1:54" x14ac:dyDescent="0.2">
      <c r="A170" s="3">
        <v>41426</v>
      </c>
      <c r="B170" s="4">
        <v>13.48</v>
      </c>
      <c r="C170" s="4">
        <v>829104.96</v>
      </c>
      <c r="D170" s="4">
        <v>0</v>
      </c>
      <c r="E170" s="4">
        <v>0</v>
      </c>
      <c r="F170" s="4">
        <v>2762.68</v>
      </c>
      <c r="G170" s="4">
        <v>212176.17</v>
      </c>
      <c r="H170" s="4">
        <v>0</v>
      </c>
      <c r="I170" s="4">
        <v>0</v>
      </c>
      <c r="J170" s="4">
        <v>0</v>
      </c>
      <c r="K170" s="4">
        <v>745.22</v>
      </c>
      <c r="L170" s="4">
        <v>0</v>
      </c>
      <c r="M170" s="4">
        <v>278483.63</v>
      </c>
      <c r="N170" s="4">
        <v>371663.99</v>
      </c>
      <c r="O170" s="4">
        <v>228129.22</v>
      </c>
      <c r="P170" s="4">
        <v>1107444.06</v>
      </c>
      <c r="Q170" s="4">
        <v>401980.81999999995</v>
      </c>
      <c r="R170" s="4">
        <v>0</v>
      </c>
      <c r="S170" s="4">
        <v>204984.3</v>
      </c>
      <c r="T170" s="4">
        <v>275698.90999999997</v>
      </c>
      <c r="U170" s="4">
        <v>0</v>
      </c>
      <c r="V170" s="4">
        <v>1984670.8200000003</v>
      </c>
      <c r="W170" s="4">
        <v>631816420.75999999</v>
      </c>
      <c r="X170" s="4">
        <v>558379.97</v>
      </c>
      <c r="Y170" s="4">
        <v>95102462.810000002</v>
      </c>
      <c r="Z170" s="4">
        <v>9998755.1500000004</v>
      </c>
      <c r="AA170" s="4"/>
      <c r="AB170" s="4">
        <v>0</v>
      </c>
      <c r="AC170" s="4">
        <v>88510.48</v>
      </c>
      <c r="AD170" s="4">
        <v>2819858.67</v>
      </c>
      <c r="AE170" s="4">
        <v>0</v>
      </c>
      <c r="AF170" s="4">
        <v>149031.38</v>
      </c>
      <c r="AG170" s="4">
        <v>6.61</v>
      </c>
      <c r="AH170" s="4">
        <v>431785.68</v>
      </c>
      <c r="AI170" s="4">
        <v>451845.30000000005</v>
      </c>
      <c r="AJ170" s="4">
        <v>0</v>
      </c>
      <c r="AK170" s="4">
        <v>1280926.75</v>
      </c>
      <c r="AL170" s="4">
        <v>0</v>
      </c>
      <c r="AM170" s="4">
        <v>26974.14</v>
      </c>
      <c r="AN170" s="4">
        <v>0</v>
      </c>
      <c r="AO170" s="4">
        <v>712225.08</v>
      </c>
      <c r="AP170" s="4">
        <v>0</v>
      </c>
      <c r="AQ170" s="4">
        <v>70490.67</v>
      </c>
      <c r="AR170" s="4">
        <v>1157165.1399999999</v>
      </c>
      <c r="AS170" s="4">
        <v>0</v>
      </c>
      <c r="AT170" s="4">
        <v>437.82</v>
      </c>
      <c r="AU170" s="4">
        <v>0</v>
      </c>
      <c r="AV170" s="4">
        <v>990952.84</v>
      </c>
      <c r="AW170" s="4">
        <v>4339871.93</v>
      </c>
      <c r="AX170" s="4">
        <v>4174158.1000000006</v>
      </c>
      <c r="AY170" s="4">
        <v>2782771.55</v>
      </c>
      <c r="AZ170" s="4">
        <v>550</v>
      </c>
      <c r="BA170" s="4">
        <v>10016163.77</v>
      </c>
      <c r="BB170" s="4">
        <f t="shared" si="23"/>
        <v>772867602.85999978</v>
      </c>
    </row>
    <row r="171" spans="1:54" x14ac:dyDescent="0.2">
      <c r="A171" s="3">
        <v>41456</v>
      </c>
      <c r="B171" s="4">
        <v>0</v>
      </c>
      <c r="C171" s="4">
        <v>659310.97</v>
      </c>
      <c r="D171" s="4">
        <v>0</v>
      </c>
      <c r="E171" s="4">
        <v>0</v>
      </c>
      <c r="F171" s="4">
        <v>0</v>
      </c>
      <c r="G171" s="4">
        <v>204900.11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210875.34</v>
      </c>
      <c r="N171" s="4">
        <v>170942.03</v>
      </c>
      <c r="O171" s="4">
        <v>197895.19</v>
      </c>
      <c r="P171" s="4">
        <v>791597.89</v>
      </c>
      <c r="Q171" s="4">
        <v>246599.56</v>
      </c>
      <c r="R171" s="4">
        <v>0</v>
      </c>
      <c r="S171" s="4">
        <v>119150.14</v>
      </c>
      <c r="T171" s="4">
        <v>61172.21</v>
      </c>
      <c r="U171" s="4">
        <v>0</v>
      </c>
      <c r="V171" s="4">
        <v>1359842.42</v>
      </c>
      <c r="W171" s="4">
        <v>473920181.00999999</v>
      </c>
      <c r="X171" s="4">
        <v>664927</v>
      </c>
      <c r="Y171" s="4">
        <v>61782722.219999999</v>
      </c>
      <c r="Z171" s="4">
        <v>-3378.63</v>
      </c>
      <c r="AA171" s="4"/>
      <c r="AB171" s="4">
        <v>0</v>
      </c>
      <c r="AC171" s="4">
        <v>68739.179999999993</v>
      </c>
      <c r="AD171" s="4">
        <v>1933894.02</v>
      </c>
      <c r="AE171" s="4">
        <v>0</v>
      </c>
      <c r="AF171" s="4">
        <v>123923.22</v>
      </c>
      <c r="AG171" s="4">
        <v>0</v>
      </c>
      <c r="AH171" s="4">
        <v>319149.32</v>
      </c>
      <c r="AI171" s="4">
        <v>345059.76</v>
      </c>
      <c r="AJ171" s="4">
        <v>0</v>
      </c>
      <c r="AK171" s="4">
        <v>987599.87</v>
      </c>
      <c r="AL171" s="4">
        <v>0</v>
      </c>
      <c r="AM171" s="4">
        <v>19047.34</v>
      </c>
      <c r="AN171" s="4">
        <v>0</v>
      </c>
      <c r="AO171" s="4">
        <v>527578.78</v>
      </c>
      <c r="AP171" s="4">
        <v>0</v>
      </c>
      <c r="AQ171" s="4">
        <v>39469.839999999997</v>
      </c>
      <c r="AR171" s="4">
        <v>970941.53</v>
      </c>
      <c r="AS171" s="4">
        <v>0</v>
      </c>
      <c r="AT171" s="4">
        <v>0</v>
      </c>
      <c r="AU171" s="4">
        <v>0</v>
      </c>
      <c r="AV171" s="4">
        <v>687682.78</v>
      </c>
      <c r="AW171" s="4">
        <v>4012326.29</v>
      </c>
      <c r="AX171" s="4">
        <v>3168053.47</v>
      </c>
      <c r="AY171" s="4">
        <v>2112034.2200000002</v>
      </c>
      <c r="AZ171" s="4">
        <v>21150</v>
      </c>
      <c r="BA171" s="4">
        <v>140927.76999999999</v>
      </c>
      <c r="BB171" s="4">
        <f t="shared" si="23"/>
        <v>555864314.85000002</v>
      </c>
    </row>
    <row r="172" spans="1:54" x14ac:dyDescent="0.2">
      <c r="A172" s="3">
        <v>41487</v>
      </c>
      <c r="B172" s="4">
        <v>0</v>
      </c>
      <c r="C172" s="4">
        <v>628243.36</v>
      </c>
      <c r="D172" s="4">
        <v>0</v>
      </c>
      <c r="E172" s="4">
        <v>0</v>
      </c>
      <c r="F172" s="4">
        <v>0</v>
      </c>
      <c r="G172" s="4">
        <v>205583.41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204341.6</v>
      </c>
      <c r="N172" s="4">
        <v>183424.88</v>
      </c>
      <c r="O172" s="4">
        <v>205242.64</v>
      </c>
      <c r="P172" s="4">
        <v>782290.55</v>
      </c>
      <c r="Q172" s="4">
        <v>261112.03</v>
      </c>
      <c r="R172" s="4">
        <v>0</v>
      </c>
      <c r="S172" s="4">
        <v>110465.99</v>
      </c>
      <c r="T172" s="4">
        <v>47156.55</v>
      </c>
      <c r="U172" s="4">
        <v>0</v>
      </c>
      <c r="V172" s="4">
        <v>1279738.96</v>
      </c>
      <c r="W172" s="4">
        <v>474508032.63999999</v>
      </c>
      <c r="X172" s="4">
        <v>697939.67</v>
      </c>
      <c r="Y172" s="4">
        <v>61567576.140000001</v>
      </c>
      <c r="Z172" s="4">
        <v>13690.11</v>
      </c>
      <c r="AA172" s="4"/>
      <c r="AB172" s="4">
        <v>0</v>
      </c>
      <c r="AC172" s="4">
        <v>76684.36</v>
      </c>
      <c r="AD172" s="4">
        <v>1891006.24</v>
      </c>
      <c r="AE172" s="4">
        <v>0</v>
      </c>
      <c r="AF172" s="4">
        <v>105046.72</v>
      </c>
      <c r="AG172" s="4">
        <v>0</v>
      </c>
      <c r="AH172" s="4">
        <v>317192.73</v>
      </c>
      <c r="AI172" s="4">
        <v>331005.33</v>
      </c>
      <c r="AJ172" s="4">
        <v>0</v>
      </c>
      <c r="AK172" s="4">
        <v>952133.46</v>
      </c>
      <c r="AL172" s="4">
        <v>0</v>
      </c>
      <c r="AM172" s="4">
        <v>19668.96</v>
      </c>
      <c r="AN172" s="4">
        <v>0</v>
      </c>
      <c r="AO172" s="4">
        <v>522046.32</v>
      </c>
      <c r="AP172" s="4">
        <v>0</v>
      </c>
      <c r="AQ172" s="4">
        <v>37792.03</v>
      </c>
      <c r="AR172" s="4">
        <v>1072163.55</v>
      </c>
      <c r="AS172" s="4">
        <v>0</v>
      </c>
      <c r="AT172" s="4">
        <v>0</v>
      </c>
      <c r="AU172" s="4">
        <v>0</v>
      </c>
      <c r="AV172" s="4">
        <v>708114.06</v>
      </c>
      <c r="AW172" s="4">
        <v>4096093.7</v>
      </c>
      <c r="AX172" s="4">
        <v>3233256.74</v>
      </c>
      <c r="AY172" s="4">
        <v>2155503.12</v>
      </c>
      <c r="AZ172" s="4">
        <v>37750</v>
      </c>
      <c r="BA172" s="4">
        <v>107813.77</v>
      </c>
      <c r="BB172" s="4">
        <f t="shared" si="23"/>
        <v>556358109.62000024</v>
      </c>
    </row>
    <row r="173" spans="1:54" x14ac:dyDescent="0.2">
      <c r="A173" s="3">
        <v>41518</v>
      </c>
      <c r="B173" s="4">
        <v>0</v>
      </c>
      <c r="C173" s="4">
        <v>825093.48</v>
      </c>
      <c r="D173" s="4">
        <v>0</v>
      </c>
      <c r="E173" s="4">
        <v>0</v>
      </c>
      <c r="F173" s="4">
        <v>233.79</v>
      </c>
      <c r="G173" s="4">
        <v>258622.78000000003</v>
      </c>
      <c r="H173" s="4">
        <v>0</v>
      </c>
      <c r="I173" s="4">
        <v>0</v>
      </c>
      <c r="J173" s="4">
        <v>0</v>
      </c>
      <c r="K173" s="4">
        <v>1097.58</v>
      </c>
      <c r="L173" s="4">
        <v>0</v>
      </c>
      <c r="M173" s="4">
        <v>268430.69</v>
      </c>
      <c r="N173" s="4">
        <v>284504.92</v>
      </c>
      <c r="O173" s="4">
        <v>258325.99</v>
      </c>
      <c r="P173" s="4">
        <v>1076612.4099999999</v>
      </c>
      <c r="Q173" s="4">
        <v>421056.18</v>
      </c>
      <c r="R173" s="4">
        <v>0</v>
      </c>
      <c r="S173" s="4">
        <v>423685.6</v>
      </c>
      <c r="T173" s="4">
        <v>501220.81</v>
      </c>
      <c r="U173" s="4">
        <v>0</v>
      </c>
      <c r="V173" s="4">
        <v>1949947.07</v>
      </c>
      <c r="W173" s="4">
        <v>605726440.5</v>
      </c>
      <c r="X173" s="4">
        <v>1183303.54</v>
      </c>
      <c r="Y173" s="4">
        <v>92924906.450000003</v>
      </c>
      <c r="Z173" s="4">
        <v>13725546.83</v>
      </c>
      <c r="AA173" s="4"/>
      <c r="AB173" s="4">
        <v>0</v>
      </c>
      <c r="AC173" s="4">
        <v>74866.320000000007</v>
      </c>
      <c r="AD173" s="4">
        <v>2870799.35</v>
      </c>
      <c r="AE173" s="4">
        <v>0</v>
      </c>
      <c r="AF173" s="4">
        <v>172354.65</v>
      </c>
      <c r="AG173" s="4">
        <v>29.6</v>
      </c>
      <c r="AH173" s="4">
        <v>436283.27</v>
      </c>
      <c r="AI173" s="4">
        <v>426553</v>
      </c>
      <c r="AJ173" s="4">
        <v>0</v>
      </c>
      <c r="AK173" s="4">
        <v>1243622.42</v>
      </c>
      <c r="AL173" s="4">
        <v>0</v>
      </c>
      <c r="AM173" s="4">
        <v>12832.55</v>
      </c>
      <c r="AN173" s="4">
        <v>0</v>
      </c>
      <c r="AO173" s="4">
        <v>703028.86</v>
      </c>
      <c r="AP173" s="4">
        <v>0</v>
      </c>
      <c r="AQ173" s="4">
        <v>64620.179999999993</v>
      </c>
      <c r="AR173" s="4">
        <v>1336743.71</v>
      </c>
      <c r="AS173" s="4">
        <v>0</v>
      </c>
      <c r="AT173" s="4">
        <v>319.86</v>
      </c>
      <c r="AU173" s="4">
        <v>0</v>
      </c>
      <c r="AV173" s="4">
        <v>1067803.6200000001</v>
      </c>
      <c r="AW173" s="4">
        <v>4541292.3899999997</v>
      </c>
      <c r="AX173" s="4">
        <v>3982604.16</v>
      </c>
      <c r="AY173" s="4">
        <v>2655068.58</v>
      </c>
      <c r="AZ173" s="4">
        <v>10300</v>
      </c>
      <c r="BA173" s="4">
        <v>10876721.16</v>
      </c>
      <c r="BB173" s="4">
        <f t="shared" si="23"/>
        <v>750304872.29999995</v>
      </c>
    </row>
    <row r="174" spans="1:54" x14ac:dyDescent="0.2">
      <c r="A174" s="3">
        <v>41548</v>
      </c>
      <c r="B174" s="4">
        <v>0</v>
      </c>
      <c r="C174" s="4">
        <v>634908.47</v>
      </c>
      <c r="D174" s="4">
        <v>0</v>
      </c>
      <c r="E174" s="4">
        <v>0</v>
      </c>
      <c r="F174" s="4">
        <v>0</v>
      </c>
      <c r="G174" s="4">
        <v>193750.86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195476.78</v>
      </c>
      <c r="N174" s="4">
        <v>174891.99</v>
      </c>
      <c r="O174" s="4">
        <v>199781.49</v>
      </c>
      <c r="P174" s="4">
        <v>778753.91</v>
      </c>
      <c r="Q174" s="4">
        <v>245529.32</v>
      </c>
      <c r="R174" s="4">
        <v>0</v>
      </c>
      <c r="S174" s="4">
        <v>125872.15</v>
      </c>
      <c r="T174" s="4">
        <v>67607.14</v>
      </c>
      <c r="U174" s="4">
        <v>0</v>
      </c>
      <c r="V174" s="4">
        <v>1261687.48</v>
      </c>
      <c r="W174" s="4">
        <v>492259001.38</v>
      </c>
      <c r="X174" s="4">
        <v>480857.1</v>
      </c>
      <c r="Y174" s="4">
        <v>62195442.609999999</v>
      </c>
      <c r="Z174" s="4">
        <v>13131.53</v>
      </c>
      <c r="AA174" s="4"/>
      <c r="AB174" s="4">
        <v>0</v>
      </c>
      <c r="AC174" s="4">
        <v>72907.75</v>
      </c>
      <c r="AD174" s="4">
        <v>1856255.01</v>
      </c>
      <c r="AE174" s="4">
        <v>0</v>
      </c>
      <c r="AF174" s="4">
        <v>117769.28</v>
      </c>
      <c r="AG174" s="4">
        <v>0</v>
      </c>
      <c r="AH174" s="4">
        <v>318365.62</v>
      </c>
      <c r="AI174" s="4">
        <v>317171.39</v>
      </c>
      <c r="AJ174" s="4">
        <v>0</v>
      </c>
      <c r="AK174" s="4">
        <v>969876.59</v>
      </c>
      <c r="AL174" s="4">
        <v>0</v>
      </c>
      <c r="AM174" s="4">
        <v>19944.439999999999</v>
      </c>
      <c r="AN174" s="4">
        <v>0</v>
      </c>
      <c r="AO174" s="4">
        <v>510410.97</v>
      </c>
      <c r="AP174" s="4">
        <v>0</v>
      </c>
      <c r="AQ174" s="4">
        <v>39726.44</v>
      </c>
      <c r="AR174" s="4">
        <v>739147.82</v>
      </c>
      <c r="AS174" s="4">
        <v>0</v>
      </c>
      <c r="AT174" s="4">
        <v>0</v>
      </c>
      <c r="AU174" s="4">
        <v>0</v>
      </c>
      <c r="AV174" s="4">
        <v>701370.54</v>
      </c>
      <c r="AW174" s="4">
        <v>4002703.77</v>
      </c>
      <c r="AX174" s="4">
        <v>3055605.61</v>
      </c>
      <c r="AY174" s="4">
        <v>2037068.95</v>
      </c>
      <c r="AZ174" s="4">
        <v>4050</v>
      </c>
      <c r="BA174" s="4">
        <v>152061.5</v>
      </c>
      <c r="BB174" s="4">
        <f t="shared" si="23"/>
        <v>573741127.8900001</v>
      </c>
    </row>
    <row r="175" spans="1:54" x14ac:dyDescent="0.2">
      <c r="A175" s="3">
        <v>41579</v>
      </c>
      <c r="B175" s="4">
        <v>0</v>
      </c>
      <c r="C175" s="4">
        <v>599712.92000000004</v>
      </c>
      <c r="D175" s="4">
        <v>0</v>
      </c>
      <c r="E175" s="4">
        <v>0</v>
      </c>
      <c r="F175" s="4">
        <v>0</v>
      </c>
      <c r="G175" s="4">
        <v>240189.68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192549.83</v>
      </c>
      <c r="N175" s="4">
        <v>172010.86</v>
      </c>
      <c r="O175" s="4">
        <v>192720.7</v>
      </c>
      <c r="P175" s="4">
        <v>786992.25</v>
      </c>
      <c r="Q175" s="4">
        <v>239751.49</v>
      </c>
      <c r="R175" s="4">
        <v>0</v>
      </c>
      <c r="S175" s="4">
        <v>123977.04</v>
      </c>
      <c r="T175" s="4">
        <v>68859.38</v>
      </c>
      <c r="U175" s="4">
        <v>0</v>
      </c>
      <c r="V175" s="4">
        <v>1281930.5</v>
      </c>
      <c r="W175" s="4">
        <v>494610799.12</v>
      </c>
      <c r="X175" s="4">
        <v>475872.47</v>
      </c>
      <c r="Y175" s="4">
        <v>62382261.850000001</v>
      </c>
      <c r="Z175" s="4">
        <v>7842.38</v>
      </c>
      <c r="AA175" s="4"/>
      <c r="AB175" s="4">
        <v>0</v>
      </c>
      <c r="AC175" s="4">
        <v>72335.520000000004</v>
      </c>
      <c r="AD175" s="4">
        <v>1893959.56</v>
      </c>
      <c r="AE175" s="4">
        <v>0</v>
      </c>
      <c r="AF175" s="4">
        <v>102080.75</v>
      </c>
      <c r="AG175" s="4">
        <v>0</v>
      </c>
      <c r="AH175" s="4">
        <v>335657.47</v>
      </c>
      <c r="AI175" s="4">
        <v>310320.78999999998</v>
      </c>
      <c r="AJ175" s="4">
        <v>0</v>
      </c>
      <c r="AK175" s="4">
        <v>959255.17</v>
      </c>
      <c r="AL175" s="4">
        <v>0</v>
      </c>
      <c r="AM175" s="4">
        <v>20469.73</v>
      </c>
      <c r="AN175" s="4">
        <v>0</v>
      </c>
      <c r="AO175" s="4">
        <v>516932.68</v>
      </c>
      <c r="AP175" s="4">
        <v>0</v>
      </c>
      <c r="AQ175" s="4">
        <v>39628.400000000001</v>
      </c>
      <c r="AR175" s="4">
        <v>735779.65</v>
      </c>
      <c r="AS175" s="4">
        <v>0</v>
      </c>
      <c r="AT175" s="4">
        <v>0</v>
      </c>
      <c r="AU175" s="4">
        <v>0</v>
      </c>
      <c r="AV175" s="4">
        <v>677823.52</v>
      </c>
      <c r="AW175" s="4">
        <v>4115313.4</v>
      </c>
      <c r="AX175" s="4">
        <v>3097401.19</v>
      </c>
      <c r="AY175" s="4">
        <v>2064932.85</v>
      </c>
      <c r="AZ175" s="4">
        <v>1100</v>
      </c>
      <c r="BA175" s="4">
        <v>252440.59</v>
      </c>
      <c r="BB175" s="4">
        <f t="shared" si="23"/>
        <v>576570901.73999989</v>
      </c>
    </row>
    <row r="176" spans="1:54" x14ac:dyDescent="0.2">
      <c r="A176" s="3">
        <v>41609</v>
      </c>
      <c r="B176" s="4">
        <v>0</v>
      </c>
      <c r="C176" s="4">
        <v>845067.62999999989</v>
      </c>
      <c r="D176" s="4">
        <v>372.63</v>
      </c>
      <c r="E176" s="4">
        <v>0</v>
      </c>
      <c r="F176" s="4">
        <v>211.08</v>
      </c>
      <c r="G176" s="4">
        <v>309331.76</v>
      </c>
      <c r="H176" s="4">
        <v>0</v>
      </c>
      <c r="I176" s="4">
        <v>47.89</v>
      </c>
      <c r="J176" s="4">
        <v>0</v>
      </c>
      <c r="K176" s="4">
        <v>839.19</v>
      </c>
      <c r="L176" s="4">
        <v>0</v>
      </c>
      <c r="M176" s="4">
        <v>281695.19</v>
      </c>
      <c r="N176" s="4">
        <v>256778.4</v>
      </c>
      <c r="O176" s="4">
        <v>236198.62</v>
      </c>
      <c r="P176" s="4">
        <v>1065144.81</v>
      </c>
      <c r="Q176" s="4">
        <v>364128.01</v>
      </c>
      <c r="R176" s="4">
        <v>0</v>
      </c>
      <c r="S176" s="4">
        <v>277880.49</v>
      </c>
      <c r="T176" s="4">
        <v>202087.37</v>
      </c>
      <c r="U176" s="4">
        <v>0</v>
      </c>
      <c r="V176" s="4">
        <v>1999527.35</v>
      </c>
      <c r="W176" s="4">
        <v>648797440.61000001</v>
      </c>
      <c r="X176" s="4">
        <v>645872.72</v>
      </c>
      <c r="Y176" s="4">
        <v>95636420.129999995</v>
      </c>
      <c r="Z176" s="4">
        <v>11129541.220000001</v>
      </c>
      <c r="AA176" s="4"/>
      <c r="AB176" s="4">
        <v>0</v>
      </c>
      <c r="AC176" s="4">
        <v>62198.61</v>
      </c>
      <c r="AD176" s="4">
        <v>2771634.3</v>
      </c>
      <c r="AE176" s="4">
        <v>0</v>
      </c>
      <c r="AF176" s="4">
        <v>160211.14000000001</v>
      </c>
      <c r="AG176" s="4">
        <v>0</v>
      </c>
      <c r="AH176" s="4">
        <v>381317.49</v>
      </c>
      <c r="AI176" s="4">
        <v>424555.09</v>
      </c>
      <c r="AJ176" s="4">
        <v>0</v>
      </c>
      <c r="AK176" s="4">
        <v>1216518.3600000001</v>
      </c>
      <c r="AL176" s="4">
        <v>0</v>
      </c>
      <c r="AM176" s="4">
        <v>20728.84</v>
      </c>
      <c r="AN176" s="4">
        <v>0</v>
      </c>
      <c r="AO176" s="4">
        <v>593281.14</v>
      </c>
      <c r="AP176" s="4">
        <v>0</v>
      </c>
      <c r="AQ176" s="4">
        <v>65249.37</v>
      </c>
      <c r="AR176" s="4">
        <v>1097082.79</v>
      </c>
      <c r="AS176" s="4">
        <v>0</v>
      </c>
      <c r="AT176" s="4">
        <v>0</v>
      </c>
      <c r="AU176" s="4">
        <v>0</v>
      </c>
      <c r="AV176" s="4">
        <v>1119599.6000000001</v>
      </c>
      <c r="AW176" s="4">
        <v>4883059.6399999997</v>
      </c>
      <c r="AX176" s="4">
        <v>4332346.87</v>
      </c>
      <c r="AY176" s="4">
        <v>2888230.4</v>
      </c>
      <c r="AZ176" s="4">
        <v>2000</v>
      </c>
      <c r="BA176" s="4">
        <v>11052572.85</v>
      </c>
      <c r="BB176" s="4">
        <f t="shared" si="23"/>
        <v>793119171.59000003</v>
      </c>
    </row>
    <row r="177" spans="1:54" ht="15.75" thickBot="1" x14ac:dyDescent="0.25">
      <c r="A177" s="1" t="s">
        <v>167</v>
      </c>
      <c r="B177" s="5">
        <f t="shared" ref="B177:BB177" si="24">SUM(B165:B176)</f>
        <v>28.14</v>
      </c>
      <c r="C177" s="5">
        <f t="shared" si="24"/>
        <v>8277005.5999999996</v>
      </c>
      <c r="D177" s="5">
        <f t="shared" si="24"/>
        <v>372.63</v>
      </c>
      <c r="E177" s="5">
        <f t="shared" si="24"/>
        <v>0</v>
      </c>
      <c r="F177" s="5">
        <f t="shared" si="24"/>
        <v>3774.97</v>
      </c>
      <c r="G177" s="5">
        <f t="shared" si="24"/>
        <v>2556721.9400000004</v>
      </c>
      <c r="H177" s="5">
        <f t="shared" si="24"/>
        <v>0</v>
      </c>
      <c r="I177" s="5">
        <f t="shared" si="24"/>
        <v>53.83</v>
      </c>
      <c r="J177" s="5">
        <f t="shared" si="24"/>
        <v>0</v>
      </c>
      <c r="K177" s="5">
        <f t="shared" si="24"/>
        <v>3992.9500000000003</v>
      </c>
      <c r="L177" s="5">
        <f t="shared" si="24"/>
        <v>0</v>
      </c>
      <c r="M177" s="5">
        <f t="shared" si="24"/>
        <v>2657328.4</v>
      </c>
      <c r="N177" s="5">
        <f t="shared" si="24"/>
        <v>2734962.0599999996</v>
      </c>
      <c r="O177" s="5">
        <f t="shared" si="24"/>
        <v>2466038.3600000003</v>
      </c>
      <c r="P177" s="5">
        <f t="shared" si="24"/>
        <v>10322513.67</v>
      </c>
      <c r="Q177" s="5">
        <f t="shared" si="24"/>
        <v>3467323.1999999993</v>
      </c>
      <c r="R177" s="5">
        <f t="shared" si="24"/>
        <v>0</v>
      </c>
      <c r="S177" s="5">
        <f t="shared" si="24"/>
        <v>2276552.46</v>
      </c>
      <c r="T177" s="5">
        <f t="shared" si="24"/>
        <v>1338599.2600000002</v>
      </c>
      <c r="U177" s="5">
        <f t="shared" si="24"/>
        <v>0</v>
      </c>
      <c r="V177" s="5">
        <f t="shared" si="24"/>
        <v>18483007.660000004</v>
      </c>
      <c r="W177" s="5">
        <f t="shared" si="24"/>
        <v>6349043148.9199991</v>
      </c>
      <c r="X177" s="5">
        <f t="shared" si="24"/>
        <v>6937106.5799999991</v>
      </c>
      <c r="Y177" s="5">
        <f t="shared" si="24"/>
        <v>863032194.32000005</v>
      </c>
      <c r="Z177" s="5">
        <f t="shared" si="24"/>
        <v>44545491.510000005</v>
      </c>
      <c r="AA177" s="5"/>
      <c r="AB177" s="5">
        <f t="shared" si="24"/>
        <v>0</v>
      </c>
      <c r="AC177" s="5">
        <f t="shared" si="24"/>
        <v>918613.80999999994</v>
      </c>
      <c r="AD177" s="5">
        <f t="shared" si="24"/>
        <v>26195832.100000001</v>
      </c>
      <c r="AE177" s="5">
        <f t="shared" si="24"/>
        <v>0</v>
      </c>
      <c r="AF177" s="5">
        <f t="shared" si="24"/>
        <v>1637676.44</v>
      </c>
      <c r="AG177" s="5">
        <f t="shared" si="24"/>
        <v>36.21</v>
      </c>
      <c r="AH177" s="5">
        <f t="shared" si="24"/>
        <v>4186886.0999999996</v>
      </c>
      <c r="AI177" s="5">
        <f t="shared" si="24"/>
        <v>4342151.1800000006</v>
      </c>
      <c r="AJ177" s="5">
        <f t="shared" si="24"/>
        <v>0</v>
      </c>
      <c r="AK177" s="5">
        <f t="shared" si="24"/>
        <v>12611725.67</v>
      </c>
      <c r="AL177" s="5">
        <f t="shared" si="24"/>
        <v>0</v>
      </c>
      <c r="AM177" s="5">
        <f t="shared" si="24"/>
        <v>245022.9</v>
      </c>
      <c r="AN177" s="5">
        <f t="shared" si="24"/>
        <v>0</v>
      </c>
      <c r="AO177" s="5">
        <f t="shared" si="24"/>
        <v>6776912.3399999999</v>
      </c>
      <c r="AP177" s="5">
        <f t="shared" si="24"/>
        <v>0</v>
      </c>
      <c r="AQ177" s="5">
        <f t="shared" si="24"/>
        <v>586045.80000000005</v>
      </c>
      <c r="AR177" s="5">
        <f t="shared" si="24"/>
        <v>10612637.73</v>
      </c>
      <c r="AS177" s="5">
        <f t="shared" si="24"/>
        <v>0</v>
      </c>
      <c r="AT177" s="5">
        <f t="shared" si="24"/>
        <v>913.47</v>
      </c>
      <c r="AU177" s="5">
        <f t="shared" si="24"/>
        <v>0</v>
      </c>
      <c r="AV177" s="5">
        <f t="shared" si="24"/>
        <v>9663515.0499999989</v>
      </c>
      <c r="AW177" s="5">
        <f t="shared" si="24"/>
        <v>50879832.019999996</v>
      </c>
      <c r="AX177" s="5">
        <f t="shared" si="24"/>
        <v>42037619.049999997</v>
      </c>
      <c r="AY177" s="5">
        <f t="shared" si="24"/>
        <v>28025052.959999997</v>
      </c>
      <c r="AZ177" s="5">
        <f t="shared" si="24"/>
        <v>86017.94</v>
      </c>
      <c r="BA177" s="5">
        <f t="shared" si="24"/>
        <v>42117752.579999998</v>
      </c>
      <c r="BB177" s="5">
        <f t="shared" si="24"/>
        <v>7559070459.8100004</v>
      </c>
    </row>
    <row r="178" spans="1:54" ht="15.75" thickTop="1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</row>
    <row r="179" spans="1:54" x14ac:dyDescent="0.2">
      <c r="A179" s="3">
        <v>40909</v>
      </c>
      <c r="B179" s="4">
        <v>0</v>
      </c>
      <c r="C179" s="4">
        <v>680002.55</v>
      </c>
      <c r="D179" s="4">
        <v>0</v>
      </c>
      <c r="E179" s="4">
        <v>0</v>
      </c>
      <c r="F179" s="4">
        <v>0</v>
      </c>
      <c r="G179" s="4">
        <v>231659.24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198492</v>
      </c>
      <c r="N179" s="4">
        <v>156378.85999999999</v>
      </c>
      <c r="O179" s="4">
        <v>215026.7</v>
      </c>
      <c r="P179" s="4">
        <v>759935.17999999993</v>
      </c>
      <c r="Q179" s="4">
        <v>229883.18000000002</v>
      </c>
      <c r="R179" s="4">
        <v>0</v>
      </c>
      <c r="S179" s="4">
        <v>182726.65</v>
      </c>
      <c r="T179" s="4">
        <v>68570.42</v>
      </c>
      <c r="U179" s="4">
        <v>0</v>
      </c>
      <c r="V179" s="4">
        <v>1480144.25</v>
      </c>
      <c r="W179" s="4">
        <v>497753949.39000005</v>
      </c>
      <c r="X179" s="4">
        <v>423128</v>
      </c>
      <c r="Y179" s="4">
        <v>65366587.740000002</v>
      </c>
      <c r="Z179" s="4">
        <v>9484.4</v>
      </c>
      <c r="AA179" s="4"/>
      <c r="AB179" s="4">
        <v>0</v>
      </c>
      <c r="AC179" s="4">
        <v>130242.98000000001</v>
      </c>
      <c r="AD179" s="4">
        <v>1860097.1399999997</v>
      </c>
      <c r="AE179" s="4">
        <v>0</v>
      </c>
      <c r="AF179" s="4">
        <v>102353.65</v>
      </c>
      <c r="AG179" s="4">
        <v>0</v>
      </c>
      <c r="AH179" s="4">
        <v>361254.08999999997</v>
      </c>
      <c r="AI179" s="4">
        <v>344921.02999999997</v>
      </c>
      <c r="AJ179" s="4">
        <v>0</v>
      </c>
      <c r="AK179" s="4">
        <v>924176.25</v>
      </c>
      <c r="AL179" s="4">
        <v>0</v>
      </c>
      <c r="AM179" s="4">
        <v>57970.78</v>
      </c>
      <c r="AN179" s="4">
        <v>0</v>
      </c>
      <c r="AO179" s="4">
        <v>514623.20999999996</v>
      </c>
      <c r="AP179" s="4">
        <v>0</v>
      </c>
      <c r="AQ179" s="4">
        <v>50254.060000000005</v>
      </c>
      <c r="AR179" s="4">
        <v>626177.99</v>
      </c>
      <c r="AS179" s="4">
        <v>0</v>
      </c>
      <c r="AT179" s="4">
        <v>0</v>
      </c>
      <c r="AU179" s="4">
        <v>0</v>
      </c>
      <c r="AV179" s="4">
        <v>695740.02999999991</v>
      </c>
      <c r="AW179" s="4">
        <v>4691803.5399999991</v>
      </c>
      <c r="AX179" s="4">
        <v>3280244.44</v>
      </c>
      <c r="AY179" s="4">
        <v>2186828.3200000003</v>
      </c>
      <c r="AZ179" s="4">
        <v>283050</v>
      </c>
      <c r="BA179" s="4">
        <v>149644.71</v>
      </c>
      <c r="BB179" s="4">
        <f t="shared" ref="BB179:BB190" si="25">SUM(B179:BA179)</f>
        <v>584015350.77999997</v>
      </c>
    </row>
    <row r="180" spans="1:54" x14ac:dyDescent="0.2">
      <c r="A180" s="3">
        <v>40940</v>
      </c>
      <c r="B180" s="4">
        <v>0</v>
      </c>
      <c r="C180" s="4">
        <v>577221.84000000008</v>
      </c>
      <c r="D180" s="4">
        <v>0</v>
      </c>
      <c r="E180" s="4">
        <v>0</v>
      </c>
      <c r="F180" s="4">
        <v>0</v>
      </c>
      <c r="G180" s="4">
        <v>167638.82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175325.31</v>
      </c>
      <c r="N180" s="4">
        <v>137972.26</v>
      </c>
      <c r="O180" s="4">
        <v>180648.18</v>
      </c>
      <c r="P180" s="4">
        <v>645413.76000000013</v>
      </c>
      <c r="Q180" s="4">
        <v>198643.28</v>
      </c>
      <c r="R180" s="4">
        <v>0</v>
      </c>
      <c r="S180" s="4">
        <v>147988.65</v>
      </c>
      <c r="T180" s="4">
        <v>57231.25</v>
      </c>
      <c r="U180" s="4">
        <v>0</v>
      </c>
      <c r="V180" s="4">
        <v>1303291.92</v>
      </c>
      <c r="W180" s="4">
        <v>419013957.88999999</v>
      </c>
      <c r="X180" s="4">
        <v>359600.1</v>
      </c>
      <c r="Y180" s="4">
        <v>55331791.920000002</v>
      </c>
      <c r="Z180" s="4">
        <v>2284.7800000000002</v>
      </c>
      <c r="AA180" s="4"/>
      <c r="AB180" s="4">
        <v>0</v>
      </c>
      <c r="AC180" s="4">
        <v>109939.40999999999</v>
      </c>
      <c r="AD180" s="4">
        <v>1615555.67</v>
      </c>
      <c r="AE180" s="4">
        <v>0</v>
      </c>
      <c r="AF180" s="4">
        <v>92913.69</v>
      </c>
      <c r="AG180" s="4">
        <v>0</v>
      </c>
      <c r="AH180" s="4">
        <v>314514.85000000003</v>
      </c>
      <c r="AI180" s="4">
        <v>298584.79000000004</v>
      </c>
      <c r="AJ180" s="4">
        <v>0</v>
      </c>
      <c r="AK180" s="4">
        <v>813086.53</v>
      </c>
      <c r="AL180" s="4">
        <v>0</v>
      </c>
      <c r="AM180" s="4">
        <v>48462.53</v>
      </c>
      <c r="AN180" s="4">
        <v>0</v>
      </c>
      <c r="AO180" s="4">
        <v>452057.62</v>
      </c>
      <c r="AP180" s="4">
        <v>0</v>
      </c>
      <c r="AQ180" s="4">
        <v>39986.67</v>
      </c>
      <c r="AR180" s="4">
        <v>543086.27</v>
      </c>
      <c r="AS180" s="4">
        <v>0</v>
      </c>
      <c r="AT180" s="4">
        <v>0</v>
      </c>
      <c r="AU180" s="4">
        <v>0</v>
      </c>
      <c r="AV180" s="4">
        <v>600334.95000000007</v>
      </c>
      <c r="AW180" s="4">
        <v>4158429.84</v>
      </c>
      <c r="AX180" s="4">
        <v>2770727.4400000004</v>
      </c>
      <c r="AY180" s="4">
        <v>1847150.13</v>
      </c>
      <c r="AZ180" s="4">
        <v>150650</v>
      </c>
      <c r="BA180" s="4">
        <v>42995.76</v>
      </c>
      <c r="BB180" s="4">
        <f t="shared" si="25"/>
        <v>492197486.10999995</v>
      </c>
    </row>
    <row r="181" spans="1:54" x14ac:dyDescent="0.2">
      <c r="A181" s="3">
        <v>40969</v>
      </c>
      <c r="B181" s="4">
        <v>149.69</v>
      </c>
      <c r="C181" s="4">
        <v>760310.96000000008</v>
      </c>
      <c r="D181" s="4">
        <v>185.66</v>
      </c>
      <c r="E181" s="4">
        <v>0</v>
      </c>
      <c r="F181" s="4">
        <v>2738.81</v>
      </c>
      <c r="G181" s="4">
        <v>315935.15000000002</v>
      </c>
      <c r="H181" s="4">
        <v>0</v>
      </c>
      <c r="I181" s="4">
        <v>117.68</v>
      </c>
      <c r="J181" s="4">
        <v>0</v>
      </c>
      <c r="K181" s="4">
        <v>3819.84</v>
      </c>
      <c r="L181" s="4">
        <v>0</v>
      </c>
      <c r="M181" s="4">
        <v>273991.43</v>
      </c>
      <c r="N181" s="4">
        <v>233664.12</v>
      </c>
      <c r="O181" s="4">
        <v>217167.15</v>
      </c>
      <c r="P181" s="4">
        <v>1010230.8400000001</v>
      </c>
      <c r="Q181" s="4">
        <v>375372.80000000005</v>
      </c>
      <c r="R181" s="4">
        <v>0</v>
      </c>
      <c r="S181" s="4">
        <v>319010.92000000004</v>
      </c>
      <c r="T181" s="4">
        <v>122879.34</v>
      </c>
      <c r="U181" s="4">
        <v>0</v>
      </c>
      <c r="V181" s="4">
        <v>1582857.04</v>
      </c>
      <c r="W181" s="4">
        <v>545599136.78999996</v>
      </c>
      <c r="X181" s="4">
        <v>530569.86</v>
      </c>
      <c r="Y181" s="4">
        <v>75262734.159999996</v>
      </c>
      <c r="Z181" s="4">
        <v>8055528.3499999996</v>
      </c>
      <c r="AA181" s="4"/>
      <c r="AB181" s="4">
        <v>0</v>
      </c>
      <c r="AC181" s="4">
        <v>-34167.54</v>
      </c>
      <c r="AD181" s="4">
        <v>2871147.5</v>
      </c>
      <c r="AE181" s="4">
        <v>0</v>
      </c>
      <c r="AF181" s="4">
        <v>158182.56</v>
      </c>
      <c r="AG181" s="4">
        <v>34.479999999999997</v>
      </c>
      <c r="AH181" s="4">
        <v>344485.5</v>
      </c>
      <c r="AI181" s="4">
        <v>246017.68</v>
      </c>
      <c r="AJ181" s="4">
        <v>0</v>
      </c>
      <c r="AK181" s="4">
        <v>1129333.98</v>
      </c>
      <c r="AL181" s="4">
        <v>0</v>
      </c>
      <c r="AM181" s="4">
        <v>42386.520000000004</v>
      </c>
      <c r="AN181" s="4">
        <v>0</v>
      </c>
      <c r="AO181" s="4">
        <v>688651.66999999993</v>
      </c>
      <c r="AP181" s="4">
        <v>0</v>
      </c>
      <c r="AQ181" s="4">
        <v>53934.19</v>
      </c>
      <c r="AR181" s="4">
        <v>1008397.21</v>
      </c>
      <c r="AS181" s="4">
        <v>2.35</v>
      </c>
      <c r="AT181" s="4">
        <v>287.8</v>
      </c>
      <c r="AU181" s="4">
        <v>0</v>
      </c>
      <c r="AV181" s="4">
        <v>948421.74</v>
      </c>
      <c r="AW181" s="4">
        <v>4084856.16</v>
      </c>
      <c r="AX181" s="4">
        <v>3943791.46</v>
      </c>
      <c r="AY181" s="4">
        <v>2629142.2999999998</v>
      </c>
      <c r="AZ181" s="4">
        <v>43050.01</v>
      </c>
      <c r="BA181" s="4">
        <v>8803991.7899999991</v>
      </c>
      <c r="BB181" s="4">
        <f t="shared" si="25"/>
        <v>661628347.94999981</v>
      </c>
    </row>
    <row r="182" spans="1:54" x14ac:dyDescent="0.2">
      <c r="A182" s="3">
        <v>41000</v>
      </c>
      <c r="B182" s="4">
        <v>0</v>
      </c>
      <c r="C182" s="4">
        <v>582924.43999999994</v>
      </c>
      <c r="D182" s="4">
        <v>0</v>
      </c>
      <c r="E182" s="4">
        <v>0</v>
      </c>
      <c r="F182" s="4">
        <v>0</v>
      </c>
      <c r="G182" s="4">
        <v>190534.91999999998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184385.22000000003</v>
      </c>
      <c r="N182" s="4">
        <v>156200.82</v>
      </c>
      <c r="O182" s="4">
        <v>190915.11</v>
      </c>
      <c r="P182" s="4">
        <v>740231.04</v>
      </c>
      <c r="Q182" s="4">
        <v>227709.47999999998</v>
      </c>
      <c r="R182" s="4">
        <v>0</v>
      </c>
      <c r="S182" s="4">
        <v>178161.63</v>
      </c>
      <c r="T182" s="4">
        <v>79382.87999999999</v>
      </c>
      <c r="U182" s="4">
        <v>0</v>
      </c>
      <c r="V182" s="4">
        <v>1345299.6199999999</v>
      </c>
      <c r="W182" s="4">
        <v>449508619.40999997</v>
      </c>
      <c r="X182" s="4">
        <v>433151.14</v>
      </c>
      <c r="Y182" s="4">
        <v>58130295.219999999</v>
      </c>
      <c r="Z182" s="4">
        <v>22800.560000000001</v>
      </c>
      <c r="AA182" s="4"/>
      <c r="AB182" s="4">
        <v>0</v>
      </c>
      <c r="AC182" s="4">
        <v>99938.670000000013</v>
      </c>
      <c r="AD182" s="4">
        <v>1931061.71</v>
      </c>
      <c r="AE182" s="4">
        <v>0</v>
      </c>
      <c r="AF182" s="4">
        <v>103506.63</v>
      </c>
      <c r="AG182" s="4">
        <v>0</v>
      </c>
      <c r="AH182" s="4">
        <v>302127.25</v>
      </c>
      <c r="AI182" s="4">
        <v>331472.68</v>
      </c>
      <c r="AJ182" s="4">
        <v>0</v>
      </c>
      <c r="AK182" s="4">
        <v>917563.89999999991</v>
      </c>
      <c r="AL182" s="4">
        <v>0</v>
      </c>
      <c r="AM182" s="4">
        <v>40043.629999999997</v>
      </c>
      <c r="AN182" s="4">
        <v>0</v>
      </c>
      <c r="AO182" s="4">
        <v>482146.63</v>
      </c>
      <c r="AP182" s="4">
        <v>0</v>
      </c>
      <c r="AQ182" s="4">
        <v>40934.450000000004</v>
      </c>
      <c r="AR182" s="4">
        <v>651072.06999999995</v>
      </c>
      <c r="AS182" s="4">
        <v>0</v>
      </c>
      <c r="AT182" s="4">
        <v>0</v>
      </c>
      <c r="AU182" s="4">
        <v>0</v>
      </c>
      <c r="AV182" s="4">
        <v>703162.86999999988</v>
      </c>
      <c r="AW182" s="4">
        <v>4091486.0200000005</v>
      </c>
      <c r="AX182" s="4">
        <v>2880236.92</v>
      </c>
      <c r="AY182" s="4">
        <v>1920155.98</v>
      </c>
      <c r="AZ182" s="4">
        <v>125800</v>
      </c>
      <c r="BA182" s="4">
        <v>35493.99</v>
      </c>
      <c r="BB182" s="4">
        <f t="shared" si="25"/>
        <v>526626814.88999993</v>
      </c>
    </row>
    <row r="183" spans="1:54" x14ac:dyDescent="0.2">
      <c r="A183" s="3">
        <v>41030</v>
      </c>
      <c r="B183" s="4">
        <v>0</v>
      </c>
      <c r="C183" s="4">
        <v>583950.52</v>
      </c>
      <c r="D183" s="4">
        <v>0</v>
      </c>
      <c r="E183" s="4">
        <v>0</v>
      </c>
      <c r="F183" s="4">
        <v>0</v>
      </c>
      <c r="G183" s="4">
        <v>184942.49000000002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182046.52000000002</v>
      </c>
      <c r="N183" s="4">
        <v>173762.03999999998</v>
      </c>
      <c r="O183" s="4">
        <v>189167.19</v>
      </c>
      <c r="P183" s="4">
        <v>725749.12</v>
      </c>
      <c r="Q183" s="4">
        <v>225230.46</v>
      </c>
      <c r="R183" s="4">
        <v>0</v>
      </c>
      <c r="S183" s="4">
        <v>181813.32</v>
      </c>
      <c r="T183" s="4">
        <v>112109.44</v>
      </c>
      <c r="U183" s="4">
        <v>0</v>
      </c>
      <c r="V183" s="4">
        <v>1283628.1499999999</v>
      </c>
      <c r="W183" s="4">
        <v>445428235</v>
      </c>
      <c r="X183" s="4">
        <v>430134.31999999995</v>
      </c>
      <c r="Y183" s="4">
        <v>57866275.030000001</v>
      </c>
      <c r="Z183" s="4">
        <v>5446.78</v>
      </c>
      <c r="AA183" s="4"/>
      <c r="AB183" s="4">
        <v>0</v>
      </c>
      <c r="AC183" s="4">
        <v>100113.49</v>
      </c>
      <c r="AD183" s="4">
        <v>1754508.69</v>
      </c>
      <c r="AE183" s="4">
        <v>0</v>
      </c>
      <c r="AF183" s="4">
        <v>98650.48</v>
      </c>
      <c r="AG183" s="4">
        <v>0</v>
      </c>
      <c r="AH183" s="4">
        <v>304844.19</v>
      </c>
      <c r="AI183" s="4">
        <v>328534.51</v>
      </c>
      <c r="AJ183" s="4">
        <v>0</v>
      </c>
      <c r="AK183" s="4">
        <v>921024.01000000013</v>
      </c>
      <c r="AL183" s="4">
        <v>0</v>
      </c>
      <c r="AM183" s="4">
        <v>39975.879999999997</v>
      </c>
      <c r="AN183" s="4">
        <v>0</v>
      </c>
      <c r="AO183" s="4">
        <v>473345.30999999994</v>
      </c>
      <c r="AP183" s="4">
        <v>0</v>
      </c>
      <c r="AQ183" s="4">
        <v>41345.619999999995</v>
      </c>
      <c r="AR183" s="4">
        <v>650636.62999999989</v>
      </c>
      <c r="AS183" s="4">
        <v>0</v>
      </c>
      <c r="AT183" s="4">
        <v>0</v>
      </c>
      <c r="AU183" s="4">
        <v>0</v>
      </c>
      <c r="AV183" s="4">
        <v>678800.41999999993</v>
      </c>
      <c r="AW183" s="4">
        <v>3925172.9400000004</v>
      </c>
      <c r="AX183" s="4">
        <v>2854612.8</v>
      </c>
      <c r="AY183" s="4">
        <v>1903074.1099999999</v>
      </c>
      <c r="AZ183" s="4">
        <v>58700</v>
      </c>
      <c r="BA183" s="4">
        <v>30220.98</v>
      </c>
      <c r="BB183" s="4">
        <f t="shared" si="25"/>
        <v>521736050.44000006</v>
      </c>
    </row>
    <row r="184" spans="1:54" x14ac:dyDescent="0.2">
      <c r="A184" s="3">
        <v>41061</v>
      </c>
      <c r="B184" s="4">
        <v>255.58</v>
      </c>
      <c r="C184" s="4">
        <v>816571.61</v>
      </c>
      <c r="D184" s="4">
        <v>49.85</v>
      </c>
      <c r="E184" s="4">
        <v>0</v>
      </c>
      <c r="F184" s="4">
        <v>827.45</v>
      </c>
      <c r="G184" s="4">
        <v>271855.49</v>
      </c>
      <c r="H184" s="4">
        <v>0</v>
      </c>
      <c r="I184" s="4">
        <v>137.6</v>
      </c>
      <c r="J184" s="4">
        <v>0</v>
      </c>
      <c r="K184" s="4">
        <v>1058.06</v>
      </c>
      <c r="L184" s="4">
        <v>0</v>
      </c>
      <c r="M184" s="4">
        <v>304895.7</v>
      </c>
      <c r="N184" s="4">
        <v>301565.69</v>
      </c>
      <c r="O184" s="4">
        <v>299284.33999999997</v>
      </c>
      <c r="P184" s="4">
        <v>1050414.52</v>
      </c>
      <c r="Q184" s="4">
        <v>392656.69000000006</v>
      </c>
      <c r="R184" s="4">
        <v>0</v>
      </c>
      <c r="S184" s="4">
        <v>214018.59000000003</v>
      </c>
      <c r="T184" s="4">
        <v>241877.38</v>
      </c>
      <c r="U184" s="4">
        <v>0</v>
      </c>
      <c r="V184" s="4">
        <v>1710724.58</v>
      </c>
      <c r="W184" s="4">
        <v>581966073.95000005</v>
      </c>
      <c r="X184" s="4">
        <v>739835.66</v>
      </c>
      <c r="Y184" s="4">
        <v>87190453.170000002</v>
      </c>
      <c r="Z184" s="4">
        <v>8893179.3000000007</v>
      </c>
      <c r="AA184" s="4"/>
      <c r="AB184" s="4">
        <v>0</v>
      </c>
      <c r="AC184" s="4">
        <v>-2918.3700000000026</v>
      </c>
      <c r="AD184" s="4">
        <v>2768635.6999999997</v>
      </c>
      <c r="AE184" s="4">
        <v>0</v>
      </c>
      <c r="AF184" s="4">
        <v>141697.95000000001</v>
      </c>
      <c r="AG184" s="4">
        <v>0</v>
      </c>
      <c r="AH184" s="4">
        <v>440584.82999999996</v>
      </c>
      <c r="AI184" s="4">
        <v>385507.43</v>
      </c>
      <c r="AJ184" s="4">
        <v>0</v>
      </c>
      <c r="AK184" s="4">
        <v>1281385.96</v>
      </c>
      <c r="AL184" s="4">
        <v>0</v>
      </c>
      <c r="AM184" s="4">
        <v>-38291.259999999995</v>
      </c>
      <c r="AN184" s="4">
        <v>0</v>
      </c>
      <c r="AO184" s="4">
        <v>743071.71</v>
      </c>
      <c r="AP184" s="4">
        <v>0</v>
      </c>
      <c r="AQ184" s="4">
        <v>63202.659999999996</v>
      </c>
      <c r="AR184" s="4">
        <v>1130936.56</v>
      </c>
      <c r="AS184" s="4">
        <v>4.6500000000000004</v>
      </c>
      <c r="AT184" s="4">
        <v>293.39999999999998</v>
      </c>
      <c r="AU184" s="4">
        <v>0</v>
      </c>
      <c r="AV184" s="4">
        <v>913314.95</v>
      </c>
      <c r="AW184" s="4">
        <v>4218196.45</v>
      </c>
      <c r="AX184" s="4">
        <v>4102894.3999999994</v>
      </c>
      <c r="AY184" s="4">
        <v>2735228.91</v>
      </c>
      <c r="AZ184" s="4">
        <v>12615.29</v>
      </c>
      <c r="BA184" s="4">
        <v>10376413.800000001</v>
      </c>
      <c r="BB184" s="4">
        <f t="shared" si="25"/>
        <v>713668510.2299999</v>
      </c>
    </row>
    <row r="185" spans="1:54" x14ac:dyDescent="0.2">
      <c r="A185" s="3">
        <v>41091</v>
      </c>
      <c r="B185" s="4">
        <v>0</v>
      </c>
      <c r="C185" s="4">
        <v>613397.30999999994</v>
      </c>
      <c r="D185" s="4">
        <v>0</v>
      </c>
      <c r="E185" s="4">
        <v>0</v>
      </c>
      <c r="F185" s="4">
        <v>0</v>
      </c>
      <c r="G185" s="4">
        <v>250671.62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185264.74</v>
      </c>
      <c r="N185" s="4">
        <v>156521.45000000001</v>
      </c>
      <c r="O185" s="4">
        <v>203934.63999999998</v>
      </c>
      <c r="P185" s="4">
        <v>782136.95999999985</v>
      </c>
      <c r="Q185" s="4">
        <v>238518.29</v>
      </c>
      <c r="R185" s="4">
        <v>0</v>
      </c>
      <c r="S185" s="4">
        <v>163351.49000000002</v>
      </c>
      <c r="T185" s="4">
        <v>160596.79999999999</v>
      </c>
      <c r="U185" s="4">
        <v>0</v>
      </c>
      <c r="V185" s="4">
        <v>1260560.71</v>
      </c>
      <c r="W185" s="4">
        <v>445171398.50000006</v>
      </c>
      <c r="X185" s="4">
        <v>577815.99</v>
      </c>
      <c r="Y185" s="4">
        <v>58391844.5</v>
      </c>
      <c r="Z185" s="4">
        <v>8870.18</v>
      </c>
      <c r="AA185" s="4"/>
      <c r="AB185" s="4">
        <v>0</v>
      </c>
      <c r="AC185" s="4">
        <v>75730.210000000006</v>
      </c>
      <c r="AD185" s="4">
        <v>1906045.24</v>
      </c>
      <c r="AE185" s="4">
        <v>0</v>
      </c>
      <c r="AF185" s="4">
        <v>96090.239999999991</v>
      </c>
      <c r="AG185" s="4">
        <v>0</v>
      </c>
      <c r="AH185" s="4">
        <v>301249.86</v>
      </c>
      <c r="AI185" s="4">
        <v>328198.51999999996</v>
      </c>
      <c r="AJ185" s="4">
        <v>0</v>
      </c>
      <c r="AK185" s="4">
        <v>893256.23</v>
      </c>
      <c r="AL185" s="4">
        <v>0</v>
      </c>
      <c r="AM185" s="4">
        <v>29065.43</v>
      </c>
      <c r="AN185" s="4">
        <v>0</v>
      </c>
      <c r="AO185" s="4">
        <v>491120.88</v>
      </c>
      <c r="AP185" s="4">
        <v>0</v>
      </c>
      <c r="AQ185" s="4">
        <v>37694.350000000006</v>
      </c>
      <c r="AR185" s="4">
        <v>874295.26000000013</v>
      </c>
      <c r="AS185" s="4">
        <v>0</v>
      </c>
      <c r="AT185" s="4">
        <v>0</v>
      </c>
      <c r="AU185" s="4">
        <v>0</v>
      </c>
      <c r="AV185" s="4">
        <v>699767.87</v>
      </c>
      <c r="AW185" s="4">
        <v>4027853.0500000003</v>
      </c>
      <c r="AX185" s="4">
        <v>2854981.02</v>
      </c>
      <c r="AY185" s="4">
        <v>1903319.23</v>
      </c>
      <c r="AZ185" s="4">
        <v>20350</v>
      </c>
      <c r="BA185" s="4">
        <v>65036.33</v>
      </c>
      <c r="BB185" s="4">
        <f t="shared" si="25"/>
        <v>522768936.9000001</v>
      </c>
    </row>
    <row r="186" spans="1:54" x14ac:dyDescent="0.2">
      <c r="A186" s="3">
        <v>41122</v>
      </c>
      <c r="B186" s="4">
        <v>0</v>
      </c>
      <c r="C186" s="4">
        <v>606169.13</v>
      </c>
      <c r="D186" s="4">
        <v>0</v>
      </c>
      <c r="E186" s="4">
        <v>0</v>
      </c>
      <c r="F186" s="4">
        <v>0</v>
      </c>
      <c r="G186" s="4">
        <v>198834.01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184535.55</v>
      </c>
      <c r="N186" s="4">
        <v>158655.46000000002</v>
      </c>
      <c r="O186" s="4">
        <v>203838.18999999997</v>
      </c>
      <c r="P186" s="4">
        <v>762655.51</v>
      </c>
      <c r="Q186" s="4">
        <v>236971.10000000003</v>
      </c>
      <c r="R186" s="4">
        <v>0</v>
      </c>
      <c r="S186" s="4">
        <v>168780.77999999997</v>
      </c>
      <c r="T186" s="4">
        <v>135938.6</v>
      </c>
      <c r="U186" s="4">
        <v>0</v>
      </c>
      <c r="V186" s="4">
        <v>1286761.2</v>
      </c>
      <c r="W186" s="4">
        <v>443389989.50999993</v>
      </c>
      <c r="X186" s="4">
        <v>581301.4</v>
      </c>
      <c r="Y186" s="4">
        <v>58314035.689999998</v>
      </c>
      <c r="Z186" s="4">
        <v>4857.1099999999997</v>
      </c>
      <c r="AA186" s="4"/>
      <c r="AB186" s="4">
        <v>0</v>
      </c>
      <c r="AC186" s="4">
        <v>76664.289999999994</v>
      </c>
      <c r="AD186" s="4">
        <v>1815878.2100000002</v>
      </c>
      <c r="AE186" s="4">
        <v>0</v>
      </c>
      <c r="AF186" s="4">
        <v>96035.38</v>
      </c>
      <c r="AG186" s="4">
        <v>0</v>
      </c>
      <c r="AH186" s="4">
        <v>301099.64999999997</v>
      </c>
      <c r="AI186" s="4">
        <v>325835.87999999995</v>
      </c>
      <c r="AJ186" s="4">
        <v>0</v>
      </c>
      <c r="AK186" s="4">
        <v>887730.67</v>
      </c>
      <c r="AL186" s="4">
        <v>0</v>
      </c>
      <c r="AM186" s="4">
        <v>29219.08</v>
      </c>
      <c r="AN186" s="4">
        <v>0</v>
      </c>
      <c r="AO186" s="4">
        <v>487640.07000000007</v>
      </c>
      <c r="AP186" s="4">
        <v>0</v>
      </c>
      <c r="AQ186" s="4">
        <v>40392.570000000007</v>
      </c>
      <c r="AR186" s="4">
        <v>874860.07000000007</v>
      </c>
      <c r="AS186" s="4">
        <v>0</v>
      </c>
      <c r="AT186" s="4">
        <v>0</v>
      </c>
      <c r="AU186" s="4">
        <v>0</v>
      </c>
      <c r="AV186" s="4">
        <v>706108.16</v>
      </c>
      <c r="AW186" s="4">
        <v>4025775.5199999996</v>
      </c>
      <c r="AX186" s="4">
        <v>2833848.43</v>
      </c>
      <c r="AY186" s="4">
        <v>1889231.2</v>
      </c>
      <c r="AZ186" s="4">
        <v>12800</v>
      </c>
      <c r="BA186" s="4">
        <v>36794.68</v>
      </c>
      <c r="BB186" s="4">
        <f t="shared" si="25"/>
        <v>520673237.09999985</v>
      </c>
    </row>
    <row r="187" spans="1:54" x14ac:dyDescent="0.2">
      <c r="A187" s="3">
        <v>41153</v>
      </c>
      <c r="B187" s="4">
        <v>60.09</v>
      </c>
      <c r="C187" s="4">
        <v>783955.12</v>
      </c>
      <c r="D187" s="4">
        <v>0</v>
      </c>
      <c r="E187" s="4">
        <v>0</v>
      </c>
      <c r="F187" s="4">
        <v>4096.95</v>
      </c>
      <c r="G187" s="4">
        <v>265936.89</v>
      </c>
      <c r="H187" s="4">
        <v>0</v>
      </c>
      <c r="I187" s="4">
        <v>191.57</v>
      </c>
      <c r="J187" s="4">
        <v>-1252.17</v>
      </c>
      <c r="K187" s="4">
        <v>399.98</v>
      </c>
      <c r="L187" s="4">
        <v>0</v>
      </c>
      <c r="M187" s="4">
        <v>309478.59000000003</v>
      </c>
      <c r="N187" s="4">
        <v>250185.14</v>
      </c>
      <c r="O187" s="4">
        <v>230455.21</v>
      </c>
      <c r="P187" s="4">
        <v>1059139.3400000001</v>
      </c>
      <c r="Q187" s="4">
        <v>317038.73</v>
      </c>
      <c r="R187" s="4">
        <v>0</v>
      </c>
      <c r="S187" s="4">
        <v>142533.79</v>
      </c>
      <c r="T187" s="4">
        <v>282248.25</v>
      </c>
      <c r="U187" s="4">
        <v>0</v>
      </c>
      <c r="V187" s="4">
        <v>1634789.08</v>
      </c>
      <c r="W187" s="4">
        <v>574345354.69000006</v>
      </c>
      <c r="X187" s="4">
        <v>819606.65</v>
      </c>
      <c r="Y187" s="4">
        <v>87439444</v>
      </c>
      <c r="Z187" s="4">
        <v>12742611.890000001</v>
      </c>
      <c r="AA187" s="4"/>
      <c r="AB187" s="4">
        <v>0</v>
      </c>
      <c r="AC187" s="4">
        <v>36041.269999999997</v>
      </c>
      <c r="AD187" s="4">
        <v>2493337.9300000002</v>
      </c>
      <c r="AE187" s="4">
        <v>0</v>
      </c>
      <c r="AF187" s="4">
        <v>142229.82</v>
      </c>
      <c r="AG187" s="4">
        <v>0</v>
      </c>
      <c r="AH187" s="4">
        <v>469924.9</v>
      </c>
      <c r="AI187" s="4">
        <v>371740.19</v>
      </c>
      <c r="AJ187" s="4">
        <v>0</v>
      </c>
      <c r="AK187" s="4">
        <v>1358748.62</v>
      </c>
      <c r="AL187" s="4">
        <v>0</v>
      </c>
      <c r="AM187" s="4">
        <v>-7411.8700000000008</v>
      </c>
      <c r="AN187" s="4">
        <v>0</v>
      </c>
      <c r="AO187" s="4">
        <v>672058.29</v>
      </c>
      <c r="AP187" s="4">
        <v>0</v>
      </c>
      <c r="AQ187" s="4">
        <v>64863.72</v>
      </c>
      <c r="AR187" s="4">
        <v>1228996.72</v>
      </c>
      <c r="AS187" s="4">
        <v>1.73</v>
      </c>
      <c r="AT187" s="4">
        <v>92.4</v>
      </c>
      <c r="AU187" s="4">
        <v>0</v>
      </c>
      <c r="AV187" s="4">
        <v>839701.58</v>
      </c>
      <c r="AW187" s="4">
        <v>3859558.93</v>
      </c>
      <c r="AX187" s="4">
        <v>4051152.95</v>
      </c>
      <c r="AY187" s="4">
        <v>2700752.67</v>
      </c>
      <c r="AZ187" s="4">
        <v>59479.07</v>
      </c>
      <c r="BA187" s="4">
        <v>11295587.039999999</v>
      </c>
      <c r="BB187" s="4">
        <f t="shared" si="25"/>
        <v>710263129.75</v>
      </c>
    </row>
    <row r="188" spans="1:54" x14ac:dyDescent="0.2">
      <c r="A188" s="3">
        <v>41183</v>
      </c>
      <c r="B188" s="4">
        <v>0</v>
      </c>
      <c r="C188" s="4">
        <v>589969.94999999995</v>
      </c>
      <c r="D188" s="4">
        <v>0</v>
      </c>
      <c r="E188" s="4">
        <v>0</v>
      </c>
      <c r="F188" s="4">
        <v>0</v>
      </c>
      <c r="G188" s="4">
        <v>200012.23</v>
      </c>
      <c r="H188" s="4">
        <v>0</v>
      </c>
      <c r="I188" s="4">
        <v>0</v>
      </c>
      <c r="J188" s="4">
        <v>439.15</v>
      </c>
      <c r="K188" s="4">
        <v>0</v>
      </c>
      <c r="L188" s="4">
        <v>0</v>
      </c>
      <c r="M188" s="4">
        <v>205467.91</v>
      </c>
      <c r="N188" s="4">
        <v>158080.12</v>
      </c>
      <c r="O188" s="4">
        <v>187470.19</v>
      </c>
      <c r="P188" s="4">
        <v>755750.8</v>
      </c>
      <c r="Q188" s="4">
        <v>235229.32</v>
      </c>
      <c r="R188" s="4">
        <v>0</v>
      </c>
      <c r="S188" s="4">
        <v>130717.11</v>
      </c>
      <c r="T188" s="4">
        <v>117608.32000000001</v>
      </c>
      <c r="U188" s="4">
        <v>0</v>
      </c>
      <c r="V188" s="4">
        <v>1263393.28</v>
      </c>
      <c r="W188" s="4">
        <v>464980609.68000001</v>
      </c>
      <c r="X188" s="4">
        <v>420191.01</v>
      </c>
      <c r="Y188" s="4">
        <v>60370700.939999998</v>
      </c>
      <c r="Z188" s="4">
        <v>12017.34</v>
      </c>
      <c r="AA188" s="4"/>
      <c r="AB188" s="4">
        <v>0</v>
      </c>
      <c r="AC188" s="4">
        <v>69133.38</v>
      </c>
      <c r="AD188" s="4">
        <v>1829340.75</v>
      </c>
      <c r="AE188" s="4">
        <v>0</v>
      </c>
      <c r="AF188" s="4">
        <v>104914.89</v>
      </c>
      <c r="AG188" s="4">
        <v>0</v>
      </c>
      <c r="AH188" s="4">
        <v>308799.69</v>
      </c>
      <c r="AI188" s="4">
        <v>311359.49</v>
      </c>
      <c r="AJ188" s="4">
        <v>0</v>
      </c>
      <c r="AK188" s="4">
        <v>903403.67</v>
      </c>
      <c r="AL188" s="4">
        <v>0</v>
      </c>
      <c r="AM188" s="4">
        <v>29800.16</v>
      </c>
      <c r="AN188" s="4">
        <v>0</v>
      </c>
      <c r="AO188" s="4">
        <v>477110.45</v>
      </c>
      <c r="AP188" s="4">
        <v>0</v>
      </c>
      <c r="AQ188" s="4">
        <v>36283.75</v>
      </c>
      <c r="AR188" s="4">
        <v>714408.03</v>
      </c>
      <c r="AS188" s="4">
        <v>0</v>
      </c>
      <c r="AT188" s="4">
        <v>0</v>
      </c>
      <c r="AU188" s="4">
        <v>0</v>
      </c>
      <c r="AV188" s="4">
        <v>667913.27</v>
      </c>
      <c r="AW188" s="4">
        <v>4034129.62</v>
      </c>
      <c r="AX188" s="4">
        <v>2956870.29</v>
      </c>
      <c r="AY188" s="4">
        <v>1971245.26</v>
      </c>
      <c r="AZ188" s="4">
        <v>7700</v>
      </c>
      <c r="BA188" s="4">
        <v>76202.460000000006</v>
      </c>
      <c r="BB188" s="4">
        <f t="shared" si="25"/>
        <v>544126272.50999987</v>
      </c>
    </row>
    <row r="189" spans="1:54" x14ac:dyDescent="0.2">
      <c r="A189" s="3">
        <v>41214</v>
      </c>
      <c r="B189" s="4">
        <v>0</v>
      </c>
      <c r="C189" s="4">
        <v>579504.76</v>
      </c>
      <c r="D189" s="4">
        <v>0</v>
      </c>
      <c r="E189" s="4">
        <v>0</v>
      </c>
      <c r="F189" s="4">
        <v>0</v>
      </c>
      <c r="G189" s="4">
        <v>199137.31</v>
      </c>
      <c r="H189" s="4">
        <v>0</v>
      </c>
      <c r="I189" s="4">
        <v>0</v>
      </c>
      <c r="J189" s="4">
        <v>813.02</v>
      </c>
      <c r="K189" s="4">
        <v>0</v>
      </c>
      <c r="L189" s="4">
        <v>0</v>
      </c>
      <c r="M189" s="4">
        <v>183391.79</v>
      </c>
      <c r="N189" s="4">
        <v>153801.60000000001</v>
      </c>
      <c r="O189" s="4">
        <v>185518.02</v>
      </c>
      <c r="P189" s="4">
        <v>736842.86</v>
      </c>
      <c r="Q189" s="4">
        <v>226270.93</v>
      </c>
      <c r="R189" s="4">
        <v>0</v>
      </c>
      <c r="S189" s="4">
        <v>128511.75</v>
      </c>
      <c r="T189" s="4">
        <v>90778.28</v>
      </c>
      <c r="U189" s="4">
        <v>0</v>
      </c>
      <c r="V189" s="4">
        <v>1217904.23</v>
      </c>
      <c r="W189" s="4">
        <v>452863628.56</v>
      </c>
      <c r="X189" s="4">
        <v>419910.94</v>
      </c>
      <c r="Y189" s="4">
        <v>59009396.340000004</v>
      </c>
      <c r="Z189" s="4">
        <v>2779.6</v>
      </c>
      <c r="AA189" s="4"/>
      <c r="AB189" s="4">
        <v>0</v>
      </c>
      <c r="AC189" s="4">
        <v>70988.800000000003</v>
      </c>
      <c r="AD189" s="4">
        <v>1740046.88</v>
      </c>
      <c r="AE189" s="4">
        <v>0</v>
      </c>
      <c r="AF189" s="4">
        <v>102851.33</v>
      </c>
      <c r="AG189" s="4">
        <v>0</v>
      </c>
      <c r="AH189" s="4">
        <v>298914.84000000003</v>
      </c>
      <c r="AI189" s="4">
        <v>309581.7</v>
      </c>
      <c r="AJ189" s="4">
        <v>0</v>
      </c>
      <c r="AK189" s="4">
        <v>888309.24</v>
      </c>
      <c r="AL189" s="4">
        <v>0</v>
      </c>
      <c r="AM189" s="4">
        <v>29503.77</v>
      </c>
      <c r="AN189" s="4">
        <v>0</v>
      </c>
      <c r="AO189" s="4">
        <v>465220.54</v>
      </c>
      <c r="AP189" s="4">
        <v>0</v>
      </c>
      <c r="AQ189" s="4">
        <v>38752.11</v>
      </c>
      <c r="AR189" s="4">
        <v>718280.33</v>
      </c>
      <c r="AS189" s="4">
        <v>0</v>
      </c>
      <c r="AT189" s="4">
        <v>0</v>
      </c>
      <c r="AU189" s="4">
        <v>0</v>
      </c>
      <c r="AV189" s="4">
        <v>630347.18000000005</v>
      </c>
      <c r="AW189" s="4">
        <v>3968443.99</v>
      </c>
      <c r="AX189" s="4">
        <v>2846835.65</v>
      </c>
      <c r="AY189" s="4">
        <v>1897889.21</v>
      </c>
      <c r="AZ189" s="4">
        <v>2150</v>
      </c>
      <c r="BA189" s="4">
        <v>51776.43</v>
      </c>
      <c r="BB189" s="4">
        <f t="shared" si="25"/>
        <v>530058081.98999995</v>
      </c>
    </row>
    <row r="190" spans="1:54" x14ac:dyDescent="0.2">
      <c r="A190" s="3">
        <v>41244</v>
      </c>
      <c r="B190" s="4">
        <v>0</v>
      </c>
      <c r="C190" s="4">
        <v>884222.94</v>
      </c>
      <c r="D190" s="4">
        <v>270.02999999999997</v>
      </c>
      <c r="E190" s="4">
        <v>0</v>
      </c>
      <c r="F190" s="4">
        <v>4761.21</v>
      </c>
      <c r="G190" s="4">
        <v>222565.63</v>
      </c>
      <c r="H190" s="4">
        <v>0</v>
      </c>
      <c r="I190" s="4">
        <v>64.59</v>
      </c>
      <c r="J190" s="4">
        <v>0</v>
      </c>
      <c r="K190" s="4">
        <v>2884.03</v>
      </c>
      <c r="L190" s="4">
        <v>0</v>
      </c>
      <c r="M190" s="4">
        <v>258205.81</v>
      </c>
      <c r="N190" s="4">
        <v>280453.43</v>
      </c>
      <c r="O190" s="4">
        <v>240132.79000000004</v>
      </c>
      <c r="P190" s="4">
        <v>1078767.56</v>
      </c>
      <c r="Q190" s="4">
        <v>391435.13</v>
      </c>
      <c r="R190" s="4">
        <v>0</v>
      </c>
      <c r="S190" s="4">
        <v>306526.59000000003</v>
      </c>
      <c r="T190" s="4">
        <v>-41785.989999999991</v>
      </c>
      <c r="U190" s="4">
        <v>0</v>
      </c>
      <c r="V190" s="4">
        <v>1786868.35</v>
      </c>
      <c r="W190" s="4">
        <v>623205501.30999994</v>
      </c>
      <c r="X190" s="4">
        <v>475082.31</v>
      </c>
      <c r="Y190" s="4">
        <v>89333832.739999995</v>
      </c>
      <c r="Z190" s="4">
        <v>10132809.689999999</v>
      </c>
      <c r="AA190" s="4"/>
      <c r="AB190" s="4">
        <v>0</v>
      </c>
      <c r="AC190" s="4">
        <v>66971.88</v>
      </c>
      <c r="AD190" s="4">
        <v>2774520.11</v>
      </c>
      <c r="AE190" s="4">
        <v>0</v>
      </c>
      <c r="AF190" s="4">
        <v>69681.77</v>
      </c>
      <c r="AG190" s="4">
        <v>0</v>
      </c>
      <c r="AH190" s="4">
        <v>501435.42</v>
      </c>
      <c r="AI190" s="4">
        <v>405966.47</v>
      </c>
      <c r="AJ190" s="4">
        <v>0</v>
      </c>
      <c r="AK190" s="4">
        <v>1264590.75</v>
      </c>
      <c r="AL190" s="4">
        <v>0</v>
      </c>
      <c r="AM190" s="4">
        <v>-7871.6399999999994</v>
      </c>
      <c r="AN190" s="4">
        <v>0</v>
      </c>
      <c r="AO190" s="4">
        <v>810633.87000000011</v>
      </c>
      <c r="AP190" s="4">
        <v>0</v>
      </c>
      <c r="AQ190" s="4">
        <v>60519.76999999999</v>
      </c>
      <c r="AR190" s="4">
        <v>839896.05</v>
      </c>
      <c r="AS190" s="4">
        <v>0</v>
      </c>
      <c r="AT190" s="4">
        <v>115.91</v>
      </c>
      <c r="AU190" s="4">
        <v>0</v>
      </c>
      <c r="AV190" s="4">
        <v>1131862.32</v>
      </c>
      <c r="AW190" s="4">
        <v>4769192.62</v>
      </c>
      <c r="AX190" s="4">
        <v>4280873.75</v>
      </c>
      <c r="AY190" s="4">
        <v>2853901.21</v>
      </c>
      <c r="AZ190" s="4">
        <v>27765.7</v>
      </c>
      <c r="BA190" s="4">
        <v>9935852.0899999999</v>
      </c>
      <c r="BB190" s="4">
        <f t="shared" si="25"/>
        <v>758348506.20000005</v>
      </c>
    </row>
    <row r="191" spans="1:54" ht="15.75" thickBot="1" x14ac:dyDescent="0.25">
      <c r="A191" s="1" t="s">
        <v>166</v>
      </c>
      <c r="B191" s="5">
        <f t="shared" ref="B191:AH191" si="26">SUM(B179:B190)</f>
        <v>465.36</v>
      </c>
      <c r="C191" s="5">
        <f t="shared" si="26"/>
        <v>8058201.129999999</v>
      </c>
      <c r="D191" s="5">
        <f t="shared" si="26"/>
        <v>505.53999999999996</v>
      </c>
      <c r="E191" s="5">
        <f t="shared" si="26"/>
        <v>0</v>
      </c>
      <c r="F191" s="5">
        <f t="shared" si="26"/>
        <v>12424.42</v>
      </c>
      <c r="G191" s="5">
        <f t="shared" si="26"/>
        <v>2699723.8</v>
      </c>
      <c r="H191" s="5">
        <f t="shared" si="26"/>
        <v>0</v>
      </c>
      <c r="I191" s="5">
        <f t="shared" si="26"/>
        <v>511.44000000000005</v>
      </c>
      <c r="J191" s="5">
        <f t="shared" si="26"/>
        <v>-1.1368683772161603E-13</v>
      </c>
      <c r="K191" s="5">
        <f t="shared" si="26"/>
        <v>8161.91</v>
      </c>
      <c r="L191" s="5">
        <f t="shared" si="26"/>
        <v>0</v>
      </c>
      <c r="M191" s="5">
        <f t="shared" si="26"/>
        <v>2645480.5700000003</v>
      </c>
      <c r="N191" s="5">
        <f t="shared" si="26"/>
        <v>2317240.9900000002</v>
      </c>
      <c r="O191" s="5">
        <f t="shared" si="26"/>
        <v>2543557.71</v>
      </c>
      <c r="P191" s="5">
        <f t="shared" si="26"/>
        <v>10107267.49</v>
      </c>
      <c r="Q191" s="5">
        <f t="shared" si="26"/>
        <v>3294959.39</v>
      </c>
      <c r="R191" s="5">
        <f t="shared" si="26"/>
        <v>0</v>
      </c>
      <c r="S191" s="5">
        <f t="shared" si="26"/>
        <v>2264141.27</v>
      </c>
      <c r="T191" s="5">
        <f t="shared" si="26"/>
        <v>1427434.97</v>
      </c>
      <c r="U191" s="5">
        <f t="shared" si="26"/>
        <v>0</v>
      </c>
      <c r="V191" s="5">
        <f t="shared" si="26"/>
        <v>17156222.41</v>
      </c>
      <c r="W191" s="5">
        <f t="shared" si="26"/>
        <v>5943226454.6800003</v>
      </c>
      <c r="X191" s="5">
        <f t="shared" si="26"/>
        <v>6210327.3799999999</v>
      </c>
      <c r="Y191" s="5">
        <f t="shared" si="26"/>
        <v>812007391.45000017</v>
      </c>
      <c r="Z191" s="5">
        <f t="shared" si="26"/>
        <v>39892669.980000004</v>
      </c>
      <c r="AA191" s="5"/>
      <c r="AB191" s="5">
        <f t="shared" si="26"/>
        <v>0</v>
      </c>
      <c r="AC191" s="5">
        <f t="shared" si="26"/>
        <v>798678.47000000009</v>
      </c>
      <c r="AD191" s="5">
        <f t="shared" si="26"/>
        <v>25360175.529999997</v>
      </c>
      <c r="AE191" s="5">
        <f t="shared" si="26"/>
        <v>0</v>
      </c>
      <c r="AF191" s="5">
        <f t="shared" si="26"/>
        <v>1309108.3899999999</v>
      </c>
      <c r="AG191" s="5">
        <f t="shared" si="26"/>
        <v>34.479999999999997</v>
      </c>
      <c r="AH191" s="5">
        <f t="shared" si="26"/>
        <v>4249235.0699999994</v>
      </c>
      <c r="AI191" s="5">
        <f t="shared" ref="AI191:BB191" si="27">SUM(AI179:AI190)</f>
        <v>3987720.3699999992</v>
      </c>
      <c r="AJ191" s="5">
        <f t="shared" si="27"/>
        <v>0</v>
      </c>
      <c r="AK191" s="5">
        <f t="shared" si="27"/>
        <v>12182609.809999999</v>
      </c>
      <c r="AL191" s="5">
        <f t="shared" si="27"/>
        <v>0</v>
      </c>
      <c r="AM191" s="5">
        <f t="shared" si="27"/>
        <v>292853.01</v>
      </c>
      <c r="AN191" s="5">
        <f t="shared" si="27"/>
        <v>0</v>
      </c>
      <c r="AO191" s="5">
        <f t="shared" si="27"/>
        <v>6757680.25</v>
      </c>
      <c r="AP191" s="5">
        <f t="shared" si="27"/>
        <v>0</v>
      </c>
      <c r="AQ191" s="5">
        <f t="shared" si="27"/>
        <v>568163.92000000004</v>
      </c>
      <c r="AR191" s="5">
        <f t="shared" si="27"/>
        <v>9861043.1899999995</v>
      </c>
      <c r="AS191" s="5">
        <f t="shared" si="27"/>
        <v>8.73</v>
      </c>
      <c r="AT191" s="5">
        <f t="shared" si="27"/>
        <v>789.51</v>
      </c>
      <c r="AU191" s="5">
        <f t="shared" si="27"/>
        <v>0</v>
      </c>
      <c r="AV191" s="5">
        <f t="shared" si="27"/>
        <v>9215475.3399999999</v>
      </c>
      <c r="AW191" s="5">
        <f t="shared" si="27"/>
        <v>49854898.68</v>
      </c>
      <c r="AX191" s="5">
        <f t="shared" si="27"/>
        <v>39657069.549999997</v>
      </c>
      <c r="AY191" s="5">
        <f t="shared" si="27"/>
        <v>26437918.530000005</v>
      </c>
      <c r="AZ191" s="5">
        <f t="shared" si="27"/>
        <v>804110.07</v>
      </c>
      <c r="BA191" s="5">
        <f t="shared" si="27"/>
        <v>40900010.060000002</v>
      </c>
      <c r="BB191" s="5">
        <f t="shared" si="27"/>
        <v>7086110724.8499994</v>
      </c>
    </row>
    <row r="192" spans="1:54" ht="15.75" thickTop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</row>
    <row r="193" spans="1:54" x14ac:dyDescent="0.2">
      <c r="A193" s="3">
        <v>40544</v>
      </c>
      <c r="B193" s="4">
        <v>0</v>
      </c>
      <c r="C193" s="4">
        <v>697063.01</v>
      </c>
      <c r="D193" s="4">
        <v>0</v>
      </c>
      <c r="E193" s="4">
        <v>0</v>
      </c>
      <c r="F193" s="4">
        <v>0</v>
      </c>
      <c r="G193" s="4">
        <v>191645.40000000002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212589.7</v>
      </c>
      <c r="N193" s="4">
        <v>160970.03999999998</v>
      </c>
      <c r="O193" s="4">
        <v>214156.95</v>
      </c>
      <c r="P193" s="4">
        <v>775118.04999999993</v>
      </c>
      <c r="Q193" s="4">
        <v>228587.08</v>
      </c>
      <c r="R193" s="4">
        <v>0</v>
      </c>
      <c r="S193" s="4">
        <v>176294.34</v>
      </c>
      <c r="T193" s="4">
        <v>54907.29</v>
      </c>
      <c r="U193" s="4">
        <v>0</v>
      </c>
      <c r="V193" s="4">
        <v>1532962.14</v>
      </c>
      <c r="W193" s="4">
        <v>480668615.02999997</v>
      </c>
      <c r="X193" s="4">
        <v>464935.97</v>
      </c>
      <c r="Y193" s="4">
        <v>61971352.560000002</v>
      </c>
      <c r="Z193" s="4">
        <v>34755.019999999997</v>
      </c>
      <c r="AA193" s="4"/>
      <c r="AB193" s="4">
        <v>0</v>
      </c>
      <c r="AC193" s="4">
        <v>114258.24000000001</v>
      </c>
      <c r="AD193" s="4">
        <v>1950211.9499999997</v>
      </c>
      <c r="AE193" s="4">
        <v>0</v>
      </c>
      <c r="AF193" s="4">
        <v>110585.87999999999</v>
      </c>
      <c r="AG193" s="4">
        <v>0</v>
      </c>
      <c r="AH193" s="4">
        <v>358463.82</v>
      </c>
      <c r="AI193" s="4">
        <v>361043.01999999996</v>
      </c>
      <c r="AJ193" s="4">
        <v>0</v>
      </c>
      <c r="AK193" s="4">
        <v>928209.57</v>
      </c>
      <c r="AL193" s="4">
        <v>0</v>
      </c>
      <c r="AM193" s="4">
        <v>54729.490000000005</v>
      </c>
      <c r="AN193" s="4">
        <v>0</v>
      </c>
      <c r="AO193" s="4">
        <v>529499.46</v>
      </c>
      <c r="AP193" s="4">
        <v>0</v>
      </c>
      <c r="AQ193" s="4">
        <v>47709.34</v>
      </c>
      <c r="AR193" s="4">
        <v>631410.82999999996</v>
      </c>
      <c r="AS193" s="4">
        <v>0</v>
      </c>
      <c r="AT193" s="4">
        <v>0</v>
      </c>
      <c r="AU193" s="4">
        <v>0</v>
      </c>
      <c r="AV193" s="4">
        <v>707801.65999999992</v>
      </c>
      <c r="AW193" s="4">
        <v>4616262.96</v>
      </c>
      <c r="AX193" s="4">
        <v>3348625.4899999998</v>
      </c>
      <c r="AY193" s="4">
        <v>2232411.41</v>
      </c>
      <c r="AZ193" s="4">
        <v>8300</v>
      </c>
      <c r="BA193" s="4">
        <v>68140.52</v>
      </c>
      <c r="BB193" s="4">
        <f t="shared" ref="BB193:BB204" si="28">SUM(B193:BA193)</f>
        <v>563451616.22000015</v>
      </c>
    </row>
    <row r="194" spans="1:54" x14ac:dyDescent="0.2">
      <c r="A194" s="3">
        <v>40575</v>
      </c>
      <c r="B194" s="4">
        <v>0</v>
      </c>
      <c r="C194" s="4">
        <v>560170.31000000006</v>
      </c>
      <c r="D194" s="4">
        <v>0</v>
      </c>
      <c r="E194" s="4">
        <v>0</v>
      </c>
      <c r="F194" s="4">
        <v>0</v>
      </c>
      <c r="G194" s="4">
        <v>149527.04000000001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186384.84</v>
      </c>
      <c r="N194" s="4">
        <v>128174.32</v>
      </c>
      <c r="O194" s="4">
        <v>176178.79</v>
      </c>
      <c r="P194" s="4">
        <v>626202.19000000006</v>
      </c>
      <c r="Q194" s="4">
        <v>186487.33</v>
      </c>
      <c r="R194" s="4">
        <v>0</v>
      </c>
      <c r="S194" s="4">
        <v>141574.53</v>
      </c>
      <c r="T194" s="4">
        <v>47183.270000000004</v>
      </c>
      <c r="U194" s="4">
        <v>0</v>
      </c>
      <c r="V194" s="4">
        <v>1258150.1500000001</v>
      </c>
      <c r="W194" s="4">
        <v>385200220.56000006</v>
      </c>
      <c r="X194" s="4">
        <v>362290.69000000006</v>
      </c>
      <c r="Y194" s="4">
        <v>49996823.129999995</v>
      </c>
      <c r="Z194" s="4">
        <v>18087.54</v>
      </c>
      <c r="AA194" s="4"/>
      <c r="AB194" s="4">
        <v>0</v>
      </c>
      <c r="AC194" s="4">
        <v>98424.7</v>
      </c>
      <c r="AD194" s="4">
        <v>1566465.6300000001</v>
      </c>
      <c r="AE194" s="4">
        <v>0</v>
      </c>
      <c r="AF194" s="4">
        <v>85420.05</v>
      </c>
      <c r="AG194" s="4">
        <v>0</v>
      </c>
      <c r="AH194" s="4">
        <v>289545.27</v>
      </c>
      <c r="AI194" s="4">
        <v>290655.48000000004</v>
      </c>
      <c r="AJ194" s="4">
        <v>0</v>
      </c>
      <c r="AK194" s="4">
        <v>728764.13</v>
      </c>
      <c r="AL194" s="4">
        <v>0</v>
      </c>
      <c r="AM194" s="4">
        <v>44106.909999999996</v>
      </c>
      <c r="AN194" s="4">
        <v>0</v>
      </c>
      <c r="AO194" s="4">
        <v>425736.09</v>
      </c>
      <c r="AP194" s="4">
        <v>0</v>
      </c>
      <c r="AQ194" s="4">
        <v>37296.259999999995</v>
      </c>
      <c r="AR194" s="4">
        <v>503559.26999999996</v>
      </c>
      <c r="AS194" s="4">
        <v>0</v>
      </c>
      <c r="AT194" s="4">
        <v>0</v>
      </c>
      <c r="AU194" s="4">
        <v>0</v>
      </c>
      <c r="AV194" s="4">
        <v>557133.06999999995</v>
      </c>
      <c r="AW194" s="4">
        <v>3742020.63</v>
      </c>
      <c r="AX194" s="4">
        <v>2650652.88</v>
      </c>
      <c r="AY194" s="4">
        <v>1767099.9300000002</v>
      </c>
      <c r="AZ194" s="4">
        <v>4950</v>
      </c>
      <c r="BA194" s="4">
        <v>23060.720000000001</v>
      </c>
      <c r="BB194" s="4">
        <f t="shared" si="28"/>
        <v>451852345.71000004</v>
      </c>
    </row>
    <row r="195" spans="1:54" x14ac:dyDescent="0.2">
      <c r="A195" s="3">
        <v>40603</v>
      </c>
      <c r="B195" s="4">
        <v>117.85</v>
      </c>
      <c r="C195" s="4">
        <v>730542.34000000008</v>
      </c>
      <c r="D195" s="4">
        <v>413.75</v>
      </c>
      <c r="E195" s="4">
        <v>0</v>
      </c>
      <c r="F195" s="4">
        <v>1395.74</v>
      </c>
      <c r="G195" s="4">
        <v>275999.7</v>
      </c>
      <c r="H195" s="4">
        <v>145.62</v>
      </c>
      <c r="I195" s="4">
        <v>1292.21</v>
      </c>
      <c r="J195" s="4">
        <v>0</v>
      </c>
      <c r="K195" s="4">
        <v>678.76</v>
      </c>
      <c r="L195" s="4">
        <v>0</v>
      </c>
      <c r="M195" s="4">
        <v>213675.55000000002</v>
      </c>
      <c r="N195" s="4">
        <v>272650.51</v>
      </c>
      <c r="O195" s="4">
        <v>230179.95</v>
      </c>
      <c r="P195" s="4">
        <v>951587.8</v>
      </c>
      <c r="Q195" s="4">
        <v>321069.28999999998</v>
      </c>
      <c r="R195" s="4">
        <v>0</v>
      </c>
      <c r="S195" s="4">
        <v>373151.71</v>
      </c>
      <c r="T195" s="4">
        <v>251176.94</v>
      </c>
      <c r="U195" s="4">
        <v>90.2</v>
      </c>
      <c r="V195" s="4">
        <v>1224516.27</v>
      </c>
      <c r="W195" s="4">
        <v>549973459.26999998</v>
      </c>
      <c r="X195" s="4">
        <v>446821.75</v>
      </c>
      <c r="Y195" s="4">
        <v>76062768.469999999</v>
      </c>
      <c r="Z195" s="4">
        <v>7538523.4900000002</v>
      </c>
      <c r="AA195" s="4"/>
      <c r="AB195" s="4">
        <v>0</v>
      </c>
      <c r="AC195" s="4">
        <v>105164.66</v>
      </c>
      <c r="AD195" s="4">
        <v>2177351.2400000002</v>
      </c>
      <c r="AE195" s="4">
        <v>0</v>
      </c>
      <c r="AF195" s="4">
        <v>169643.33000000002</v>
      </c>
      <c r="AG195" s="4">
        <v>308.95999999999998</v>
      </c>
      <c r="AH195" s="4">
        <v>398474.86</v>
      </c>
      <c r="AI195" s="4">
        <v>340628.19</v>
      </c>
      <c r="AJ195" s="4">
        <v>0</v>
      </c>
      <c r="AK195" s="4">
        <v>1186118.8900000001</v>
      </c>
      <c r="AL195" s="4">
        <v>0</v>
      </c>
      <c r="AM195" s="4">
        <v>45302.97</v>
      </c>
      <c r="AN195" s="4">
        <v>0</v>
      </c>
      <c r="AO195" s="4">
        <v>591338.21</v>
      </c>
      <c r="AP195" s="4">
        <v>0</v>
      </c>
      <c r="AQ195" s="4">
        <v>68242.05</v>
      </c>
      <c r="AR195" s="4">
        <v>859956.88000000012</v>
      </c>
      <c r="AS195" s="4">
        <v>345.57</v>
      </c>
      <c r="AT195" s="4">
        <v>0</v>
      </c>
      <c r="AU195" s="4">
        <v>0</v>
      </c>
      <c r="AV195" s="4">
        <v>927120.10000000009</v>
      </c>
      <c r="AW195" s="4">
        <v>4359067.1100000003</v>
      </c>
      <c r="AX195" s="4">
        <v>3133147.23</v>
      </c>
      <c r="AY195" s="4">
        <v>2088767.17</v>
      </c>
      <c r="AZ195" s="4">
        <v>36465.1</v>
      </c>
      <c r="BA195" s="4">
        <v>8113609.6399999997</v>
      </c>
      <c r="BB195" s="4">
        <f t="shared" si="28"/>
        <v>663471309.33000028</v>
      </c>
    </row>
    <row r="196" spans="1:54" x14ac:dyDescent="0.2">
      <c r="A196" s="3">
        <v>40634</v>
      </c>
      <c r="B196" s="4">
        <v>0</v>
      </c>
      <c r="C196" s="4">
        <v>643131.03</v>
      </c>
      <c r="D196" s="4">
        <v>0</v>
      </c>
      <c r="E196" s="4">
        <v>0</v>
      </c>
      <c r="F196" s="4">
        <v>0</v>
      </c>
      <c r="G196" s="4">
        <v>183834.87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205064.97</v>
      </c>
      <c r="N196" s="4">
        <v>159988.18</v>
      </c>
      <c r="O196" s="4">
        <v>197707.52000000002</v>
      </c>
      <c r="P196" s="4">
        <v>742653.58</v>
      </c>
      <c r="Q196" s="4">
        <v>225781.66</v>
      </c>
      <c r="R196" s="4">
        <v>0</v>
      </c>
      <c r="S196" s="4">
        <v>179363.87</v>
      </c>
      <c r="T196" s="4">
        <v>85814.34</v>
      </c>
      <c r="U196" s="4">
        <v>0</v>
      </c>
      <c r="V196" s="4">
        <v>1352264.52</v>
      </c>
      <c r="W196" s="4">
        <v>431410657.52000004</v>
      </c>
      <c r="X196" s="4">
        <v>450264.38</v>
      </c>
      <c r="Y196" s="4">
        <v>57262365.700000003</v>
      </c>
      <c r="Z196" s="4">
        <v>6184.41</v>
      </c>
      <c r="AA196" s="4"/>
      <c r="AB196" s="4">
        <v>0</v>
      </c>
      <c r="AC196" s="4">
        <v>94368.87000000001</v>
      </c>
      <c r="AD196" s="4">
        <v>1862180.51</v>
      </c>
      <c r="AE196" s="4">
        <v>0</v>
      </c>
      <c r="AF196" s="4">
        <v>99646.11</v>
      </c>
      <c r="AG196" s="4">
        <v>0</v>
      </c>
      <c r="AH196" s="4">
        <v>309288.15000000002</v>
      </c>
      <c r="AI196" s="4">
        <v>342016.97</v>
      </c>
      <c r="AJ196" s="4">
        <v>0</v>
      </c>
      <c r="AK196" s="4">
        <v>902096.13</v>
      </c>
      <c r="AL196" s="4">
        <v>0</v>
      </c>
      <c r="AM196" s="4">
        <v>42508.869999999995</v>
      </c>
      <c r="AN196" s="4">
        <v>0</v>
      </c>
      <c r="AO196" s="4">
        <v>496650.20000000007</v>
      </c>
      <c r="AP196" s="4">
        <v>0</v>
      </c>
      <c r="AQ196" s="4">
        <v>39037.03</v>
      </c>
      <c r="AR196" s="4">
        <v>639788.55999999994</v>
      </c>
      <c r="AS196" s="4">
        <v>0</v>
      </c>
      <c r="AT196" s="4">
        <v>0</v>
      </c>
      <c r="AU196" s="4">
        <v>0</v>
      </c>
      <c r="AV196" s="4">
        <v>677168.86</v>
      </c>
      <c r="AW196" s="4">
        <v>3853671.1700000004</v>
      </c>
      <c r="AX196" s="4">
        <v>2900113.12</v>
      </c>
      <c r="AY196" s="4">
        <v>1933375.81</v>
      </c>
      <c r="AZ196" s="4">
        <v>1800</v>
      </c>
      <c r="BA196" s="4">
        <v>47029.54</v>
      </c>
      <c r="BB196" s="4">
        <f t="shared" si="28"/>
        <v>507345816.45000011</v>
      </c>
    </row>
    <row r="197" spans="1:54" x14ac:dyDescent="0.2">
      <c r="A197" s="3">
        <v>40664</v>
      </c>
      <c r="B197" s="4">
        <v>0</v>
      </c>
      <c r="C197" s="4">
        <v>604605.61</v>
      </c>
      <c r="D197" s="4">
        <v>0</v>
      </c>
      <c r="E197" s="4">
        <v>0</v>
      </c>
      <c r="F197" s="4">
        <v>0</v>
      </c>
      <c r="G197" s="4">
        <v>175694.27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189198.87</v>
      </c>
      <c r="N197" s="4">
        <v>153296.34</v>
      </c>
      <c r="O197" s="4">
        <v>190407.66999999998</v>
      </c>
      <c r="P197" s="4">
        <v>712095.40999999992</v>
      </c>
      <c r="Q197" s="4">
        <v>219516.19</v>
      </c>
      <c r="R197" s="4">
        <v>0</v>
      </c>
      <c r="S197" s="4">
        <v>182116.83000000002</v>
      </c>
      <c r="T197" s="4">
        <v>146196.09000000003</v>
      </c>
      <c r="U197" s="4">
        <v>0</v>
      </c>
      <c r="V197" s="4">
        <v>1301464.44</v>
      </c>
      <c r="W197" s="4">
        <v>415960905.00999999</v>
      </c>
      <c r="X197" s="4">
        <v>432284.52</v>
      </c>
      <c r="Y197" s="4">
        <v>54957270.920000002</v>
      </c>
      <c r="Z197" s="4">
        <v>5417.63</v>
      </c>
      <c r="AA197" s="4"/>
      <c r="AB197" s="4">
        <v>0</v>
      </c>
      <c r="AC197" s="4">
        <v>93586.25</v>
      </c>
      <c r="AD197" s="4">
        <v>1764825.73</v>
      </c>
      <c r="AE197" s="4">
        <v>0</v>
      </c>
      <c r="AF197" s="4">
        <v>94006.91</v>
      </c>
      <c r="AG197" s="4">
        <v>0</v>
      </c>
      <c r="AH197" s="4">
        <v>308363.89</v>
      </c>
      <c r="AI197" s="4">
        <v>329688.42000000004</v>
      </c>
      <c r="AJ197" s="4">
        <v>0</v>
      </c>
      <c r="AK197" s="4">
        <v>861385.09000000008</v>
      </c>
      <c r="AL197" s="4">
        <v>0</v>
      </c>
      <c r="AM197" s="4">
        <v>41735.9</v>
      </c>
      <c r="AN197" s="4">
        <v>0</v>
      </c>
      <c r="AO197" s="4">
        <v>487249.89999999997</v>
      </c>
      <c r="AP197" s="4">
        <v>0</v>
      </c>
      <c r="AQ197" s="4">
        <v>40932.44</v>
      </c>
      <c r="AR197" s="4">
        <v>619510.94999999995</v>
      </c>
      <c r="AS197" s="4">
        <v>0</v>
      </c>
      <c r="AT197" s="4">
        <v>0</v>
      </c>
      <c r="AU197" s="4">
        <v>0</v>
      </c>
      <c r="AV197" s="4">
        <v>662242.32000000007</v>
      </c>
      <c r="AW197" s="4">
        <v>3771505.1</v>
      </c>
      <c r="AX197" s="4">
        <v>2812616.4499999997</v>
      </c>
      <c r="AY197" s="4">
        <v>1875057.4100000001</v>
      </c>
      <c r="AZ197" s="4">
        <v>2550</v>
      </c>
      <c r="BA197" s="4">
        <v>21372.38</v>
      </c>
      <c r="BB197" s="4">
        <f t="shared" si="28"/>
        <v>489017098.94</v>
      </c>
    </row>
    <row r="198" spans="1:54" x14ac:dyDescent="0.2">
      <c r="A198" s="3">
        <v>40695</v>
      </c>
      <c r="B198" s="4">
        <v>243.71</v>
      </c>
      <c r="C198" s="4">
        <v>786966.75</v>
      </c>
      <c r="D198" s="4">
        <v>178.3</v>
      </c>
      <c r="E198" s="4">
        <v>0</v>
      </c>
      <c r="F198" s="4">
        <v>1582.67</v>
      </c>
      <c r="G198" s="4">
        <v>281820.73</v>
      </c>
      <c r="H198" s="4">
        <v>0</v>
      </c>
      <c r="I198" s="4">
        <v>929.99</v>
      </c>
      <c r="J198" s="4">
        <v>0</v>
      </c>
      <c r="K198" s="4">
        <v>1420.15</v>
      </c>
      <c r="L198" s="4">
        <v>0</v>
      </c>
      <c r="M198" s="4">
        <v>248943.33000000002</v>
      </c>
      <c r="N198" s="4">
        <v>267979.31000000006</v>
      </c>
      <c r="O198" s="4">
        <v>252046.66999999998</v>
      </c>
      <c r="P198" s="4">
        <v>1052850.6300000001</v>
      </c>
      <c r="Q198" s="4">
        <v>369131.45</v>
      </c>
      <c r="R198" s="4">
        <v>0</v>
      </c>
      <c r="S198" s="4">
        <v>256770.81</v>
      </c>
      <c r="T198" s="4">
        <v>254369.6</v>
      </c>
      <c r="U198" s="4">
        <v>0</v>
      </c>
      <c r="V198" s="4">
        <v>1669750.28</v>
      </c>
      <c r="W198" s="4">
        <v>589486607.71000004</v>
      </c>
      <c r="X198" s="4">
        <v>647793.85000000009</v>
      </c>
      <c r="Y198" s="4">
        <v>84160482.159999996</v>
      </c>
      <c r="Z198" s="4">
        <v>8560079.8300000001</v>
      </c>
      <c r="AA198" s="4"/>
      <c r="AB198" s="4">
        <v>0</v>
      </c>
      <c r="AC198" s="4">
        <v>99674.329999999987</v>
      </c>
      <c r="AD198" s="4">
        <v>2300938.2800000003</v>
      </c>
      <c r="AE198" s="4">
        <v>0</v>
      </c>
      <c r="AF198" s="4">
        <v>156801.85</v>
      </c>
      <c r="AG198" s="4">
        <v>356.71</v>
      </c>
      <c r="AH198" s="4">
        <v>389346.87</v>
      </c>
      <c r="AI198" s="4">
        <v>388605.66</v>
      </c>
      <c r="AJ198" s="4">
        <v>0</v>
      </c>
      <c r="AK198" s="4">
        <v>1274523.1000000001</v>
      </c>
      <c r="AL198" s="4">
        <v>0</v>
      </c>
      <c r="AM198" s="4">
        <v>23040.69</v>
      </c>
      <c r="AN198" s="4">
        <v>0</v>
      </c>
      <c r="AO198" s="4">
        <v>597095.5</v>
      </c>
      <c r="AP198" s="4">
        <v>0</v>
      </c>
      <c r="AQ198" s="4">
        <v>55261.009999999995</v>
      </c>
      <c r="AR198" s="4">
        <v>939839.76</v>
      </c>
      <c r="AS198" s="4">
        <v>122.21</v>
      </c>
      <c r="AT198" s="4">
        <v>0</v>
      </c>
      <c r="AU198" s="4">
        <v>359.14</v>
      </c>
      <c r="AV198" s="4">
        <v>986583.94</v>
      </c>
      <c r="AW198" s="4">
        <v>4980977.25</v>
      </c>
      <c r="AX198" s="4">
        <v>3612413.12</v>
      </c>
      <c r="AY198" s="4">
        <v>2408208.84</v>
      </c>
      <c r="AZ198" s="4">
        <v>5040.59</v>
      </c>
      <c r="BA198" s="4">
        <v>9780103.9600000009</v>
      </c>
      <c r="BB198" s="4">
        <f t="shared" si="28"/>
        <v>716299240.74000037</v>
      </c>
    </row>
    <row r="199" spans="1:54" x14ac:dyDescent="0.2">
      <c r="A199" s="3">
        <v>40725</v>
      </c>
      <c r="B199" s="4">
        <v>0</v>
      </c>
      <c r="C199" s="4">
        <v>624991.71</v>
      </c>
      <c r="D199" s="4">
        <v>0</v>
      </c>
      <c r="E199" s="4">
        <v>0</v>
      </c>
      <c r="F199" s="4">
        <v>0</v>
      </c>
      <c r="G199" s="4">
        <v>193366.75999999998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193844.12</v>
      </c>
      <c r="N199" s="4">
        <v>163483.38</v>
      </c>
      <c r="O199" s="4">
        <v>198559.22999999998</v>
      </c>
      <c r="P199" s="4">
        <v>766503.78</v>
      </c>
      <c r="Q199" s="4">
        <v>232346.99000000002</v>
      </c>
      <c r="R199" s="4">
        <v>0</v>
      </c>
      <c r="S199" s="4">
        <v>161220.83000000002</v>
      </c>
      <c r="T199" s="4">
        <v>105049.51000000001</v>
      </c>
      <c r="U199" s="4">
        <v>0</v>
      </c>
      <c r="V199" s="4">
        <v>1270246.1700000002</v>
      </c>
      <c r="W199" s="4">
        <v>424733185.16000003</v>
      </c>
      <c r="X199" s="4">
        <v>556856.85</v>
      </c>
      <c r="Y199" s="4">
        <v>57322188.049999997</v>
      </c>
      <c r="Z199" s="4">
        <v>13274.22</v>
      </c>
      <c r="AA199" s="4"/>
      <c r="AB199" s="4">
        <v>0</v>
      </c>
      <c r="AC199" s="4">
        <v>65719.19</v>
      </c>
      <c r="AD199" s="4">
        <v>1848554.53</v>
      </c>
      <c r="AE199" s="4">
        <v>0</v>
      </c>
      <c r="AF199" s="4">
        <v>92587.510000000009</v>
      </c>
      <c r="AG199" s="4">
        <v>0</v>
      </c>
      <c r="AH199" s="4">
        <v>305482.38</v>
      </c>
      <c r="AI199" s="4">
        <v>336478.17</v>
      </c>
      <c r="AJ199" s="4">
        <v>0</v>
      </c>
      <c r="AK199" s="4">
        <v>879336.75999999989</v>
      </c>
      <c r="AL199" s="4">
        <v>0</v>
      </c>
      <c r="AM199" s="4">
        <v>37011.82</v>
      </c>
      <c r="AN199" s="4">
        <v>0</v>
      </c>
      <c r="AO199" s="4">
        <v>502875.73</v>
      </c>
      <c r="AP199" s="4">
        <v>0</v>
      </c>
      <c r="AQ199" s="4">
        <v>39516.44</v>
      </c>
      <c r="AR199" s="4">
        <v>869152.92</v>
      </c>
      <c r="AS199" s="4">
        <v>0</v>
      </c>
      <c r="AT199" s="4">
        <v>0</v>
      </c>
      <c r="AU199" s="4">
        <v>0</v>
      </c>
      <c r="AV199" s="4">
        <v>702029.2</v>
      </c>
      <c r="AW199" s="4">
        <v>3900463.4</v>
      </c>
      <c r="AX199" s="4">
        <v>2801250.2399999998</v>
      </c>
      <c r="AY199" s="4">
        <v>1867483.89</v>
      </c>
      <c r="AZ199" s="4">
        <v>33150</v>
      </c>
      <c r="BA199" s="4">
        <v>61340.05</v>
      </c>
      <c r="BB199" s="4">
        <f t="shared" si="28"/>
        <v>500877548.99000007</v>
      </c>
    </row>
    <row r="200" spans="1:54" x14ac:dyDescent="0.2">
      <c r="A200" s="3">
        <v>40756</v>
      </c>
      <c r="B200" s="4">
        <v>0</v>
      </c>
      <c r="C200" s="4">
        <v>614501.14999999991</v>
      </c>
      <c r="D200" s="4">
        <v>0</v>
      </c>
      <c r="E200" s="4">
        <v>0</v>
      </c>
      <c r="F200" s="4">
        <v>0</v>
      </c>
      <c r="G200" s="4">
        <v>182053.87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193259.91000000003</v>
      </c>
      <c r="N200" s="4">
        <v>163261.01</v>
      </c>
      <c r="O200" s="4">
        <v>191289.21999999997</v>
      </c>
      <c r="P200" s="4">
        <v>740037.28999999992</v>
      </c>
      <c r="Q200" s="4">
        <v>220259.97</v>
      </c>
      <c r="R200" s="4">
        <v>0</v>
      </c>
      <c r="S200" s="4">
        <v>162704.48000000001</v>
      </c>
      <c r="T200" s="4">
        <v>117834.72</v>
      </c>
      <c r="U200" s="4">
        <v>0</v>
      </c>
      <c r="V200" s="4">
        <v>1228285.3899999999</v>
      </c>
      <c r="W200" s="4">
        <v>416596658.54000002</v>
      </c>
      <c r="X200" s="4">
        <v>990921.07000000007</v>
      </c>
      <c r="Y200" s="4">
        <v>56060903.469999999</v>
      </c>
      <c r="Z200" s="4">
        <v>2232.73</v>
      </c>
      <c r="AA200" s="4"/>
      <c r="AB200" s="4">
        <v>0</v>
      </c>
      <c r="AC200" s="4">
        <v>69723.459999999992</v>
      </c>
      <c r="AD200" s="4">
        <v>1801585.2000000002</v>
      </c>
      <c r="AE200" s="4">
        <v>0</v>
      </c>
      <c r="AF200" s="4">
        <v>91607.920000000013</v>
      </c>
      <c r="AG200" s="4">
        <v>0</v>
      </c>
      <c r="AH200" s="4">
        <v>253707.6</v>
      </c>
      <c r="AI200" s="4">
        <v>328597.56</v>
      </c>
      <c r="AJ200" s="4">
        <v>0</v>
      </c>
      <c r="AK200" s="4">
        <v>886001.02</v>
      </c>
      <c r="AL200" s="4">
        <v>0</v>
      </c>
      <c r="AM200" s="4">
        <v>36693.870000000003</v>
      </c>
      <c r="AN200" s="4">
        <v>0</v>
      </c>
      <c r="AO200" s="4">
        <v>494746.20000000007</v>
      </c>
      <c r="AP200" s="4">
        <v>0</v>
      </c>
      <c r="AQ200" s="4">
        <v>36834.42</v>
      </c>
      <c r="AR200" s="4">
        <v>832487.84000000008</v>
      </c>
      <c r="AS200" s="4">
        <v>0</v>
      </c>
      <c r="AT200" s="4">
        <v>0</v>
      </c>
      <c r="AU200" s="4">
        <v>0</v>
      </c>
      <c r="AV200" s="4">
        <v>683489.24</v>
      </c>
      <c r="AW200" s="4">
        <v>3873937.31</v>
      </c>
      <c r="AX200" s="4">
        <v>2697016.35</v>
      </c>
      <c r="AY200" s="4">
        <v>1798010.51</v>
      </c>
      <c r="AZ200" s="4">
        <v>73550</v>
      </c>
      <c r="BA200" s="4">
        <v>39010.43</v>
      </c>
      <c r="BB200" s="4">
        <f t="shared" si="28"/>
        <v>491461201.75000006</v>
      </c>
    </row>
    <row r="201" spans="1:54" x14ac:dyDescent="0.2">
      <c r="A201" s="3">
        <v>40787</v>
      </c>
      <c r="B201" s="4">
        <v>321.24</v>
      </c>
      <c r="C201" s="4">
        <v>752924.6399999999</v>
      </c>
      <c r="D201" s="4">
        <v>7.16</v>
      </c>
      <c r="E201" s="4">
        <v>0</v>
      </c>
      <c r="F201" s="4">
        <v>177.07</v>
      </c>
      <c r="G201" s="4">
        <v>323745.27</v>
      </c>
      <c r="H201" s="4">
        <v>0</v>
      </c>
      <c r="I201" s="4">
        <v>248.15</v>
      </c>
      <c r="J201" s="4">
        <v>0</v>
      </c>
      <c r="K201" s="4">
        <v>608.63</v>
      </c>
      <c r="L201" s="4">
        <v>0</v>
      </c>
      <c r="M201" s="4">
        <v>244248.36</v>
      </c>
      <c r="N201" s="4">
        <v>247435.04</v>
      </c>
      <c r="O201" s="4">
        <v>270930.61</v>
      </c>
      <c r="P201" s="4">
        <v>1062178.52</v>
      </c>
      <c r="Q201" s="4">
        <v>442049.86</v>
      </c>
      <c r="R201" s="4">
        <v>0</v>
      </c>
      <c r="S201" s="4">
        <v>283472.61</v>
      </c>
      <c r="T201" s="4">
        <v>336189.76</v>
      </c>
      <c r="U201" s="4">
        <v>0</v>
      </c>
      <c r="V201" s="4">
        <v>1743905.54</v>
      </c>
      <c r="W201" s="4">
        <v>560061337.88999999</v>
      </c>
      <c r="X201" s="4">
        <v>737461.31</v>
      </c>
      <c r="Y201" s="4">
        <v>80846386.549999997</v>
      </c>
      <c r="Z201" s="4">
        <v>12347168.800000001</v>
      </c>
      <c r="AA201" s="4"/>
      <c r="AB201" s="4">
        <v>0</v>
      </c>
      <c r="AC201" s="4">
        <v>125237.34</v>
      </c>
      <c r="AD201" s="4">
        <v>2297733.46</v>
      </c>
      <c r="AE201" s="4">
        <v>0</v>
      </c>
      <c r="AF201" s="4">
        <v>147890.9</v>
      </c>
      <c r="AG201" s="4">
        <v>295.66000000000003</v>
      </c>
      <c r="AH201" s="4">
        <v>254653.61</v>
      </c>
      <c r="AI201" s="4">
        <v>545491</v>
      </c>
      <c r="AJ201" s="4">
        <v>0</v>
      </c>
      <c r="AK201" s="4">
        <v>1260571.55</v>
      </c>
      <c r="AL201" s="4">
        <v>0</v>
      </c>
      <c r="AM201" s="4">
        <v>17503.170000000002</v>
      </c>
      <c r="AN201" s="4">
        <v>0</v>
      </c>
      <c r="AO201" s="4">
        <v>616873.21</v>
      </c>
      <c r="AP201" s="4">
        <v>0</v>
      </c>
      <c r="AQ201" s="4">
        <v>65848.39</v>
      </c>
      <c r="AR201" s="4">
        <v>1097352.73</v>
      </c>
      <c r="AS201" s="4">
        <v>4.62</v>
      </c>
      <c r="AT201" s="4">
        <v>3308.62</v>
      </c>
      <c r="AU201" s="4">
        <v>0</v>
      </c>
      <c r="AV201" s="4">
        <v>889968.74</v>
      </c>
      <c r="AW201" s="4">
        <v>5007305.5299999993</v>
      </c>
      <c r="AX201" s="4">
        <v>3661718.2800000003</v>
      </c>
      <c r="AY201" s="4">
        <v>2441111.21</v>
      </c>
      <c r="AZ201" s="4">
        <v>8939.43</v>
      </c>
      <c r="BA201" s="4">
        <v>10385963.529999999</v>
      </c>
      <c r="BB201" s="4">
        <f t="shared" si="28"/>
        <v>688528567.98999977</v>
      </c>
    </row>
    <row r="202" spans="1:54" x14ac:dyDescent="0.2">
      <c r="A202" s="3">
        <v>40817</v>
      </c>
      <c r="B202" s="4">
        <v>0</v>
      </c>
      <c r="C202" s="4">
        <v>591827.37</v>
      </c>
      <c r="D202" s="4">
        <v>0</v>
      </c>
      <c r="E202" s="4">
        <v>0</v>
      </c>
      <c r="F202" s="4">
        <v>0</v>
      </c>
      <c r="G202" s="4">
        <v>180692.52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197686.03999999998</v>
      </c>
      <c r="N202" s="4">
        <v>159096.21</v>
      </c>
      <c r="O202" s="4">
        <v>192408.16</v>
      </c>
      <c r="P202" s="4">
        <v>748221.2</v>
      </c>
      <c r="Q202" s="4">
        <v>221620.76</v>
      </c>
      <c r="R202" s="4">
        <v>0</v>
      </c>
      <c r="S202" s="4">
        <v>153736.01</v>
      </c>
      <c r="T202" s="4">
        <v>80839.86</v>
      </c>
      <c r="U202" s="4">
        <v>0</v>
      </c>
      <c r="V202" s="4">
        <v>1229008.2</v>
      </c>
      <c r="W202" s="4">
        <v>442401849.56000006</v>
      </c>
      <c r="X202" s="4">
        <v>365559.58999999997</v>
      </c>
      <c r="Y202" s="4">
        <v>60873678.130000003</v>
      </c>
      <c r="Z202" s="4">
        <v>3023.71</v>
      </c>
      <c r="AA202" s="4"/>
      <c r="AB202" s="4">
        <v>0</v>
      </c>
      <c r="AC202" s="4">
        <v>80147.670000000013</v>
      </c>
      <c r="AD202" s="4">
        <v>1902770.9999999998</v>
      </c>
      <c r="AE202" s="4">
        <v>0</v>
      </c>
      <c r="AF202" s="4">
        <v>122797.70000000001</v>
      </c>
      <c r="AG202" s="4">
        <v>0</v>
      </c>
      <c r="AH202" s="4">
        <v>318479.62</v>
      </c>
      <c r="AI202" s="4">
        <v>314840.44999999995</v>
      </c>
      <c r="AJ202" s="4">
        <v>0</v>
      </c>
      <c r="AK202" s="4">
        <v>912462.55</v>
      </c>
      <c r="AL202" s="4">
        <v>0</v>
      </c>
      <c r="AM202" s="4">
        <v>28822.510000000002</v>
      </c>
      <c r="AN202" s="4">
        <v>0</v>
      </c>
      <c r="AO202" s="4">
        <v>492423.26</v>
      </c>
      <c r="AP202" s="4">
        <v>0</v>
      </c>
      <c r="AQ202" s="4">
        <v>36277.75</v>
      </c>
      <c r="AR202" s="4">
        <v>684350.28</v>
      </c>
      <c r="AS202" s="4">
        <v>0</v>
      </c>
      <c r="AT202" s="4">
        <v>0</v>
      </c>
      <c r="AU202" s="4">
        <v>0</v>
      </c>
      <c r="AV202" s="4">
        <v>646584.16999999993</v>
      </c>
      <c r="AW202" s="4">
        <v>4088939.37</v>
      </c>
      <c r="AX202" s="4">
        <v>2853742.9499999997</v>
      </c>
      <c r="AY202" s="4">
        <v>1902494.58</v>
      </c>
      <c r="AZ202" s="4">
        <v>28950</v>
      </c>
      <c r="BA202" s="4">
        <v>117593.41</v>
      </c>
      <c r="BB202" s="4">
        <f t="shared" si="28"/>
        <v>521930924.58999997</v>
      </c>
    </row>
    <row r="203" spans="1:54" x14ac:dyDescent="0.2">
      <c r="A203" s="3">
        <v>40848</v>
      </c>
      <c r="B203" s="4">
        <v>0</v>
      </c>
      <c r="C203" s="4">
        <v>586184.36</v>
      </c>
      <c r="D203" s="4">
        <v>0</v>
      </c>
      <c r="E203" s="4">
        <v>0</v>
      </c>
      <c r="F203" s="4">
        <v>0</v>
      </c>
      <c r="G203" s="4">
        <v>187233.04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196265.84</v>
      </c>
      <c r="N203" s="4">
        <v>157039.24</v>
      </c>
      <c r="O203" s="4">
        <v>191923.72</v>
      </c>
      <c r="P203" s="4">
        <v>723096.16999999993</v>
      </c>
      <c r="Q203" s="4">
        <v>224797.53999999998</v>
      </c>
      <c r="R203" s="4">
        <v>0</v>
      </c>
      <c r="S203" s="4">
        <v>153764.13</v>
      </c>
      <c r="T203" s="4">
        <v>88795.86</v>
      </c>
      <c r="U203" s="4">
        <v>0</v>
      </c>
      <c r="V203" s="4">
        <v>1230616.6000000001</v>
      </c>
      <c r="W203" s="4">
        <v>440603695.84000003</v>
      </c>
      <c r="X203" s="4">
        <v>272378.89999999997</v>
      </c>
      <c r="Y203" s="4">
        <v>60356479.340000004</v>
      </c>
      <c r="Z203" s="4">
        <v>12848.64</v>
      </c>
      <c r="AA203" s="4"/>
      <c r="AB203" s="4">
        <v>0</v>
      </c>
      <c r="AC203" s="4">
        <v>78577.38</v>
      </c>
      <c r="AD203" s="4">
        <v>1926742.12</v>
      </c>
      <c r="AE203" s="4">
        <v>0</v>
      </c>
      <c r="AF203" s="4">
        <v>94753.84</v>
      </c>
      <c r="AG203" s="4">
        <v>0</v>
      </c>
      <c r="AH203" s="4">
        <v>322237.14999999997</v>
      </c>
      <c r="AI203" s="4">
        <v>313029.11</v>
      </c>
      <c r="AJ203" s="4">
        <v>0</v>
      </c>
      <c r="AK203" s="4">
        <v>914709.96000000008</v>
      </c>
      <c r="AL203" s="4">
        <v>0</v>
      </c>
      <c r="AM203" s="4">
        <v>40591.589999999997</v>
      </c>
      <c r="AN203" s="4">
        <v>0</v>
      </c>
      <c r="AO203" s="4">
        <v>480731.67</v>
      </c>
      <c r="AP203" s="4">
        <v>0</v>
      </c>
      <c r="AQ203" s="4">
        <v>39563.300000000003</v>
      </c>
      <c r="AR203" s="4">
        <v>697007.23</v>
      </c>
      <c r="AS203" s="4">
        <v>0</v>
      </c>
      <c r="AT203" s="4">
        <v>0</v>
      </c>
      <c r="AU203" s="4">
        <v>0</v>
      </c>
      <c r="AV203" s="4">
        <v>648599.47000000009</v>
      </c>
      <c r="AW203" s="4">
        <v>3998200.95</v>
      </c>
      <c r="AX203" s="4">
        <v>2844225.84</v>
      </c>
      <c r="AY203" s="4">
        <v>1896149.6300000001</v>
      </c>
      <c r="AZ203" s="4">
        <v>19600</v>
      </c>
      <c r="BA203" s="4">
        <v>73730.820000000007</v>
      </c>
      <c r="BB203" s="4">
        <f t="shared" si="28"/>
        <v>519373569.27999997</v>
      </c>
    </row>
    <row r="204" spans="1:54" x14ac:dyDescent="0.2">
      <c r="A204" s="3">
        <v>40878</v>
      </c>
      <c r="B204" s="4">
        <v>85.46</v>
      </c>
      <c r="C204" s="4">
        <v>808401.28</v>
      </c>
      <c r="D204" s="4">
        <v>1.53</v>
      </c>
      <c r="E204" s="4">
        <v>0</v>
      </c>
      <c r="F204" s="4">
        <v>310.37</v>
      </c>
      <c r="G204" s="4">
        <v>331271.87</v>
      </c>
      <c r="H204" s="4">
        <v>0</v>
      </c>
      <c r="I204" s="4">
        <v>240.65</v>
      </c>
      <c r="J204" s="4">
        <v>0</v>
      </c>
      <c r="K204" s="4">
        <v>616.17999999999995</v>
      </c>
      <c r="L204" s="4">
        <v>0</v>
      </c>
      <c r="M204" s="4">
        <v>299369.43</v>
      </c>
      <c r="N204" s="4">
        <v>243331.9</v>
      </c>
      <c r="O204" s="4">
        <v>269701.25</v>
      </c>
      <c r="P204" s="4">
        <v>1108016.2800000003</v>
      </c>
      <c r="Q204" s="4">
        <v>383388.74</v>
      </c>
      <c r="R204" s="4">
        <v>0</v>
      </c>
      <c r="S204" s="4">
        <v>217744.39</v>
      </c>
      <c r="T204" s="4">
        <v>151682.14000000001</v>
      </c>
      <c r="U204" s="4">
        <v>0</v>
      </c>
      <c r="V204" s="4">
        <v>1885519.47</v>
      </c>
      <c r="W204" s="4">
        <v>604118511.22000003</v>
      </c>
      <c r="X204" s="4">
        <v>639416.42999999993</v>
      </c>
      <c r="Y204" s="4">
        <v>87357411.769999996</v>
      </c>
      <c r="Z204" s="4">
        <v>10546120.67</v>
      </c>
      <c r="AA204" s="4"/>
      <c r="AB204" s="4">
        <v>0</v>
      </c>
      <c r="AC204" s="4">
        <v>53806.360000000008</v>
      </c>
      <c r="AD204" s="4">
        <v>2483451.4</v>
      </c>
      <c r="AE204" s="4">
        <v>0</v>
      </c>
      <c r="AF204" s="4">
        <v>109339.92</v>
      </c>
      <c r="AG204" s="4">
        <v>5.87</v>
      </c>
      <c r="AH204" s="4">
        <v>393317.42</v>
      </c>
      <c r="AI204" s="4">
        <v>407334.33999999997</v>
      </c>
      <c r="AJ204" s="4">
        <v>0</v>
      </c>
      <c r="AK204" s="4">
        <v>1293604.21</v>
      </c>
      <c r="AL204" s="4">
        <v>0</v>
      </c>
      <c r="AM204" s="4">
        <v>20302.410000000003</v>
      </c>
      <c r="AN204" s="4">
        <v>0</v>
      </c>
      <c r="AO204" s="4">
        <v>633741.25</v>
      </c>
      <c r="AP204" s="4">
        <v>0</v>
      </c>
      <c r="AQ204" s="4">
        <v>73090.75</v>
      </c>
      <c r="AR204" s="4">
        <v>1007114.77</v>
      </c>
      <c r="AS204" s="4">
        <v>40.950000000000003</v>
      </c>
      <c r="AT204" s="4">
        <v>113.32</v>
      </c>
      <c r="AU204" s="4">
        <v>0</v>
      </c>
      <c r="AV204" s="4">
        <v>955334.72</v>
      </c>
      <c r="AW204" s="4">
        <v>4933879.95</v>
      </c>
      <c r="AX204" s="4">
        <v>4171659.74</v>
      </c>
      <c r="AY204" s="4">
        <v>2781073.42</v>
      </c>
      <c r="AZ204" s="4">
        <v>1317.95</v>
      </c>
      <c r="BA204" s="4">
        <v>10407875.67</v>
      </c>
      <c r="BB204" s="4">
        <f t="shared" si="28"/>
        <v>738087545.45000005</v>
      </c>
    </row>
    <row r="205" spans="1:54" ht="15.75" thickBot="1" x14ac:dyDescent="0.25">
      <c r="A205" s="1" t="s">
        <v>165</v>
      </c>
      <c r="B205" s="5">
        <f t="shared" ref="B205:AT205" si="29">SUM(B193:B204)</f>
        <v>768.26</v>
      </c>
      <c r="C205" s="5">
        <f t="shared" si="29"/>
        <v>8001309.5600000005</v>
      </c>
      <c r="D205" s="5">
        <f t="shared" si="29"/>
        <v>600.7399999999999</v>
      </c>
      <c r="E205" s="5">
        <f t="shared" si="29"/>
        <v>0</v>
      </c>
      <c r="F205" s="5">
        <f t="shared" si="29"/>
        <v>3465.85</v>
      </c>
      <c r="G205" s="5">
        <f t="shared" si="29"/>
        <v>2656885.3400000003</v>
      </c>
      <c r="H205" s="5">
        <f t="shared" si="29"/>
        <v>145.62</v>
      </c>
      <c r="I205" s="5">
        <f t="shared" si="29"/>
        <v>2711</v>
      </c>
      <c r="J205" s="5">
        <f t="shared" si="29"/>
        <v>0</v>
      </c>
      <c r="K205" s="5">
        <f t="shared" si="29"/>
        <v>3323.72</v>
      </c>
      <c r="L205" s="5">
        <f t="shared" si="29"/>
        <v>0</v>
      </c>
      <c r="M205" s="5">
        <f t="shared" si="29"/>
        <v>2580530.96</v>
      </c>
      <c r="N205" s="5">
        <f t="shared" si="29"/>
        <v>2276705.48</v>
      </c>
      <c r="O205" s="5">
        <f t="shared" si="29"/>
        <v>2575489.7400000002</v>
      </c>
      <c r="P205" s="5">
        <f t="shared" si="29"/>
        <v>10008560.900000002</v>
      </c>
      <c r="Q205" s="5">
        <f t="shared" si="29"/>
        <v>3275036.8600000003</v>
      </c>
      <c r="R205" s="5">
        <f t="shared" si="29"/>
        <v>0</v>
      </c>
      <c r="S205" s="5">
        <f t="shared" si="29"/>
        <v>2441914.5400000005</v>
      </c>
      <c r="T205" s="5">
        <f t="shared" si="29"/>
        <v>1720039.3800000004</v>
      </c>
      <c r="U205" s="5">
        <f t="shared" si="29"/>
        <v>90.2</v>
      </c>
      <c r="V205" s="5">
        <f t="shared" si="29"/>
        <v>16926689.170000002</v>
      </c>
      <c r="W205" s="5">
        <f t="shared" si="29"/>
        <v>5741215703.3100004</v>
      </c>
      <c r="X205" s="5">
        <f t="shared" si="29"/>
        <v>6366985.3100000005</v>
      </c>
      <c r="Y205" s="5">
        <f t="shared" si="29"/>
        <v>787228110.25</v>
      </c>
      <c r="Z205" s="5">
        <f t="shared" si="29"/>
        <v>39087716.690000005</v>
      </c>
      <c r="AA205" s="5"/>
      <c r="AB205" s="5">
        <f t="shared" si="29"/>
        <v>0</v>
      </c>
      <c r="AC205" s="5">
        <f t="shared" si="29"/>
        <v>1078688.45</v>
      </c>
      <c r="AD205" s="5">
        <f t="shared" si="29"/>
        <v>23882811.050000001</v>
      </c>
      <c r="AE205" s="5">
        <f t="shared" si="29"/>
        <v>0</v>
      </c>
      <c r="AF205" s="5">
        <f t="shared" si="29"/>
        <v>1375081.9200000002</v>
      </c>
      <c r="AG205" s="5">
        <f t="shared" si="29"/>
        <v>967.19999999999993</v>
      </c>
      <c r="AH205" s="5">
        <f t="shared" si="29"/>
        <v>3901360.64</v>
      </c>
      <c r="AI205" s="5">
        <f t="shared" si="29"/>
        <v>4298408.37</v>
      </c>
      <c r="AJ205" s="5">
        <f t="shared" si="29"/>
        <v>0</v>
      </c>
      <c r="AK205" s="5">
        <f t="shared" si="29"/>
        <v>12027782.960000001</v>
      </c>
      <c r="AL205" s="5">
        <f t="shared" si="29"/>
        <v>0</v>
      </c>
      <c r="AM205" s="5">
        <f t="shared" si="29"/>
        <v>432350.19999999995</v>
      </c>
      <c r="AN205" s="5">
        <f t="shared" si="29"/>
        <v>0</v>
      </c>
      <c r="AO205" s="5">
        <f t="shared" si="29"/>
        <v>6348960.6799999997</v>
      </c>
      <c r="AP205" s="5">
        <f t="shared" si="29"/>
        <v>0</v>
      </c>
      <c r="AQ205" s="5">
        <f t="shared" si="29"/>
        <v>579609.17999999993</v>
      </c>
      <c r="AR205" s="5">
        <f t="shared" si="29"/>
        <v>9381532.0199999996</v>
      </c>
      <c r="AS205" s="5">
        <f t="shared" si="29"/>
        <v>513.35</v>
      </c>
      <c r="AT205" s="5">
        <f t="shared" si="29"/>
        <v>3421.94</v>
      </c>
      <c r="AU205" s="5">
        <f t="shared" ref="AU205:BB205" si="30">SUM(AU193:AU204)</f>
        <v>359.14</v>
      </c>
      <c r="AV205" s="5">
        <f t="shared" si="30"/>
        <v>9044055.4900000002</v>
      </c>
      <c r="AW205" s="5">
        <f t="shared" si="30"/>
        <v>51126230.729999997</v>
      </c>
      <c r="AX205" s="5">
        <f t="shared" si="30"/>
        <v>37487181.689999998</v>
      </c>
      <c r="AY205" s="5">
        <f t="shared" si="30"/>
        <v>24991243.809999995</v>
      </c>
      <c r="AZ205" s="5">
        <f t="shared" si="30"/>
        <v>224613.07</v>
      </c>
      <c r="BA205" s="5">
        <f t="shared" si="30"/>
        <v>39138830.670000002</v>
      </c>
      <c r="BB205" s="5">
        <f t="shared" si="30"/>
        <v>6851696785.4400005</v>
      </c>
    </row>
    <row r="206" spans="1:54" ht="15.75" thickTop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</row>
    <row r="207" spans="1:54" x14ac:dyDescent="0.2">
      <c r="A207" s="3">
        <v>40179</v>
      </c>
      <c r="B207" s="4">
        <v>0</v>
      </c>
      <c r="C207" s="4">
        <v>682264.43</v>
      </c>
      <c r="D207" s="4">
        <v>0</v>
      </c>
      <c r="E207" s="4">
        <v>0</v>
      </c>
      <c r="F207" s="4">
        <v>0</v>
      </c>
      <c r="G207" s="4">
        <v>185927.93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211998.08000000002</v>
      </c>
      <c r="N207" s="4">
        <v>151416.32999999999</v>
      </c>
      <c r="O207" s="4">
        <v>197042.38</v>
      </c>
      <c r="P207" s="4">
        <v>722952.9800000001</v>
      </c>
      <c r="Q207" s="4">
        <v>219091.55</v>
      </c>
      <c r="R207" s="4">
        <v>0</v>
      </c>
      <c r="S207" s="4">
        <v>162601.97999999998</v>
      </c>
      <c r="T207" s="4">
        <v>50823.83</v>
      </c>
      <c r="U207" s="4">
        <v>0</v>
      </c>
      <c r="V207" s="4">
        <v>1490083.2599999998</v>
      </c>
      <c r="W207" s="4">
        <v>444565251.29999995</v>
      </c>
      <c r="X207" s="4">
        <v>455503.92</v>
      </c>
      <c r="Y207" s="4">
        <v>55744607.68</v>
      </c>
      <c r="Z207" s="4">
        <v>8475.83</v>
      </c>
      <c r="AA207" s="4"/>
      <c r="AB207" s="4">
        <v>0</v>
      </c>
      <c r="AC207" s="4">
        <v>121873.52</v>
      </c>
      <c r="AD207" s="4">
        <v>1901287.33</v>
      </c>
      <c r="AE207" s="4">
        <v>0</v>
      </c>
      <c r="AF207" s="4">
        <v>127017.09</v>
      </c>
      <c r="AG207" s="4">
        <v>0</v>
      </c>
      <c r="AH207" s="4">
        <v>354822.84</v>
      </c>
      <c r="AI207" s="4">
        <v>351482.55</v>
      </c>
      <c r="AJ207" s="4">
        <v>0</v>
      </c>
      <c r="AK207" s="4">
        <v>837753.1</v>
      </c>
      <c r="AL207" s="4">
        <v>0</v>
      </c>
      <c r="AM207" s="4">
        <v>49632.98</v>
      </c>
      <c r="AN207" s="4">
        <v>0</v>
      </c>
      <c r="AO207" s="4">
        <v>526736.38</v>
      </c>
      <c r="AP207" s="4">
        <v>0</v>
      </c>
      <c r="AQ207" s="4">
        <v>43144.130000000005</v>
      </c>
      <c r="AR207" s="4">
        <v>557907.09</v>
      </c>
      <c r="AS207" s="4">
        <v>0</v>
      </c>
      <c r="AT207" s="4">
        <v>0</v>
      </c>
      <c r="AU207" s="4">
        <v>0</v>
      </c>
      <c r="AV207" s="4">
        <v>682701.33000000007</v>
      </c>
      <c r="AW207" s="4">
        <v>4093154.8400000003</v>
      </c>
      <c r="AX207" s="4">
        <v>3321996.67</v>
      </c>
      <c r="AY207" s="4">
        <v>2214651.1</v>
      </c>
      <c r="AZ207" s="4">
        <v>609250</v>
      </c>
      <c r="BA207" s="4">
        <v>32997.51</v>
      </c>
      <c r="BB207" s="4">
        <f t="shared" ref="BB207:BB218" si="31">SUM(B207:BA207)</f>
        <v>520674449.93999988</v>
      </c>
    </row>
    <row r="208" spans="1:54" x14ac:dyDescent="0.2">
      <c r="A208" s="3">
        <v>40210</v>
      </c>
      <c r="B208" s="4">
        <v>0</v>
      </c>
      <c r="C208" s="4">
        <v>572352.6</v>
      </c>
      <c r="D208" s="4">
        <v>0</v>
      </c>
      <c r="E208" s="4">
        <v>0</v>
      </c>
      <c r="F208" s="4">
        <v>0</v>
      </c>
      <c r="G208" s="4">
        <v>167155.76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171229.54</v>
      </c>
      <c r="N208" s="4">
        <v>129916.56999999999</v>
      </c>
      <c r="O208" s="4">
        <v>162649.47000000003</v>
      </c>
      <c r="P208" s="4">
        <v>626526.27</v>
      </c>
      <c r="Q208" s="4">
        <v>184954.34999999998</v>
      </c>
      <c r="R208" s="4">
        <v>0</v>
      </c>
      <c r="S208" s="4">
        <v>132614.29</v>
      </c>
      <c r="T208" s="4">
        <v>34203.659999999996</v>
      </c>
      <c r="U208" s="4">
        <v>0</v>
      </c>
      <c r="V208" s="4">
        <v>1249562.8400000001</v>
      </c>
      <c r="W208" s="4">
        <v>374666283.69999999</v>
      </c>
      <c r="X208" s="4">
        <v>377700.60000000003</v>
      </c>
      <c r="Y208" s="4">
        <v>47488397.370000005</v>
      </c>
      <c r="Z208" s="4">
        <v>2695.29</v>
      </c>
      <c r="AA208" s="4"/>
      <c r="AB208" s="4">
        <v>0</v>
      </c>
      <c r="AC208" s="4">
        <v>101657.14</v>
      </c>
      <c r="AD208" s="4">
        <v>1576058.0499999998</v>
      </c>
      <c r="AE208" s="4">
        <v>0</v>
      </c>
      <c r="AF208" s="4">
        <v>106717.65</v>
      </c>
      <c r="AG208" s="4">
        <v>0</v>
      </c>
      <c r="AH208" s="4">
        <v>299327.62</v>
      </c>
      <c r="AI208" s="4">
        <v>286664.56</v>
      </c>
      <c r="AJ208" s="4">
        <v>0</v>
      </c>
      <c r="AK208" s="4">
        <v>692453.71</v>
      </c>
      <c r="AL208" s="4">
        <v>0</v>
      </c>
      <c r="AM208" s="4">
        <v>41599.550000000003</v>
      </c>
      <c r="AN208" s="4">
        <v>0</v>
      </c>
      <c r="AO208" s="4">
        <v>421596.17</v>
      </c>
      <c r="AP208" s="4">
        <v>0</v>
      </c>
      <c r="AQ208" s="4">
        <v>38307.61</v>
      </c>
      <c r="AR208" s="4">
        <v>494230.92999999993</v>
      </c>
      <c r="AS208" s="4">
        <v>0</v>
      </c>
      <c r="AT208" s="4">
        <v>0</v>
      </c>
      <c r="AU208" s="4">
        <v>0</v>
      </c>
      <c r="AV208" s="4">
        <v>570860.94999999995</v>
      </c>
      <c r="AW208" s="4">
        <v>3378947.07</v>
      </c>
      <c r="AX208" s="4">
        <v>2747933.13</v>
      </c>
      <c r="AY208" s="4">
        <v>1831938.58</v>
      </c>
      <c r="AZ208" s="4">
        <v>667900</v>
      </c>
      <c r="BA208" s="4">
        <v>120813.21</v>
      </c>
      <c r="BB208" s="4">
        <f t="shared" si="31"/>
        <v>439343248.24000001</v>
      </c>
    </row>
    <row r="209" spans="1:54" x14ac:dyDescent="0.2">
      <c r="A209" s="3">
        <v>40238</v>
      </c>
      <c r="B209" s="4">
        <v>815.25</v>
      </c>
      <c r="C209" s="4">
        <v>727862.54</v>
      </c>
      <c r="D209" s="4">
        <v>2027.93</v>
      </c>
      <c r="E209" s="4">
        <v>0</v>
      </c>
      <c r="F209" s="4">
        <v>6802.04</v>
      </c>
      <c r="G209" s="4">
        <v>211951.72000000003</v>
      </c>
      <c r="H209" s="4">
        <v>507.02</v>
      </c>
      <c r="I209" s="4">
        <v>13615.78</v>
      </c>
      <c r="J209" s="4">
        <v>29601.88</v>
      </c>
      <c r="K209" s="4">
        <v>5407.81</v>
      </c>
      <c r="L209" s="4">
        <v>0</v>
      </c>
      <c r="M209" s="4">
        <v>265375.31000000006</v>
      </c>
      <c r="N209" s="4">
        <v>255299.27</v>
      </c>
      <c r="O209" s="4">
        <v>240288.7</v>
      </c>
      <c r="P209" s="4">
        <v>1033212.6599999999</v>
      </c>
      <c r="Q209" s="4">
        <v>375413.64</v>
      </c>
      <c r="R209" s="4">
        <v>0</v>
      </c>
      <c r="S209" s="4">
        <v>225985.2</v>
      </c>
      <c r="T209" s="4">
        <v>199253.29</v>
      </c>
      <c r="U209" s="4">
        <v>0</v>
      </c>
      <c r="V209" s="4">
        <v>1517840.9</v>
      </c>
      <c r="W209" s="4">
        <v>494877672.13999999</v>
      </c>
      <c r="X209" s="4">
        <v>438353.45</v>
      </c>
      <c r="Y209" s="4">
        <v>75872358.789999992</v>
      </c>
      <c r="Z209" s="4">
        <v>6820078.8899999997</v>
      </c>
      <c r="AA209" s="4"/>
      <c r="AB209" s="4">
        <v>0</v>
      </c>
      <c r="AC209" s="4">
        <v>74441.850000000006</v>
      </c>
      <c r="AD209" s="4">
        <v>2141256.21</v>
      </c>
      <c r="AE209" s="4">
        <v>0</v>
      </c>
      <c r="AF209" s="4">
        <v>83734.360000000015</v>
      </c>
      <c r="AG209" s="4">
        <v>3214.03</v>
      </c>
      <c r="AH209" s="4">
        <v>342114.45999999996</v>
      </c>
      <c r="AI209" s="4">
        <v>390680.53</v>
      </c>
      <c r="AJ209" s="4">
        <v>0</v>
      </c>
      <c r="AK209" s="4">
        <v>1103903.8399999999</v>
      </c>
      <c r="AL209" s="4">
        <v>148.07</v>
      </c>
      <c r="AM209" s="4">
        <v>68098.23</v>
      </c>
      <c r="AN209" s="4">
        <v>0</v>
      </c>
      <c r="AO209" s="4">
        <v>700486.62</v>
      </c>
      <c r="AP209" s="4">
        <v>0</v>
      </c>
      <c r="AQ209" s="4">
        <v>57734.67</v>
      </c>
      <c r="AR209" s="4">
        <v>790502.21</v>
      </c>
      <c r="AS209" s="4">
        <v>885.58</v>
      </c>
      <c r="AT209" s="4">
        <v>0</v>
      </c>
      <c r="AU209" s="4">
        <v>0</v>
      </c>
      <c r="AV209" s="4">
        <v>899859.64</v>
      </c>
      <c r="AW209" s="4">
        <v>3724875.7800000003</v>
      </c>
      <c r="AX209" s="4">
        <v>3232308.18</v>
      </c>
      <c r="AY209" s="4">
        <v>2154793.4700000002</v>
      </c>
      <c r="AZ209" s="4">
        <v>652615.1</v>
      </c>
      <c r="BA209" s="4">
        <v>8443506.7100000009</v>
      </c>
      <c r="BB209" s="4">
        <f t="shared" si="31"/>
        <v>607984883.75000012</v>
      </c>
    </row>
    <row r="210" spans="1:54" x14ac:dyDescent="0.2">
      <c r="A210" s="3">
        <v>40269</v>
      </c>
      <c r="B210" s="4">
        <v>0</v>
      </c>
      <c r="C210" s="4">
        <v>617957.13</v>
      </c>
      <c r="D210" s="4">
        <v>0</v>
      </c>
      <c r="E210" s="4">
        <v>0</v>
      </c>
      <c r="F210" s="4">
        <v>0</v>
      </c>
      <c r="G210" s="4">
        <v>243443.26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198596.90999999997</v>
      </c>
      <c r="N210" s="4">
        <v>163299.12999999998</v>
      </c>
      <c r="O210" s="4">
        <v>178473.84000000003</v>
      </c>
      <c r="P210" s="4">
        <v>717351.66999999993</v>
      </c>
      <c r="Q210" s="4">
        <v>218252.69</v>
      </c>
      <c r="R210" s="4">
        <v>0</v>
      </c>
      <c r="S210" s="4">
        <v>197060.59</v>
      </c>
      <c r="T210" s="4">
        <v>55887.450000000004</v>
      </c>
      <c r="U210" s="4">
        <v>0</v>
      </c>
      <c r="V210" s="4">
        <v>1398869.13</v>
      </c>
      <c r="W210" s="4">
        <v>395799070.46000004</v>
      </c>
      <c r="X210" s="4">
        <v>418149.83999999997</v>
      </c>
      <c r="Y210" s="4">
        <v>52385977.719999999</v>
      </c>
      <c r="Z210" s="4">
        <v>2550.0300000000002</v>
      </c>
      <c r="AA210" s="4"/>
      <c r="AB210" s="4">
        <v>0</v>
      </c>
      <c r="AC210" s="4">
        <v>95884.69</v>
      </c>
      <c r="AD210" s="4">
        <v>1841699.71</v>
      </c>
      <c r="AE210" s="4">
        <v>0</v>
      </c>
      <c r="AF210" s="4">
        <v>96894.28</v>
      </c>
      <c r="AG210" s="4">
        <v>0</v>
      </c>
      <c r="AH210" s="4">
        <v>297249.49000000005</v>
      </c>
      <c r="AI210" s="4">
        <v>333228.88</v>
      </c>
      <c r="AJ210" s="4">
        <v>0</v>
      </c>
      <c r="AK210" s="4">
        <v>892405.08000000007</v>
      </c>
      <c r="AL210" s="4">
        <v>0</v>
      </c>
      <c r="AM210" s="4">
        <v>38108.839999999997</v>
      </c>
      <c r="AN210" s="4">
        <v>0</v>
      </c>
      <c r="AO210" s="4">
        <v>482663.52999999997</v>
      </c>
      <c r="AP210" s="4">
        <v>0</v>
      </c>
      <c r="AQ210" s="4">
        <v>37601.919999999998</v>
      </c>
      <c r="AR210" s="4">
        <v>608700.34000000008</v>
      </c>
      <c r="AS210" s="4">
        <v>0</v>
      </c>
      <c r="AT210" s="4">
        <v>0</v>
      </c>
      <c r="AU210" s="4">
        <v>7945.27</v>
      </c>
      <c r="AV210" s="4">
        <v>679060.6</v>
      </c>
      <c r="AW210" s="4">
        <v>3351743.27</v>
      </c>
      <c r="AX210" s="4">
        <v>2856074.7499999995</v>
      </c>
      <c r="AY210" s="4">
        <v>1904025.04</v>
      </c>
      <c r="AZ210" s="4">
        <v>624550</v>
      </c>
      <c r="BA210" s="4">
        <v>60524.25</v>
      </c>
      <c r="BB210" s="4">
        <f t="shared" si="31"/>
        <v>466803299.7899999</v>
      </c>
    </row>
    <row r="211" spans="1:54" x14ac:dyDescent="0.2">
      <c r="A211" s="3">
        <v>40299</v>
      </c>
      <c r="B211" s="4">
        <v>0</v>
      </c>
      <c r="C211" s="4">
        <v>611511.94999999995</v>
      </c>
      <c r="D211" s="4">
        <v>0</v>
      </c>
      <c r="E211" s="4">
        <v>0</v>
      </c>
      <c r="F211" s="4">
        <v>0</v>
      </c>
      <c r="G211" s="4">
        <v>189321.07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190396.99000000002</v>
      </c>
      <c r="N211" s="4">
        <v>155694.85999999999</v>
      </c>
      <c r="O211" s="4">
        <v>169683.31</v>
      </c>
      <c r="P211" s="4">
        <v>703679.12</v>
      </c>
      <c r="Q211" s="4">
        <v>234480.88</v>
      </c>
      <c r="R211" s="4">
        <v>0</v>
      </c>
      <c r="S211" s="4">
        <v>189030.92</v>
      </c>
      <c r="T211" s="4">
        <v>60263.399999999994</v>
      </c>
      <c r="U211" s="4">
        <v>0</v>
      </c>
      <c r="V211" s="4">
        <v>1338960.2699999998</v>
      </c>
      <c r="W211" s="4">
        <v>387471394.09999996</v>
      </c>
      <c r="X211" s="4">
        <v>404746.58</v>
      </c>
      <c r="Y211" s="4">
        <v>50905371.239999995</v>
      </c>
      <c r="Z211" s="4">
        <v>9492.7999999999993</v>
      </c>
      <c r="AA211" s="4"/>
      <c r="AB211" s="4">
        <v>0</v>
      </c>
      <c r="AC211" s="4">
        <v>82672.13</v>
      </c>
      <c r="AD211" s="4">
        <v>1784486.76</v>
      </c>
      <c r="AE211" s="4">
        <v>0</v>
      </c>
      <c r="AF211" s="4">
        <v>94949.400000000009</v>
      </c>
      <c r="AG211" s="4">
        <v>0</v>
      </c>
      <c r="AH211" s="4">
        <v>290547.08999999997</v>
      </c>
      <c r="AI211" s="4">
        <v>320217.68</v>
      </c>
      <c r="AJ211" s="4">
        <v>0</v>
      </c>
      <c r="AK211" s="4">
        <v>839506.26</v>
      </c>
      <c r="AL211" s="4">
        <v>0</v>
      </c>
      <c r="AM211" s="4">
        <v>35225.93</v>
      </c>
      <c r="AN211" s="4">
        <v>0</v>
      </c>
      <c r="AO211" s="4">
        <v>469571.87000000005</v>
      </c>
      <c r="AP211" s="4">
        <v>0</v>
      </c>
      <c r="AQ211" s="4">
        <v>39868.32</v>
      </c>
      <c r="AR211" s="4">
        <v>584170.94999999995</v>
      </c>
      <c r="AS211" s="4">
        <v>0</v>
      </c>
      <c r="AT211" s="4">
        <v>0</v>
      </c>
      <c r="AU211" s="4">
        <v>0</v>
      </c>
      <c r="AV211" s="4">
        <v>670119.57000000007</v>
      </c>
      <c r="AW211" s="4">
        <v>3295841.08</v>
      </c>
      <c r="AX211" s="4">
        <v>2765796.79</v>
      </c>
      <c r="AY211" s="4">
        <v>1843847.9</v>
      </c>
      <c r="AZ211" s="4">
        <v>344350</v>
      </c>
      <c r="BA211" s="4">
        <v>113377.37</v>
      </c>
      <c r="BB211" s="4">
        <f t="shared" si="31"/>
        <v>456208576.58999985</v>
      </c>
    </row>
    <row r="212" spans="1:54" x14ac:dyDescent="0.2">
      <c r="A212" s="3">
        <v>40330</v>
      </c>
      <c r="B212" s="4">
        <v>531.88</v>
      </c>
      <c r="C212" s="4">
        <v>786757.18</v>
      </c>
      <c r="D212" s="4">
        <v>908.98</v>
      </c>
      <c r="E212" s="4">
        <v>0</v>
      </c>
      <c r="F212" s="4">
        <v>646.55999999999995</v>
      </c>
      <c r="G212" s="4">
        <v>155392.74</v>
      </c>
      <c r="H212" s="4">
        <v>113.67</v>
      </c>
      <c r="I212" s="4">
        <v>925.01</v>
      </c>
      <c r="J212" s="4">
        <v>0</v>
      </c>
      <c r="K212" s="4">
        <v>1997.6</v>
      </c>
      <c r="L212" s="4">
        <v>0</v>
      </c>
      <c r="M212" s="4">
        <v>206708.69</v>
      </c>
      <c r="N212" s="4">
        <v>218973.3</v>
      </c>
      <c r="O212" s="4">
        <v>253835.94</v>
      </c>
      <c r="P212" s="4">
        <v>946253.2</v>
      </c>
      <c r="Q212" s="4">
        <v>361001.93</v>
      </c>
      <c r="R212" s="4">
        <v>0</v>
      </c>
      <c r="S212" s="4">
        <v>200775.69</v>
      </c>
      <c r="T212" s="4">
        <v>170496.92</v>
      </c>
      <c r="U212" s="4">
        <v>0</v>
      </c>
      <c r="V212" s="4">
        <v>1280343.6299999999</v>
      </c>
      <c r="W212" s="4">
        <v>550038265.13999999</v>
      </c>
      <c r="X212" s="4">
        <v>602980.08000000007</v>
      </c>
      <c r="Y212" s="4">
        <v>82094399.650000006</v>
      </c>
      <c r="Z212" s="4">
        <v>7312032.3200000003</v>
      </c>
      <c r="AA212" s="4"/>
      <c r="AB212" s="4">
        <v>0</v>
      </c>
      <c r="AC212" s="4">
        <v>91323.16</v>
      </c>
      <c r="AD212" s="4">
        <v>2154055.87</v>
      </c>
      <c r="AE212" s="4">
        <v>0</v>
      </c>
      <c r="AF212" s="4">
        <v>125798.6</v>
      </c>
      <c r="AG212" s="4">
        <v>387.7</v>
      </c>
      <c r="AH212" s="4">
        <v>395749.65</v>
      </c>
      <c r="AI212" s="4">
        <v>427390.23</v>
      </c>
      <c r="AJ212" s="4">
        <v>0</v>
      </c>
      <c r="AK212" s="4">
        <v>1227248.3500000001</v>
      </c>
      <c r="AL212" s="4">
        <v>96.64</v>
      </c>
      <c r="AM212" s="4">
        <v>46358.7</v>
      </c>
      <c r="AN212" s="4">
        <v>0</v>
      </c>
      <c r="AO212" s="4">
        <v>660794.80000000005</v>
      </c>
      <c r="AP212" s="4">
        <v>0</v>
      </c>
      <c r="AQ212" s="4">
        <v>73744.81</v>
      </c>
      <c r="AR212" s="4">
        <v>994360.15999999992</v>
      </c>
      <c r="AS212" s="4">
        <v>455.07</v>
      </c>
      <c r="AT212" s="4">
        <v>0</v>
      </c>
      <c r="AU212" s="4">
        <v>0</v>
      </c>
      <c r="AV212" s="4">
        <v>856428.57000000007</v>
      </c>
      <c r="AW212" s="4">
        <v>4073768.4699999997</v>
      </c>
      <c r="AX212" s="4">
        <v>3451179.62</v>
      </c>
      <c r="AY212" s="4">
        <v>2300772.1799999997</v>
      </c>
      <c r="AZ212" s="4">
        <v>469468.3</v>
      </c>
      <c r="BA212" s="4">
        <v>10163017.4</v>
      </c>
      <c r="BB212" s="4">
        <f t="shared" si="31"/>
        <v>672145738.38999999</v>
      </c>
    </row>
    <row r="213" spans="1:54" x14ac:dyDescent="0.2">
      <c r="A213" s="3">
        <v>40360</v>
      </c>
      <c r="B213" s="4">
        <v>0</v>
      </c>
      <c r="C213" s="4">
        <v>593568.72</v>
      </c>
      <c r="D213" s="4">
        <v>0</v>
      </c>
      <c r="E213" s="4">
        <v>0</v>
      </c>
      <c r="F213" s="4">
        <v>0</v>
      </c>
      <c r="G213" s="4">
        <v>175869.01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186518.02</v>
      </c>
      <c r="N213" s="4">
        <v>166477.07999999999</v>
      </c>
      <c r="O213" s="4">
        <v>203233.16000000003</v>
      </c>
      <c r="P213" s="4">
        <v>739331.28</v>
      </c>
      <c r="Q213" s="4">
        <v>246626.86</v>
      </c>
      <c r="R213" s="4">
        <v>0</v>
      </c>
      <c r="S213" s="4">
        <v>146845.54999999999</v>
      </c>
      <c r="T213" s="4">
        <v>80834.58</v>
      </c>
      <c r="U213" s="4">
        <v>0</v>
      </c>
      <c r="V213" s="4">
        <v>1311634.93</v>
      </c>
      <c r="W213" s="4">
        <v>401050232.13</v>
      </c>
      <c r="X213" s="4">
        <v>541604.84</v>
      </c>
      <c r="Y213" s="4">
        <v>54488859.090000004</v>
      </c>
      <c r="Z213" s="4">
        <v>28237.89</v>
      </c>
      <c r="AA213" s="4"/>
      <c r="AB213" s="4">
        <v>0</v>
      </c>
      <c r="AC213" s="4">
        <v>65639.34</v>
      </c>
      <c r="AD213" s="4">
        <v>1806455.2300000002</v>
      </c>
      <c r="AE213" s="4">
        <v>0</v>
      </c>
      <c r="AF213" s="4">
        <v>89037.319999999992</v>
      </c>
      <c r="AG213" s="4">
        <v>0</v>
      </c>
      <c r="AH213" s="4">
        <v>297866.37</v>
      </c>
      <c r="AI213" s="4">
        <v>334660.82</v>
      </c>
      <c r="AJ213" s="4">
        <v>0</v>
      </c>
      <c r="AK213" s="4">
        <v>844604.67</v>
      </c>
      <c r="AL213" s="4">
        <v>0</v>
      </c>
      <c r="AM213" s="4">
        <v>30765.510000000002</v>
      </c>
      <c r="AN213" s="4">
        <v>0</v>
      </c>
      <c r="AO213" s="4">
        <v>491243.62</v>
      </c>
      <c r="AP213" s="4">
        <v>0</v>
      </c>
      <c r="AQ213" s="4">
        <v>36531.69</v>
      </c>
      <c r="AR213" s="4">
        <v>847980.79</v>
      </c>
      <c r="AS213" s="4">
        <v>0</v>
      </c>
      <c r="AT213" s="4">
        <v>0</v>
      </c>
      <c r="AU213" s="4">
        <v>0</v>
      </c>
      <c r="AV213" s="4">
        <v>689303.45</v>
      </c>
      <c r="AW213" s="4">
        <v>3717403.25</v>
      </c>
      <c r="AX213" s="4">
        <v>2727429.2399999998</v>
      </c>
      <c r="AY213" s="4">
        <v>1818266.4899999998</v>
      </c>
      <c r="AZ213" s="4">
        <v>127500</v>
      </c>
      <c r="BA213" s="4">
        <v>57187.99</v>
      </c>
      <c r="BB213" s="4">
        <f t="shared" si="31"/>
        <v>473941748.92000002</v>
      </c>
    </row>
    <row r="214" spans="1:54" x14ac:dyDescent="0.2">
      <c r="A214" s="3">
        <v>40391</v>
      </c>
      <c r="B214" s="4">
        <v>0</v>
      </c>
      <c r="C214" s="4">
        <v>592759.16</v>
      </c>
      <c r="D214" s="4">
        <v>0</v>
      </c>
      <c r="E214" s="4">
        <v>0</v>
      </c>
      <c r="F214" s="4">
        <v>0</v>
      </c>
      <c r="G214" s="4">
        <v>176418.09000000003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190844.52000000002</v>
      </c>
      <c r="N214" s="4">
        <v>161753.09</v>
      </c>
      <c r="O214" s="4">
        <v>190438.25</v>
      </c>
      <c r="P214" s="4">
        <v>723448.32000000007</v>
      </c>
      <c r="Q214" s="4">
        <v>241406.45</v>
      </c>
      <c r="R214" s="4">
        <v>0</v>
      </c>
      <c r="S214" s="4">
        <v>147782.46</v>
      </c>
      <c r="T214" s="4">
        <v>81309.72</v>
      </c>
      <c r="U214" s="4">
        <v>0</v>
      </c>
      <c r="V214" s="4">
        <v>1317625.7599999998</v>
      </c>
      <c r="W214" s="4">
        <v>392237930.34999996</v>
      </c>
      <c r="X214" s="4">
        <v>503135.38</v>
      </c>
      <c r="Y214" s="4">
        <v>53749929.640000001</v>
      </c>
      <c r="Z214" s="4">
        <v>3300.36</v>
      </c>
      <c r="AA214" s="4"/>
      <c r="AB214" s="4">
        <v>0</v>
      </c>
      <c r="AC214" s="4">
        <v>70053.05</v>
      </c>
      <c r="AD214" s="4">
        <v>1800589.3399999999</v>
      </c>
      <c r="AE214" s="4">
        <v>0</v>
      </c>
      <c r="AF214" s="4">
        <v>87728.98000000001</v>
      </c>
      <c r="AG214" s="4">
        <v>0</v>
      </c>
      <c r="AH214" s="4">
        <v>296013.78999999998</v>
      </c>
      <c r="AI214" s="4">
        <v>323941.39</v>
      </c>
      <c r="AJ214" s="4">
        <v>0</v>
      </c>
      <c r="AK214" s="4">
        <v>869949.66</v>
      </c>
      <c r="AL214" s="4">
        <v>0</v>
      </c>
      <c r="AM214" s="4">
        <v>31291.170000000002</v>
      </c>
      <c r="AN214" s="4">
        <v>0</v>
      </c>
      <c r="AO214" s="4">
        <v>487909.3</v>
      </c>
      <c r="AP214" s="4">
        <v>0</v>
      </c>
      <c r="AQ214" s="4">
        <v>37965.65</v>
      </c>
      <c r="AR214" s="4">
        <v>841786.52000000014</v>
      </c>
      <c r="AS214" s="4">
        <v>0</v>
      </c>
      <c r="AT214" s="4">
        <v>0</v>
      </c>
      <c r="AU214" s="4">
        <v>0</v>
      </c>
      <c r="AV214" s="4">
        <v>669063.27</v>
      </c>
      <c r="AW214" s="4">
        <v>3772094.34</v>
      </c>
      <c r="AX214" s="4">
        <v>2772246.6599999997</v>
      </c>
      <c r="AY214" s="4">
        <v>1848144.04</v>
      </c>
      <c r="AZ214" s="4">
        <v>84600</v>
      </c>
      <c r="BA214" s="4">
        <v>86780.78</v>
      </c>
      <c r="BB214" s="4">
        <f t="shared" si="31"/>
        <v>464398239.48999995</v>
      </c>
    </row>
    <row r="215" spans="1:54" x14ac:dyDescent="0.2">
      <c r="A215" s="3">
        <v>40422</v>
      </c>
      <c r="B215" s="4">
        <v>100.38</v>
      </c>
      <c r="C215" s="4">
        <v>884126.35999999987</v>
      </c>
      <c r="D215" s="4">
        <v>1787.57</v>
      </c>
      <c r="E215" s="4">
        <v>0</v>
      </c>
      <c r="F215" s="4">
        <v>1569.32</v>
      </c>
      <c r="G215" s="4">
        <v>277382.42</v>
      </c>
      <c r="H215" s="4">
        <v>0</v>
      </c>
      <c r="I215" s="4">
        <v>374.16</v>
      </c>
      <c r="J215" s="4">
        <v>0</v>
      </c>
      <c r="K215" s="4">
        <v>2878.53</v>
      </c>
      <c r="L215" s="4">
        <v>0</v>
      </c>
      <c r="M215" s="4">
        <v>246534.22999999998</v>
      </c>
      <c r="N215" s="4">
        <v>220913.35</v>
      </c>
      <c r="O215" s="4">
        <v>262687.65000000002</v>
      </c>
      <c r="P215" s="4">
        <v>959821.53</v>
      </c>
      <c r="Q215" s="4">
        <v>267084.59999999998</v>
      </c>
      <c r="R215" s="4">
        <v>0</v>
      </c>
      <c r="S215" s="4">
        <v>342665.06</v>
      </c>
      <c r="T215" s="4">
        <v>258323.85</v>
      </c>
      <c r="U215" s="4">
        <v>0</v>
      </c>
      <c r="V215" s="4">
        <v>1508838.42</v>
      </c>
      <c r="W215" s="4">
        <v>553586244.82999992</v>
      </c>
      <c r="X215" s="4">
        <v>774196.15999999992</v>
      </c>
      <c r="Y215" s="4">
        <v>81040327.770000011</v>
      </c>
      <c r="Z215" s="4">
        <v>10962722.470000001</v>
      </c>
      <c r="AA215" s="4"/>
      <c r="AB215" s="4">
        <v>0</v>
      </c>
      <c r="AC215" s="4">
        <v>100883.03</v>
      </c>
      <c r="AD215" s="4">
        <v>2194703.0700000003</v>
      </c>
      <c r="AE215" s="4">
        <v>0</v>
      </c>
      <c r="AF215" s="4">
        <v>168248.12</v>
      </c>
      <c r="AG215" s="4">
        <v>369.84</v>
      </c>
      <c r="AH215" s="4">
        <v>452792.07</v>
      </c>
      <c r="AI215" s="4">
        <v>415100.87</v>
      </c>
      <c r="AJ215" s="4">
        <v>0</v>
      </c>
      <c r="AK215" s="4">
        <v>1250116.23</v>
      </c>
      <c r="AL215" s="4">
        <v>0</v>
      </c>
      <c r="AM215" s="4">
        <v>47633.14</v>
      </c>
      <c r="AN215" s="4">
        <v>0</v>
      </c>
      <c r="AO215" s="4">
        <v>602601.65</v>
      </c>
      <c r="AP215" s="4">
        <v>0</v>
      </c>
      <c r="AQ215" s="4">
        <v>65154.5</v>
      </c>
      <c r="AR215" s="4">
        <v>985561.59</v>
      </c>
      <c r="AS215" s="4">
        <v>81.84</v>
      </c>
      <c r="AT215" s="4">
        <v>0</v>
      </c>
      <c r="AU215" s="4">
        <v>0</v>
      </c>
      <c r="AV215" s="4">
        <v>893412.07</v>
      </c>
      <c r="AW215" s="4">
        <v>4598468.5</v>
      </c>
      <c r="AX215" s="4">
        <v>3183696.5</v>
      </c>
      <c r="AY215" s="4">
        <v>2122376.87</v>
      </c>
      <c r="AZ215" s="4">
        <v>511271.51</v>
      </c>
      <c r="BA215" s="4">
        <v>9339903.0199999996</v>
      </c>
      <c r="BB215" s="4">
        <f t="shared" si="31"/>
        <v>678530953.08000004</v>
      </c>
    </row>
    <row r="216" spans="1:54" x14ac:dyDescent="0.2">
      <c r="A216" s="3">
        <v>40452</v>
      </c>
      <c r="B216" s="4">
        <v>0</v>
      </c>
      <c r="C216" s="4">
        <v>601084.91</v>
      </c>
      <c r="D216" s="4">
        <v>0</v>
      </c>
      <c r="E216" s="4">
        <v>0</v>
      </c>
      <c r="F216" s="4">
        <v>0</v>
      </c>
      <c r="G216" s="4">
        <v>157867.87999999998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188060.81</v>
      </c>
      <c r="N216" s="4">
        <v>148412.83000000002</v>
      </c>
      <c r="O216" s="4">
        <v>189849.89</v>
      </c>
      <c r="P216" s="4">
        <v>740046.48</v>
      </c>
      <c r="Q216" s="4">
        <v>220910.78999999998</v>
      </c>
      <c r="R216" s="4">
        <v>0</v>
      </c>
      <c r="S216" s="4">
        <v>152062.89000000001</v>
      </c>
      <c r="T216" s="4">
        <v>58955.05</v>
      </c>
      <c r="U216" s="4">
        <v>0</v>
      </c>
      <c r="V216" s="4">
        <v>1207127.93</v>
      </c>
      <c r="W216" s="4">
        <v>406478775.91000003</v>
      </c>
      <c r="X216" s="4">
        <v>383561.01999999996</v>
      </c>
      <c r="Y216" s="4">
        <v>54567168.310000002</v>
      </c>
      <c r="Z216" s="4">
        <v>4647.88</v>
      </c>
      <c r="AA216" s="4"/>
      <c r="AB216" s="4">
        <v>0</v>
      </c>
      <c r="AC216" s="4">
        <v>83172.75</v>
      </c>
      <c r="AD216" s="4">
        <v>1692249.77</v>
      </c>
      <c r="AE216" s="4">
        <v>0</v>
      </c>
      <c r="AF216" s="4">
        <v>89195.859999999986</v>
      </c>
      <c r="AG216" s="4">
        <v>0</v>
      </c>
      <c r="AH216" s="4">
        <v>309508.47999999998</v>
      </c>
      <c r="AI216" s="4">
        <v>319552.32999999996</v>
      </c>
      <c r="AJ216" s="4">
        <v>0</v>
      </c>
      <c r="AK216" s="4">
        <v>830347.57</v>
      </c>
      <c r="AL216" s="4">
        <v>0</v>
      </c>
      <c r="AM216" s="4">
        <v>30471.25</v>
      </c>
      <c r="AN216" s="4">
        <v>0</v>
      </c>
      <c r="AO216" s="4">
        <v>462337.87</v>
      </c>
      <c r="AP216" s="4">
        <v>0</v>
      </c>
      <c r="AQ216" s="4">
        <v>35309.56</v>
      </c>
      <c r="AR216" s="4">
        <v>623624.61</v>
      </c>
      <c r="AS216" s="4">
        <v>0</v>
      </c>
      <c r="AT216" s="4">
        <v>0</v>
      </c>
      <c r="AU216" s="4">
        <v>0</v>
      </c>
      <c r="AV216" s="4">
        <v>631851.89999999991</v>
      </c>
      <c r="AW216" s="4">
        <v>4469015.04</v>
      </c>
      <c r="AX216" s="4">
        <v>2704269.09</v>
      </c>
      <c r="AY216" s="4">
        <v>1802829.0699999998</v>
      </c>
      <c r="AZ216" s="4">
        <v>27150</v>
      </c>
      <c r="BA216" s="4">
        <v>52551.360000000001</v>
      </c>
      <c r="BB216" s="4">
        <f t="shared" si="31"/>
        <v>479261969.08999997</v>
      </c>
    </row>
    <row r="217" spans="1:54" x14ac:dyDescent="0.2">
      <c r="A217" s="3">
        <v>40483</v>
      </c>
      <c r="B217" s="4">
        <v>0</v>
      </c>
      <c r="C217" s="4">
        <v>612007.96</v>
      </c>
      <c r="D217" s="4">
        <v>0</v>
      </c>
      <c r="E217" s="4">
        <v>0</v>
      </c>
      <c r="F217" s="4">
        <v>0</v>
      </c>
      <c r="G217" s="4">
        <v>168448.15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188651.6</v>
      </c>
      <c r="N217" s="4">
        <v>155279.51999999999</v>
      </c>
      <c r="O217" s="4">
        <v>198466.77000000002</v>
      </c>
      <c r="P217" s="4">
        <v>754086.43</v>
      </c>
      <c r="Q217" s="4">
        <v>228970.71</v>
      </c>
      <c r="R217" s="4">
        <v>0</v>
      </c>
      <c r="S217" s="4">
        <v>163525.88999999998</v>
      </c>
      <c r="T217" s="4">
        <v>55571.599999999991</v>
      </c>
      <c r="U217" s="4">
        <v>0</v>
      </c>
      <c r="V217" s="4">
        <v>1249716.79</v>
      </c>
      <c r="W217" s="4">
        <v>425399734.29000002</v>
      </c>
      <c r="X217" s="4">
        <v>409476.06</v>
      </c>
      <c r="Y217" s="4">
        <v>57066129.600000001</v>
      </c>
      <c r="Z217" s="4">
        <v>2415.29</v>
      </c>
      <c r="AA217" s="4"/>
      <c r="AB217" s="4">
        <v>0</v>
      </c>
      <c r="AC217" s="4">
        <v>79518.44</v>
      </c>
      <c r="AD217" s="4">
        <v>1766583.55</v>
      </c>
      <c r="AE217" s="4">
        <v>0</v>
      </c>
      <c r="AF217" s="4">
        <v>92794.13</v>
      </c>
      <c r="AG217" s="4">
        <v>0</v>
      </c>
      <c r="AH217" s="4">
        <v>318981.35000000003</v>
      </c>
      <c r="AI217" s="4">
        <v>329774.38</v>
      </c>
      <c r="AJ217" s="4">
        <v>0</v>
      </c>
      <c r="AK217" s="4">
        <v>855052.67999999993</v>
      </c>
      <c r="AL217" s="4">
        <v>0</v>
      </c>
      <c r="AM217" s="4">
        <v>36315.97</v>
      </c>
      <c r="AN217" s="4">
        <v>0</v>
      </c>
      <c r="AO217" s="4">
        <v>484412.54000000004</v>
      </c>
      <c r="AP217" s="4">
        <v>0</v>
      </c>
      <c r="AQ217" s="4">
        <v>38228.839999999997</v>
      </c>
      <c r="AR217" s="4">
        <v>649827.63</v>
      </c>
      <c r="AS217" s="4">
        <v>0</v>
      </c>
      <c r="AT217" s="4">
        <v>0</v>
      </c>
      <c r="AU217" s="4">
        <v>0</v>
      </c>
      <c r="AV217" s="4">
        <v>657322.27</v>
      </c>
      <c r="AW217" s="4">
        <v>4003728.61</v>
      </c>
      <c r="AX217" s="4">
        <v>2853476.76</v>
      </c>
      <c r="AY217" s="4">
        <v>1902300.7499999998</v>
      </c>
      <c r="AZ217" s="4">
        <v>18150</v>
      </c>
      <c r="BA217" s="4">
        <v>69944</v>
      </c>
      <c r="BB217" s="4">
        <f t="shared" si="31"/>
        <v>500808892.56000012</v>
      </c>
    </row>
    <row r="218" spans="1:54" x14ac:dyDescent="0.2">
      <c r="A218" s="3">
        <v>40513</v>
      </c>
      <c r="B218" s="4">
        <v>334.4</v>
      </c>
      <c r="C218" s="4">
        <v>816432.66</v>
      </c>
      <c r="D218" s="4">
        <v>276.41000000000003</v>
      </c>
      <c r="E218" s="4">
        <v>0</v>
      </c>
      <c r="F218" s="4">
        <v>1003.6</v>
      </c>
      <c r="G218" s="4">
        <v>353760.84</v>
      </c>
      <c r="H218" s="4">
        <v>0</v>
      </c>
      <c r="I218" s="4">
        <v>638.53</v>
      </c>
      <c r="J218" s="4">
        <v>0</v>
      </c>
      <c r="K218" s="4">
        <v>1174.19</v>
      </c>
      <c r="L218" s="4">
        <v>0</v>
      </c>
      <c r="M218" s="4">
        <v>264929.14</v>
      </c>
      <c r="N218" s="4">
        <v>230380.81</v>
      </c>
      <c r="O218" s="4">
        <v>231935.14</v>
      </c>
      <c r="P218" s="4">
        <v>976494.82000000007</v>
      </c>
      <c r="Q218" s="4">
        <v>321912.8</v>
      </c>
      <c r="R218" s="4">
        <v>0</v>
      </c>
      <c r="S218" s="4">
        <v>209023.24</v>
      </c>
      <c r="T218" s="4">
        <v>172925.90000000002</v>
      </c>
      <c r="U218" s="4">
        <v>0</v>
      </c>
      <c r="V218" s="4">
        <v>1733174.43</v>
      </c>
      <c r="W218" s="4">
        <v>587449500.67000008</v>
      </c>
      <c r="X218" s="4">
        <v>703471.7</v>
      </c>
      <c r="Y218" s="4">
        <v>81962328.189999998</v>
      </c>
      <c r="Z218" s="4">
        <v>9087202.5800000001</v>
      </c>
      <c r="AA218" s="4"/>
      <c r="AB218" s="4">
        <v>0</v>
      </c>
      <c r="AC218" s="4">
        <v>62438.689999999995</v>
      </c>
      <c r="AD218" s="4">
        <v>2390976.41</v>
      </c>
      <c r="AE218" s="4">
        <v>0</v>
      </c>
      <c r="AF218" s="4">
        <v>153208.84</v>
      </c>
      <c r="AG218" s="4">
        <v>126.63</v>
      </c>
      <c r="AH218" s="4">
        <v>583345.55000000005</v>
      </c>
      <c r="AI218" s="4">
        <v>375632.54000000004</v>
      </c>
      <c r="AJ218" s="4">
        <v>0</v>
      </c>
      <c r="AK218" s="4">
        <v>1280693.7799999998</v>
      </c>
      <c r="AL218" s="4">
        <v>0</v>
      </c>
      <c r="AM218" s="4">
        <v>52723.95</v>
      </c>
      <c r="AN218" s="4">
        <v>0</v>
      </c>
      <c r="AO218" s="4">
        <v>676459.39</v>
      </c>
      <c r="AP218" s="4">
        <v>0</v>
      </c>
      <c r="AQ218" s="4">
        <v>61681.93</v>
      </c>
      <c r="AR218" s="4">
        <v>992628.68</v>
      </c>
      <c r="AS218" s="4">
        <v>61.87</v>
      </c>
      <c r="AT218" s="4">
        <v>0</v>
      </c>
      <c r="AU218" s="4">
        <v>0</v>
      </c>
      <c r="AV218" s="4">
        <v>897854.70000000007</v>
      </c>
      <c r="AW218" s="4">
        <v>5013973.3900000006</v>
      </c>
      <c r="AX218" s="4">
        <v>3664147.96</v>
      </c>
      <c r="AY218" s="4">
        <v>2442712.1</v>
      </c>
      <c r="AZ218" s="4">
        <v>137558.73000000001</v>
      </c>
      <c r="BA218" s="4">
        <v>9758664.3499999996</v>
      </c>
      <c r="BB218" s="4">
        <f t="shared" si="31"/>
        <v>713061789.54000008</v>
      </c>
    </row>
    <row r="219" spans="1:54" ht="15.75" thickBot="1" x14ac:dyDescent="0.25">
      <c r="A219" s="1" t="s">
        <v>157</v>
      </c>
      <c r="B219" s="5">
        <f t="shared" ref="B219:BB219" si="32">SUM(B207:B218)</f>
        <v>1781.9100000000003</v>
      </c>
      <c r="C219" s="5">
        <f t="shared" si="32"/>
        <v>8098685.6000000006</v>
      </c>
      <c r="D219" s="5">
        <f t="shared" si="32"/>
        <v>5000.8899999999994</v>
      </c>
      <c r="E219" s="5">
        <f t="shared" si="32"/>
        <v>0</v>
      </c>
      <c r="F219" s="5">
        <f t="shared" si="32"/>
        <v>10021.52</v>
      </c>
      <c r="G219" s="5">
        <f t="shared" si="32"/>
        <v>2462938.8699999996</v>
      </c>
      <c r="H219" s="5">
        <f t="shared" si="32"/>
        <v>620.68999999999994</v>
      </c>
      <c r="I219" s="5">
        <f t="shared" si="32"/>
        <v>15553.480000000001</v>
      </c>
      <c r="J219" s="5">
        <f t="shared" si="32"/>
        <v>29601.88</v>
      </c>
      <c r="K219" s="5">
        <f t="shared" si="32"/>
        <v>11458.130000000001</v>
      </c>
      <c r="L219" s="5">
        <f t="shared" si="32"/>
        <v>0</v>
      </c>
      <c r="M219" s="5">
        <f t="shared" si="32"/>
        <v>2509843.8400000003</v>
      </c>
      <c r="N219" s="5">
        <f t="shared" si="32"/>
        <v>2157816.14</v>
      </c>
      <c r="O219" s="5">
        <f t="shared" si="32"/>
        <v>2478584.5000000005</v>
      </c>
      <c r="P219" s="5">
        <f t="shared" si="32"/>
        <v>9643204.7600000016</v>
      </c>
      <c r="Q219" s="5">
        <f t="shared" si="32"/>
        <v>3120107.2499999995</v>
      </c>
      <c r="R219" s="5">
        <f t="shared" si="32"/>
        <v>0</v>
      </c>
      <c r="S219" s="5">
        <f t="shared" si="32"/>
        <v>2269973.7600000002</v>
      </c>
      <c r="T219" s="5">
        <f t="shared" si="32"/>
        <v>1278849.25</v>
      </c>
      <c r="U219" s="5">
        <f t="shared" si="32"/>
        <v>0</v>
      </c>
      <c r="V219" s="5">
        <f t="shared" si="32"/>
        <v>16603778.289999999</v>
      </c>
      <c r="W219" s="5">
        <f t="shared" si="32"/>
        <v>5413620355.0199995</v>
      </c>
      <c r="X219" s="5">
        <f t="shared" si="32"/>
        <v>6012879.629999999</v>
      </c>
      <c r="Y219" s="5">
        <f t="shared" si="32"/>
        <v>747365855.04999995</v>
      </c>
      <c r="Z219" s="5">
        <f t="shared" si="32"/>
        <v>34243851.630000003</v>
      </c>
      <c r="AA219" s="5"/>
      <c r="AB219" s="5">
        <f t="shared" si="32"/>
        <v>0</v>
      </c>
      <c r="AC219" s="5">
        <f t="shared" si="32"/>
        <v>1029557.79</v>
      </c>
      <c r="AD219" s="5">
        <f t="shared" si="32"/>
        <v>23050401.300000001</v>
      </c>
      <c r="AE219" s="5">
        <f t="shared" si="32"/>
        <v>0</v>
      </c>
      <c r="AF219" s="5">
        <f t="shared" si="32"/>
        <v>1315324.6300000001</v>
      </c>
      <c r="AG219" s="5">
        <f t="shared" si="32"/>
        <v>4098.2</v>
      </c>
      <c r="AH219" s="5">
        <f t="shared" si="32"/>
        <v>4238318.76</v>
      </c>
      <c r="AI219" s="5">
        <f t="shared" si="32"/>
        <v>4208326.76</v>
      </c>
      <c r="AJ219" s="5">
        <f t="shared" si="32"/>
        <v>0</v>
      </c>
      <c r="AK219" s="5">
        <f t="shared" si="32"/>
        <v>11524034.93</v>
      </c>
      <c r="AL219" s="5">
        <f t="shared" si="32"/>
        <v>244.70999999999998</v>
      </c>
      <c r="AM219" s="5">
        <f t="shared" si="32"/>
        <v>508225.22000000003</v>
      </c>
      <c r="AN219" s="5">
        <f t="shared" si="32"/>
        <v>0</v>
      </c>
      <c r="AO219" s="5">
        <f t="shared" si="32"/>
        <v>6466813.7400000002</v>
      </c>
      <c r="AP219" s="5">
        <f t="shared" si="32"/>
        <v>0</v>
      </c>
      <c r="AQ219" s="5">
        <f t="shared" si="32"/>
        <v>565273.63000000012</v>
      </c>
      <c r="AR219" s="5">
        <f t="shared" si="32"/>
        <v>8971281.5000000019</v>
      </c>
      <c r="AS219" s="5">
        <f t="shared" si="32"/>
        <v>1484.36</v>
      </c>
      <c r="AT219" s="5">
        <f t="shared" si="32"/>
        <v>0</v>
      </c>
      <c r="AU219" s="5">
        <f t="shared" si="32"/>
        <v>7945.27</v>
      </c>
      <c r="AV219" s="5">
        <f t="shared" si="32"/>
        <v>8797838.3200000003</v>
      </c>
      <c r="AW219" s="5">
        <f t="shared" si="32"/>
        <v>47493013.639999993</v>
      </c>
      <c r="AX219" s="5">
        <f t="shared" si="32"/>
        <v>36280555.350000001</v>
      </c>
      <c r="AY219" s="5">
        <f t="shared" si="32"/>
        <v>24186657.590000004</v>
      </c>
      <c r="AZ219" s="5">
        <f t="shared" si="32"/>
        <v>4274363.6400000006</v>
      </c>
      <c r="BA219" s="5">
        <f t="shared" si="32"/>
        <v>38299267.950000003</v>
      </c>
      <c r="BB219" s="5">
        <f t="shared" si="32"/>
        <v>6473163789.3800001</v>
      </c>
    </row>
    <row r="220" spans="1:54" ht="15.75" thickTop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</row>
    <row r="221" spans="1:54" x14ac:dyDescent="0.2">
      <c r="A221" s="3">
        <v>39814</v>
      </c>
      <c r="B221" s="4">
        <v>0</v>
      </c>
      <c r="C221" s="4">
        <v>625078.75</v>
      </c>
      <c r="D221" s="4">
        <v>0</v>
      </c>
      <c r="E221" s="4">
        <v>0</v>
      </c>
      <c r="F221" s="4">
        <v>0</v>
      </c>
      <c r="G221" s="4">
        <v>184977.09999999998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228351.63</v>
      </c>
      <c r="N221" s="4">
        <v>152678.15</v>
      </c>
      <c r="O221" s="4">
        <v>185308.44999999998</v>
      </c>
      <c r="P221" s="4">
        <v>725226.21</v>
      </c>
      <c r="Q221" s="4">
        <v>207777.75999999998</v>
      </c>
      <c r="R221" s="4">
        <v>0</v>
      </c>
      <c r="S221" s="4">
        <v>118352.25</v>
      </c>
      <c r="T221" s="4">
        <v>69692.639999999999</v>
      </c>
      <c r="U221" s="4">
        <v>0</v>
      </c>
      <c r="V221" s="4">
        <v>1601777.1700000002</v>
      </c>
      <c r="W221" s="4">
        <v>405608539.38999999</v>
      </c>
      <c r="X221" s="4">
        <v>427452.25999999995</v>
      </c>
      <c r="Y221" s="4">
        <v>57427391.479999997</v>
      </c>
      <c r="Z221" s="4"/>
      <c r="AA221" s="4"/>
      <c r="AB221" s="4">
        <v>0</v>
      </c>
      <c r="AC221" s="4">
        <v>106212.42</v>
      </c>
      <c r="AD221" s="4">
        <v>1928466.55</v>
      </c>
      <c r="AE221" s="4">
        <v>0</v>
      </c>
      <c r="AF221" s="4">
        <v>101184.34</v>
      </c>
      <c r="AG221" s="4">
        <v>0</v>
      </c>
      <c r="AH221" s="4">
        <v>341719.33</v>
      </c>
      <c r="AI221" s="4">
        <v>324131.70999999996</v>
      </c>
      <c r="AJ221" s="4">
        <v>0</v>
      </c>
      <c r="AK221" s="4">
        <v>882057.33</v>
      </c>
      <c r="AL221" s="4">
        <v>0</v>
      </c>
      <c r="AM221" s="4">
        <v>44886.11</v>
      </c>
      <c r="AN221" s="4">
        <v>0</v>
      </c>
      <c r="AO221" s="4">
        <v>447873.51999999996</v>
      </c>
      <c r="AP221" s="4">
        <v>0</v>
      </c>
      <c r="AQ221" s="4">
        <v>45839.56</v>
      </c>
      <c r="AR221" s="4">
        <v>548994.49</v>
      </c>
      <c r="AS221" s="4">
        <v>0</v>
      </c>
      <c r="AT221" s="4">
        <v>0</v>
      </c>
      <c r="AU221" s="4">
        <v>0</v>
      </c>
      <c r="AV221" s="4">
        <v>656302.14</v>
      </c>
      <c r="AW221" s="4">
        <v>4460803.3099999996</v>
      </c>
      <c r="AX221" s="4">
        <v>3174769.22</v>
      </c>
      <c r="AY221" s="4">
        <v>2116496.0699999998</v>
      </c>
      <c r="AZ221" s="4">
        <v>79500</v>
      </c>
      <c r="BA221" s="4">
        <v>82372.539999999994</v>
      </c>
      <c r="BB221" s="4">
        <f>SUM(B221:BA221)</f>
        <v>482904211.88</v>
      </c>
    </row>
    <row r="222" spans="1:54" x14ac:dyDescent="0.2">
      <c r="A222" s="3">
        <v>39845</v>
      </c>
      <c r="B222" s="4">
        <v>0</v>
      </c>
      <c r="C222" s="4">
        <v>525738.14</v>
      </c>
      <c r="D222" s="4">
        <v>0</v>
      </c>
      <c r="E222" s="4">
        <v>0</v>
      </c>
      <c r="F222" s="4">
        <v>0</v>
      </c>
      <c r="G222" s="4">
        <v>148099.04999999999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169592.8</v>
      </c>
      <c r="N222" s="4">
        <v>121735.46</v>
      </c>
      <c r="O222" s="4">
        <v>161339.10999999999</v>
      </c>
      <c r="P222" s="4">
        <v>561671.9</v>
      </c>
      <c r="Q222" s="4">
        <v>165570.01</v>
      </c>
      <c r="R222" s="4">
        <v>0</v>
      </c>
      <c r="S222" s="4">
        <v>94889.610000000015</v>
      </c>
      <c r="T222" s="4">
        <v>38584.69</v>
      </c>
      <c r="U222" s="4">
        <v>0</v>
      </c>
      <c r="V222" s="4">
        <v>1211164.01</v>
      </c>
      <c r="W222" s="4">
        <v>330010359.47000003</v>
      </c>
      <c r="X222" s="4">
        <v>334927.44</v>
      </c>
      <c r="Y222" s="4">
        <v>46346837.149999999</v>
      </c>
      <c r="Z222" s="4"/>
      <c r="AA222" s="4"/>
      <c r="AB222" s="4">
        <v>0</v>
      </c>
      <c r="AC222" s="4">
        <v>91351.28</v>
      </c>
      <c r="AD222" s="4">
        <v>1526953.42</v>
      </c>
      <c r="AE222" s="4">
        <v>0</v>
      </c>
      <c r="AF222" s="4">
        <v>85736.709999999992</v>
      </c>
      <c r="AG222" s="4">
        <v>0</v>
      </c>
      <c r="AH222" s="4">
        <v>269538.84999999998</v>
      </c>
      <c r="AI222" s="4">
        <v>268933.27</v>
      </c>
      <c r="AJ222" s="4">
        <v>0</v>
      </c>
      <c r="AK222" s="4">
        <v>710771.13</v>
      </c>
      <c r="AL222" s="4">
        <v>0</v>
      </c>
      <c r="AM222" s="4">
        <v>37563.919999999998</v>
      </c>
      <c r="AN222" s="4">
        <v>0</v>
      </c>
      <c r="AO222" s="4">
        <v>372618.96</v>
      </c>
      <c r="AP222" s="4">
        <v>0</v>
      </c>
      <c r="AQ222" s="4">
        <v>33647.269999999997</v>
      </c>
      <c r="AR222" s="4">
        <v>450445.6</v>
      </c>
      <c r="AS222" s="4">
        <v>0</v>
      </c>
      <c r="AT222" s="4">
        <v>0</v>
      </c>
      <c r="AU222" s="4">
        <v>0</v>
      </c>
      <c r="AV222" s="4">
        <v>519805.62</v>
      </c>
      <c r="AW222" s="4">
        <v>3647477.34</v>
      </c>
      <c r="AX222" s="4">
        <v>2566142.5500000003</v>
      </c>
      <c r="AY222" s="4">
        <v>1710743.2</v>
      </c>
      <c r="AZ222" s="4">
        <v>234150</v>
      </c>
      <c r="BA222" s="4">
        <v>55584.63</v>
      </c>
      <c r="BB222" s="4">
        <f t="shared" ref="BB222:BB232" si="33">SUM(B222:BA222)</f>
        <v>392471972.58999991</v>
      </c>
    </row>
    <row r="223" spans="1:54" x14ac:dyDescent="0.2">
      <c r="A223" s="3">
        <v>39873</v>
      </c>
      <c r="B223" s="4">
        <v>493.24</v>
      </c>
      <c r="C223" s="4">
        <v>879355.7</v>
      </c>
      <c r="D223" s="4">
        <v>232.68</v>
      </c>
      <c r="E223" s="4">
        <v>0</v>
      </c>
      <c r="F223" s="4">
        <v>6619.44</v>
      </c>
      <c r="G223" s="4">
        <v>279176.08</v>
      </c>
      <c r="H223" s="4">
        <v>1857.89</v>
      </c>
      <c r="I223" s="4">
        <v>479.72</v>
      </c>
      <c r="J223" s="4">
        <v>0</v>
      </c>
      <c r="K223" s="4">
        <v>17344.560000000001</v>
      </c>
      <c r="L223" s="4">
        <v>0</v>
      </c>
      <c r="M223" s="4">
        <v>268585.86</v>
      </c>
      <c r="N223" s="4">
        <v>265935.42</v>
      </c>
      <c r="O223" s="4">
        <v>286919.87</v>
      </c>
      <c r="P223" s="4">
        <v>887751.78</v>
      </c>
      <c r="Q223" s="4">
        <v>447916.82</v>
      </c>
      <c r="R223" s="4">
        <v>0</v>
      </c>
      <c r="S223" s="4">
        <v>597562.66999999993</v>
      </c>
      <c r="T223" s="4">
        <v>195303.2</v>
      </c>
      <c r="U223" s="4">
        <v>0</v>
      </c>
      <c r="V223" s="4">
        <v>1385433.25</v>
      </c>
      <c r="W223" s="4">
        <v>390223078.06</v>
      </c>
      <c r="X223" s="4">
        <v>636716.71</v>
      </c>
      <c r="Y223" s="4">
        <v>67509481.710000008</v>
      </c>
      <c r="Z223" s="4"/>
      <c r="AA223" s="4"/>
      <c r="AB223" s="4">
        <v>0</v>
      </c>
      <c r="AC223" s="4">
        <v>161151.85999999999</v>
      </c>
      <c r="AD223" s="4">
        <v>2197205.21</v>
      </c>
      <c r="AE223" s="4">
        <v>0</v>
      </c>
      <c r="AF223" s="4">
        <v>214761.85</v>
      </c>
      <c r="AG223" s="4">
        <v>0</v>
      </c>
      <c r="AH223" s="4">
        <v>469107.97</v>
      </c>
      <c r="AI223" s="4">
        <v>444155.94000000006</v>
      </c>
      <c r="AJ223" s="4">
        <v>0</v>
      </c>
      <c r="AK223" s="4">
        <v>972609.85999999987</v>
      </c>
      <c r="AL223" s="4">
        <v>0</v>
      </c>
      <c r="AM223" s="4">
        <v>47518.51</v>
      </c>
      <c r="AN223" s="4">
        <v>0</v>
      </c>
      <c r="AO223" s="4">
        <v>661296.04</v>
      </c>
      <c r="AP223" s="4">
        <v>0</v>
      </c>
      <c r="AQ223" s="4">
        <v>77189.320000000007</v>
      </c>
      <c r="AR223" s="4">
        <v>775527.55</v>
      </c>
      <c r="AS223" s="4">
        <v>271.06</v>
      </c>
      <c r="AT223" s="4">
        <v>0</v>
      </c>
      <c r="AU223" s="4">
        <v>0</v>
      </c>
      <c r="AV223" s="4">
        <v>947911.90999999992</v>
      </c>
      <c r="AW223" s="4">
        <v>3308287.67</v>
      </c>
      <c r="AX223" s="4">
        <v>3218795.46</v>
      </c>
      <c r="AY223" s="4">
        <v>2145783.04</v>
      </c>
      <c r="AZ223" s="4">
        <v>49293.67</v>
      </c>
      <c r="BA223" s="4">
        <v>7093480.1299999999</v>
      </c>
      <c r="BB223" s="4">
        <f t="shared" si="33"/>
        <v>486674591.7100001</v>
      </c>
    </row>
    <row r="224" spans="1:54" x14ac:dyDescent="0.2">
      <c r="A224" s="3">
        <v>39904</v>
      </c>
      <c r="B224" s="4">
        <v>0</v>
      </c>
      <c r="C224" s="4">
        <v>509292.99</v>
      </c>
      <c r="D224" s="4">
        <v>0</v>
      </c>
      <c r="E224" s="4">
        <v>0</v>
      </c>
      <c r="F224" s="4">
        <v>0</v>
      </c>
      <c r="G224" s="4">
        <v>163232.90999999997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187379.78999999998</v>
      </c>
      <c r="N224" s="4">
        <v>142618.91999999998</v>
      </c>
      <c r="O224" s="4">
        <v>157501.46</v>
      </c>
      <c r="P224" s="4">
        <v>620436.14</v>
      </c>
      <c r="Q224" s="4">
        <v>200847.91</v>
      </c>
      <c r="R224" s="4">
        <v>0</v>
      </c>
      <c r="S224" s="4">
        <v>188400.47999999998</v>
      </c>
      <c r="T224" s="4">
        <v>51435.25</v>
      </c>
      <c r="U224" s="4">
        <v>0</v>
      </c>
      <c r="V224" s="4">
        <v>1221202.58</v>
      </c>
      <c r="W224" s="4">
        <v>334467142.08999997</v>
      </c>
      <c r="X224" s="4">
        <v>399639.66000000003</v>
      </c>
      <c r="Y224" s="4">
        <v>48616394.670000002</v>
      </c>
      <c r="Z224" s="4"/>
      <c r="AA224" s="4"/>
      <c r="AB224" s="4">
        <v>0</v>
      </c>
      <c r="AC224" s="4">
        <v>110291.27</v>
      </c>
      <c r="AD224" s="4">
        <v>1635009.69</v>
      </c>
      <c r="AE224" s="4">
        <v>0</v>
      </c>
      <c r="AF224" s="4">
        <v>92181.310000000012</v>
      </c>
      <c r="AG224" s="4">
        <v>0</v>
      </c>
      <c r="AH224" s="4">
        <v>273217.64999999997</v>
      </c>
      <c r="AI224" s="4">
        <v>284843.33999999997</v>
      </c>
      <c r="AJ224" s="4">
        <v>0</v>
      </c>
      <c r="AK224" s="4">
        <v>759357.43</v>
      </c>
      <c r="AL224" s="4">
        <v>0</v>
      </c>
      <c r="AM224" s="4">
        <v>29638.820000000003</v>
      </c>
      <c r="AN224" s="4">
        <v>0</v>
      </c>
      <c r="AO224" s="4">
        <v>425696.99</v>
      </c>
      <c r="AP224" s="4">
        <v>0</v>
      </c>
      <c r="AQ224" s="4">
        <v>36966.980000000003</v>
      </c>
      <c r="AR224" s="4">
        <v>524657.94999999995</v>
      </c>
      <c r="AS224" s="4">
        <v>0</v>
      </c>
      <c r="AT224" s="4">
        <v>0</v>
      </c>
      <c r="AU224" s="4">
        <v>0</v>
      </c>
      <c r="AV224" s="4">
        <v>578908.87</v>
      </c>
      <c r="AW224" s="4">
        <v>3327940.4000000004</v>
      </c>
      <c r="AX224" s="4">
        <v>2482834.65</v>
      </c>
      <c r="AY224" s="4">
        <v>1655136.0300000003</v>
      </c>
      <c r="AZ224" s="4">
        <v>30200</v>
      </c>
      <c r="BA224" s="4">
        <v>43844.18</v>
      </c>
      <c r="BB224" s="4">
        <f t="shared" si="33"/>
        <v>399216250.40999991</v>
      </c>
    </row>
    <row r="225" spans="1:54" x14ac:dyDescent="0.2">
      <c r="A225" s="3">
        <v>39934</v>
      </c>
      <c r="B225" s="4">
        <v>0</v>
      </c>
      <c r="C225" s="4">
        <v>513201.69</v>
      </c>
      <c r="D225" s="4">
        <v>0</v>
      </c>
      <c r="E225" s="4">
        <v>0</v>
      </c>
      <c r="F225" s="4">
        <v>0</v>
      </c>
      <c r="G225" s="4">
        <v>164849.54999999999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191730.19</v>
      </c>
      <c r="N225" s="4">
        <v>142225.04999999999</v>
      </c>
      <c r="O225" s="4">
        <v>167598.01999999999</v>
      </c>
      <c r="P225" s="4">
        <v>616059.22</v>
      </c>
      <c r="Q225" s="4">
        <v>204986.06</v>
      </c>
      <c r="R225" s="4">
        <v>0</v>
      </c>
      <c r="S225" s="4">
        <v>188840.82</v>
      </c>
      <c r="T225" s="4">
        <v>46890.21</v>
      </c>
      <c r="U225" s="4">
        <v>0</v>
      </c>
      <c r="V225" s="4">
        <v>1211970.3199999998</v>
      </c>
      <c r="W225" s="4">
        <v>340510818.71000004</v>
      </c>
      <c r="X225" s="4">
        <v>396595.13</v>
      </c>
      <c r="Y225" s="4">
        <v>49487717.689999998</v>
      </c>
      <c r="Z225" s="4"/>
      <c r="AA225" s="4"/>
      <c r="AB225" s="4">
        <v>0</v>
      </c>
      <c r="AC225" s="4">
        <v>94557.859999999986</v>
      </c>
      <c r="AD225" s="4">
        <v>1645010.2900000003</v>
      </c>
      <c r="AE225" s="4">
        <v>0</v>
      </c>
      <c r="AF225" s="4">
        <v>93063.73</v>
      </c>
      <c r="AG225" s="4">
        <v>0</v>
      </c>
      <c r="AH225" s="4">
        <v>271662.34000000003</v>
      </c>
      <c r="AI225" s="4">
        <v>288633.51000000007</v>
      </c>
      <c r="AJ225" s="4">
        <v>0</v>
      </c>
      <c r="AK225" s="4">
        <v>754501.5199999999</v>
      </c>
      <c r="AL225" s="4">
        <v>0</v>
      </c>
      <c r="AM225" s="4">
        <v>30156.989999999998</v>
      </c>
      <c r="AN225" s="4">
        <v>0</v>
      </c>
      <c r="AO225" s="4">
        <v>432682.18000000005</v>
      </c>
      <c r="AP225" s="4">
        <v>0</v>
      </c>
      <c r="AQ225" s="4">
        <v>36629.599999999999</v>
      </c>
      <c r="AR225" s="4">
        <v>535422.89</v>
      </c>
      <c r="AS225" s="4">
        <v>0</v>
      </c>
      <c r="AT225" s="4">
        <v>0</v>
      </c>
      <c r="AU225" s="4">
        <v>0</v>
      </c>
      <c r="AV225" s="4">
        <v>597082.62</v>
      </c>
      <c r="AW225" s="4">
        <v>3319821.21</v>
      </c>
      <c r="AX225" s="4">
        <v>2502338.7500000005</v>
      </c>
      <c r="AY225" s="4">
        <v>1668208.9500000002</v>
      </c>
      <c r="AZ225" s="4">
        <v>129850</v>
      </c>
      <c r="BA225" s="4">
        <v>28512.22</v>
      </c>
      <c r="BB225" s="4">
        <f t="shared" si="33"/>
        <v>406271617.32000005</v>
      </c>
    </row>
    <row r="226" spans="1:54" x14ac:dyDescent="0.2">
      <c r="A226" s="3">
        <v>39965</v>
      </c>
      <c r="B226" s="4">
        <v>577.91999999999996</v>
      </c>
      <c r="C226" s="4">
        <v>1024064.8500000001</v>
      </c>
      <c r="D226" s="4">
        <v>329.16</v>
      </c>
      <c r="E226" s="4">
        <v>0</v>
      </c>
      <c r="F226" s="4">
        <v>1824.94</v>
      </c>
      <c r="G226" s="4">
        <v>189749.26</v>
      </c>
      <c r="H226" s="4">
        <v>462.29</v>
      </c>
      <c r="I226" s="4">
        <v>1506.77</v>
      </c>
      <c r="J226" s="4">
        <v>0</v>
      </c>
      <c r="K226" s="4">
        <v>488.38</v>
      </c>
      <c r="L226" s="4">
        <v>0</v>
      </c>
      <c r="M226" s="4">
        <v>289844.17</v>
      </c>
      <c r="N226" s="4">
        <v>285903.87</v>
      </c>
      <c r="O226" s="4">
        <v>261679.12</v>
      </c>
      <c r="P226" s="4">
        <v>1142057.44</v>
      </c>
      <c r="Q226" s="4">
        <v>368765.37000000005</v>
      </c>
      <c r="R226" s="4">
        <v>0</v>
      </c>
      <c r="S226" s="4">
        <v>290872.62</v>
      </c>
      <c r="T226" s="4">
        <v>158630.1</v>
      </c>
      <c r="U226" s="4">
        <v>0</v>
      </c>
      <c r="V226" s="4">
        <v>1337157.5099999998</v>
      </c>
      <c r="W226" s="4">
        <v>393944815.51999998</v>
      </c>
      <c r="X226" s="4">
        <v>613814.26</v>
      </c>
      <c r="Y226" s="4">
        <v>71151891.710000008</v>
      </c>
      <c r="Z226" s="4">
        <v>1191847.2699999998</v>
      </c>
      <c r="AA226" s="4"/>
      <c r="AB226" s="4">
        <v>0</v>
      </c>
      <c r="AC226" s="4">
        <v>181556.6</v>
      </c>
      <c r="AD226" s="4">
        <v>2899725.7199999997</v>
      </c>
      <c r="AE226" s="4">
        <v>0</v>
      </c>
      <c r="AF226" s="4">
        <v>125806.92000000001</v>
      </c>
      <c r="AG226" s="4">
        <v>70.290000000000006</v>
      </c>
      <c r="AH226" s="4">
        <v>428832.25</v>
      </c>
      <c r="AI226" s="4">
        <v>489065.1</v>
      </c>
      <c r="AJ226" s="4">
        <v>0</v>
      </c>
      <c r="AK226" s="4">
        <v>1330857.21</v>
      </c>
      <c r="AL226" s="4">
        <v>26.17</v>
      </c>
      <c r="AM226" s="4">
        <v>70741.61</v>
      </c>
      <c r="AN226" s="4">
        <v>0</v>
      </c>
      <c r="AO226" s="4">
        <v>674138.41999999993</v>
      </c>
      <c r="AP226" s="4">
        <v>0</v>
      </c>
      <c r="AQ226" s="4">
        <v>61229.91</v>
      </c>
      <c r="AR226" s="4">
        <v>1020026.8300000001</v>
      </c>
      <c r="AS226" s="4">
        <v>343.19</v>
      </c>
      <c r="AT226" s="4">
        <v>3499.5</v>
      </c>
      <c r="AU226" s="4">
        <v>90.8</v>
      </c>
      <c r="AV226" s="4">
        <v>1087746.58</v>
      </c>
      <c r="AW226" s="4">
        <v>3883546.66</v>
      </c>
      <c r="AX226" s="4">
        <v>3778796.85</v>
      </c>
      <c r="AY226" s="4">
        <v>2519134.0099999998</v>
      </c>
      <c r="AZ226" s="4">
        <v>41542.51</v>
      </c>
      <c r="BA226" s="4">
        <v>8338720.0099999998</v>
      </c>
      <c r="BB226" s="4">
        <f t="shared" si="33"/>
        <v>499191779.67000014</v>
      </c>
    </row>
    <row r="227" spans="1:54" x14ac:dyDescent="0.2">
      <c r="A227" s="3">
        <v>39995</v>
      </c>
      <c r="B227" s="4">
        <v>0</v>
      </c>
      <c r="C227" s="4">
        <v>512232.65</v>
      </c>
      <c r="D227" s="4">
        <v>0</v>
      </c>
      <c r="E227" s="4">
        <v>0</v>
      </c>
      <c r="F227" s="4">
        <v>0</v>
      </c>
      <c r="G227" s="4">
        <v>172970.52000000002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190161.22999999998</v>
      </c>
      <c r="N227" s="4">
        <v>151873.99</v>
      </c>
      <c r="O227" s="4">
        <v>162926.38</v>
      </c>
      <c r="P227" s="4">
        <v>639823.98</v>
      </c>
      <c r="Q227" s="4">
        <v>212410.36000000002</v>
      </c>
      <c r="R227" s="4">
        <v>0</v>
      </c>
      <c r="S227" s="4">
        <v>170134.28999999998</v>
      </c>
      <c r="T227" s="4">
        <v>57303.88</v>
      </c>
      <c r="U227" s="4">
        <v>0</v>
      </c>
      <c r="V227" s="4">
        <v>1269740.8</v>
      </c>
      <c r="W227" s="4">
        <v>366599563.58999997</v>
      </c>
      <c r="X227" s="4">
        <v>473619.46</v>
      </c>
      <c r="Y227" s="4">
        <v>48982811.75</v>
      </c>
      <c r="Z227" s="4">
        <v>2363473.8899999997</v>
      </c>
      <c r="AA227" s="4"/>
      <c r="AB227" s="4">
        <v>0</v>
      </c>
      <c r="AC227" s="4">
        <v>128737.38</v>
      </c>
      <c r="AD227" s="4">
        <v>1779082.1400000001</v>
      </c>
      <c r="AE227" s="4">
        <v>0</v>
      </c>
      <c r="AF227" s="4">
        <v>84449.670000000013</v>
      </c>
      <c r="AG227" s="4">
        <v>0</v>
      </c>
      <c r="AH227" s="4">
        <v>282278.94</v>
      </c>
      <c r="AI227" s="4">
        <v>281399.02</v>
      </c>
      <c r="AJ227" s="4">
        <v>0</v>
      </c>
      <c r="AK227" s="4">
        <v>769744.35000000009</v>
      </c>
      <c r="AL227" s="4">
        <v>0</v>
      </c>
      <c r="AM227" s="4">
        <v>38761.22</v>
      </c>
      <c r="AN227" s="4">
        <v>0</v>
      </c>
      <c r="AO227" s="4">
        <v>434084.82999999996</v>
      </c>
      <c r="AP227" s="4">
        <v>0</v>
      </c>
      <c r="AQ227" s="4">
        <v>37688.850000000006</v>
      </c>
      <c r="AR227" s="4">
        <v>750974.09</v>
      </c>
      <c r="AS227" s="4">
        <v>0</v>
      </c>
      <c r="AT227" s="4">
        <v>0</v>
      </c>
      <c r="AU227" s="4">
        <v>0</v>
      </c>
      <c r="AV227" s="4">
        <v>657074.16999999993</v>
      </c>
      <c r="AW227" s="4">
        <v>3431350.08</v>
      </c>
      <c r="AX227" s="4">
        <v>2502359.33</v>
      </c>
      <c r="AY227" s="4">
        <v>1668218.84</v>
      </c>
      <c r="AZ227" s="4">
        <v>624050</v>
      </c>
      <c r="BA227" s="4">
        <v>62667.040000000001</v>
      </c>
      <c r="BB227" s="4">
        <f t="shared" si="33"/>
        <v>435491966.71999991</v>
      </c>
    </row>
    <row r="228" spans="1:54" x14ac:dyDescent="0.2">
      <c r="A228" s="3">
        <v>40026</v>
      </c>
      <c r="B228" s="4">
        <v>0</v>
      </c>
      <c r="C228" s="4">
        <v>536474.51</v>
      </c>
      <c r="D228" s="4">
        <v>0</v>
      </c>
      <c r="E228" s="4">
        <v>0</v>
      </c>
      <c r="F228" s="4">
        <v>0</v>
      </c>
      <c r="G228" s="4">
        <v>172240.30000000002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198119.86</v>
      </c>
      <c r="N228" s="4">
        <v>160295.19</v>
      </c>
      <c r="O228" s="4">
        <v>169631.88</v>
      </c>
      <c r="P228" s="4">
        <v>670721.44000000006</v>
      </c>
      <c r="Q228" s="4">
        <v>225260.3</v>
      </c>
      <c r="R228" s="4">
        <v>0</v>
      </c>
      <c r="S228" s="4">
        <v>156812.79999999999</v>
      </c>
      <c r="T228" s="4">
        <v>63441.47</v>
      </c>
      <c r="U228" s="4">
        <v>0</v>
      </c>
      <c r="V228" s="4">
        <v>1216347.5799999998</v>
      </c>
      <c r="W228" s="4">
        <v>371246945.87</v>
      </c>
      <c r="X228" s="4">
        <v>460207.1</v>
      </c>
      <c r="Y228" s="4">
        <v>50296924.049999997</v>
      </c>
      <c r="Z228" s="4">
        <v>2388071.9899999998</v>
      </c>
      <c r="AA228" s="4"/>
      <c r="AB228" s="4">
        <v>0</v>
      </c>
      <c r="AC228" s="4">
        <v>77933.87</v>
      </c>
      <c r="AD228" s="4">
        <v>1745325.64</v>
      </c>
      <c r="AE228" s="4">
        <v>0</v>
      </c>
      <c r="AF228" s="4">
        <v>83277.98000000001</v>
      </c>
      <c r="AG228" s="4">
        <v>0</v>
      </c>
      <c r="AH228" s="4">
        <v>287429.48</v>
      </c>
      <c r="AI228" s="4">
        <v>294265.39999999997</v>
      </c>
      <c r="AJ228" s="4">
        <v>0</v>
      </c>
      <c r="AK228" s="4">
        <v>780455.84999999986</v>
      </c>
      <c r="AL228" s="4">
        <v>0</v>
      </c>
      <c r="AM228" s="4">
        <v>22124.76</v>
      </c>
      <c r="AN228" s="4">
        <v>0</v>
      </c>
      <c r="AO228" s="4">
        <v>446006.30999999994</v>
      </c>
      <c r="AP228" s="4">
        <v>0</v>
      </c>
      <c r="AQ228" s="4">
        <v>34761.61</v>
      </c>
      <c r="AR228" s="4">
        <v>779737.65</v>
      </c>
      <c r="AS228" s="4">
        <v>0</v>
      </c>
      <c r="AT228" s="4">
        <v>0</v>
      </c>
      <c r="AU228" s="4">
        <v>0</v>
      </c>
      <c r="AV228" s="4">
        <v>682689.64</v>
      </c>
      <c r="AW228" s="4">
        <v>3474630.18</v>
      </c>
      <c r="AX228" s="4">
        <v>2553186.6999999997</v>
      </c>
      <c r="AY228" s="4">
        <v>1702107.9900000002</v>
      </c>
      <c r="AZ228" s="4">
        <v>737300</v>
      </c>
      <c r="BA228" s="4">
        <v>1166.43</v>
      </c>
      <c r="BB228" s="4">
        <f t="shared" si="33"/>
        <v>441663893.83000004</v>
      </c>
    </row>
    <row r="229" spans="1:54" x14ac:dyDescent="0.2">
      <c r="A229" s="3">
        <v>40057</v>
      </c>
      <c r="B229" s="4">
        <v>231.5</v>
      </c>
      <c r="C229" s="4">
        <v>840514.69000000006</v>
      </c>
      <c r="D229" s="4">
        <v>363.91</v>
      </c>
      <c r="E229" s="4">
        <v>0</v>
      </c>
      <c r="F229" s="4">
        <v>1602.92</v>
      </c>
      <c r="G229" s="4">
        <v>233492.89</v>
      </c>
      <c r="H229" s="4">
        <v>429.69</v>
      </c>
      <c r="I229" s="4">
        <v>386.89</v>
      </c>
      <c r="J229" s="4">
        <v>0</v>
      </c>
      <c r="K229" s="4">
        <v>1551.85</v>
      </c>
      <c r="L229" s="4">
        <v>0</v>
      </c>
      <c r="M229" s="4">
        <v>235745.13</v>
      </c>
      <c r="N229" s="4">
        <v>237635.22999999998</v>
      </c>
      <c r="O229" s="4">
        <v>274512.14</v>
      </c>
      <c r="P229" s="4">
        <v>949777.23</v>
      </c>
      <c r="Q229" s="4">
        <v>346785.67</v>
      </c>
      <c r="R229" s="4">
        <v>0</v>
      </c>
      <c r="S229" s="4">
        <v>182292.72999999998</v>
      </c>
      <c r="T229" s="4">
        <v>230532.37</v>
      </c>
      <c r="U229" s="4">
        <v>0</v>
      </c>
      <c r="V229" s="4">
        <v>1727890.87</v>
      </c>
      <c r="W229" s="4">
        <v>378426279.45000005</v>
      </c>
      <c r="X229" s="4">
        <v>726526.38000000012</v>
      </c>
      <c r="Y229" s="4">
        <v>77147436.219999999</v>
      </c>
      <c r="Z229" s="4">
        <v>3554005.48</v>
      </c>
      <c r="AA229" s="4"/>
      <c r="AB229" s="4">
        <v>0</v>
      </c>
      <c r="AC229" s="4">
        <v>38568.86</v>
      </c>
      <c r="AD229" s="4">
        <v>2251077.4400000004</v>
      </c>
      <c r="AE229" s="4">
        <v>0</v>
      </c>
      <c r="AF229" s="4">
        <v>125734.43</v>
      </c>
      <c r="AG229" s="4">
        <v>490.09</v>
      </c>
      <c r="AH229" s="4">
        <v>382447.89</v>
      </c>
      <c r="AI229" s="4">
        <v>534611.66999999993</v>
      </c>
      <c r="AJ229" s="4">
        <v>0</v>
      </c>
      <c r="AK229" s="4">
        <v>1232474.6299999999</v>
      </c>
      <c r="AL229" s="4">
        <v>23.99</v>
      </c>
      <c r="AM229" s="4">
        <v>45930.99</v>
      </c>
      <c r="AN229" s="4">
        <v>0</v>
      </c>
      <c r="AO229" s="4">
        <v>709583.73</v>
      </c>
      <c r="AP229" s="4">
        <v>0</v>
      </c>
      <c r="AQ229" s="4">
        <v>74864.13</v>
      </c>
      <c r="AR229" s="4">
        <v>1073651.06</v>
      </c>
      <c r="AS229" s="4">
        <v>170.83</v>
      </c>
      <c r="AT229" s="4">
        <v>0</v>
      </c>
      <c r="AU229" s="4">
        <v>0</v>
      </c>
      <c r="AV229" s="4">
        <v>1000365.9600000001</v>
      </c>
      <c r="AW229" s="4">
        <v>3390776.0900000003</v>
      </c>
      <c r="AX229" s="4">
        <v>3575115.1099999994</v>
      </c>
      <c r="AY229" s="4">
        <v>2383347.4300000002</v>
      </c>
      <c r="AZ229" s="4">
        <v>354818.17</v>
      </c>
      <c r="BA229" s="4">
        <v>9086459.7200000007</v>
      </c>
      <c r="BB229" s="4">
        <f t="shared" si="33"/>
        <v>491378505.46000004</v>
      </c>
    </row>
    <row r="230" spans="1:54" x14ac:dyDescent="0.2">
      <c r="A230" s="3">
        <v>40087</v>
      </c>
      <c r="B230" s="4">
        <v>0</v>
      </c>
      <c r="C230" s="4">
        <v>550909.41</v>
      </c>
      <c r="D230" s="4">
        <v>0</v>
      </c>
      <c r="E230" s="4">
        <v>0</v>
      </c>
      <c r="F230" s="4">
        <v>0</v>
      </c>
      <c r="G230" s="4">
        <v>174420.56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192222.22999999998</v>
      </c>
      <c r="N230" s="4">
        <v>145154.39000000001</v>
      </c>
      <c r="O230" s="4">
        <v>173978.79</v>
      </c>
      <c r="P230" s="4">
        <v>693852.09000000008</v>
      </c>
      <c r="Q230" s="4">
        <v>217783.55000000002</v>
      </c>
      <c r="R230" s="4">
        <v>0</v>
      </c>
      <c r="S230" s="4">
        <v>147925.31</v>
      </c>
      <c r="T230" s="4">
        <v>58606.869999999995</v>
      </c>
      <c r="U230" s="4">
        <v>0</v>
      </c>
      <c r="V230" s="4">
        <v>1260658.8399999999</v>
      </c>
      <c r="W230" s="4">
        <v>398054955.72999996</v>
      </c>
      <c r="X230" s="4">
        <v>359612.65</v>
      </c>
      <c r="Y230" s="4">
        <v>51917845.159999996</v>
      </c>
      <c r="Z230" s="4">
        <v>0</v>
      </c>
      <c r="AA230" s="4"/>
      <c r="AB230" s="4">
        <v>0</v>
      </c>
      <c r="AC230" s="4">
        <v>72419.05</v>
      </c>
      <c r="AD230" s="4">
        <v>1740749.0599999998</v>
      </c>
      <c r="AE230" s="4">
        <v>0</v>
      </c>
      <c r="AF230" s="4">
        <v>98814.590000000011</v>
      </c>
      <c r="AG230" s="4">
        <v>0</v>
      </c>
      <c r="AH230" s="4">
        <v>310000.06999999995</v>
      </c>
      <c r="AI230" s="4">
        <v>309557.03000000003</v>
      </c>
      <c r="AJ230" s="4">
        <v>0</v>
      </c>
      <c r="AK230" s="4">
        <v>853331.58000000007</v>
      </c>
      <c r="AL230" s="4">
        <v>0</v>
      </c>
      <c r="AM230" s="4">
        <v>22050.5</v>
      </c>
      <c r="AN230" s="4">
        <v>0</v>
      </c>
      <c r="AO230" s="4">
        <v>444557.47000000003</v>
      </c>
      <c r="AP230" s="4">
        <v>0</v>
      </c>
      <c r="AQ230" s="4">
        <v>34464.86</v>
      </c>
      <c r="AR230" s="4">
        <v>595365.99</v>
      </c>
      <c r="AS230" s="4">
        <v>0</v>
      </c>
      <c r="AT230" s="4">
        <v>0</v>
      </c>
      <c r="AU230" s="4">
        <v>0</v>
      </c>
      <c r="AV230" s="4">
        <v>638300.32000000007</v>
      </c>
      <c r="AW230" s="4">
        <v>4582639.2200000007</v>
      </c>
      <c r="AX230" s="4">
        <v>2739592.87</v>
      </c>
      <c r="AY230" s="4">
        <v>1826378.19</v>
      </c>
      <c r="AZ230" s="4">
        <v>766750</v>
      </c>
      <c r="BA230" s="4">
        <v>62370.29</v>
      </c>
      <c r="BB230" s="4">
        <f t="shared" si="33"/>
        <v>469045266.66999996</v>
      </c>
    </row>
    <row r="231" spans="1:54" x14ac:dyDescent="0.2">
      <c r="A231" s="3">
        <v>40118</v>
      </c>
      <c r="B231" s="4">
        <v>0</v>
      </c>
      <c r="C231" s="4">
        <v>543278.93999999994</v>
      </c>
      <c r="D231" s="4">
        <v>0</v>
      </c>
      <c r="E231" s="4">
        <v>0</v>
      </c>
      <c r="F231" s="4">
        <v>0</v>
      </c>
      <c r="G231" s="4">
        <v>168655.14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190286.52000000002</v>
      </c>
      <c r="N231" s="4">
        <v>140202.26999999999</v>
      </c>
      <c r="O231" s="4">
        <v>167113.26999999999</v>
      </c>
      <c r="P231" s="4">
        <v>687080.4</v>
      </c>
      <c r="Q231" s="4">
        <v>214483.08</v>
      </c>
      <c r="R231" s="4">
        <v>0</v>
      </c>
      <c r="S231" s="4">
        <v>166362.11000000002</v>
      </c>
      <c r="T231" s="4">
        <v>49379.509999999995</v>
      </c>
      <c r="U231" s="4">
        <v>0</v>
      </c>
      <c r="V231" s="4">
        <v>1228201.1299999999</v>
      </c>
      <c r="W231" s="4">
        <v>386679431.38000005</v>
      </c>
      <c r="X231" s="4">
        <v>353391.91</v>
      </c>
      <c r="Y231" s="4">
        <v>50370899.539999999</v>
      </c>
      <c r="Z231" s="4">
        <v>0</v>
      </c>
      <c r="AA231" s="4"/>
      <c r="AB231" s="4">
        <v>0</v>
      </c>
      <c r="AC231" s="4">
        <v>76312.09</v>
      </c>
      <c r="AD231" s="4">
        <v>1704362.95</v>
      </c>
      <c r="AE231" s="4">
        <v>0</v>
      </c>
      <c r="AF231" s="4">
        <v>94106.23</v>
      </c>
      <c r="AG231" s="4">
        <v>0</v>
      </c>
      <c r="AH231" s="4">
        <v>299098.34999999998</v>
      </c>
      <c r="AI231" s="4">
        <v>309075.47000000003</v>
      </c>
      <c r="AJ231" s="4">
        <v>0</v>
      </c>
      <c r="AK231" s="4">
        <v>837585.55</v>
      </c>
      <c r="AL231" s="4">
        <v>0</v>
      </c>
      <c r="AM231" s="4">
        <v>21767.300000000003</v>
      </c>
      <c r="AN231" s="4">
        <v>0</v>
      </c>
      <c r="AO231" s="4">
        <v>433139.31</v>
      </c>
      <c r="AP231" s="4">
        <v>0</v>
      </c>
      <c r="AQ231" s="4">
        <v>34721.629999999997</v>
      </c>
      <c r="AR231" s="4">
        <v>587710.85</v>
      </c>
      <c r="AS231" s="4">
        <v>0</v>
      </c>
      <c r="AT231" s="4">
        <v>0</v>
      </c>
      <c r="AU231" s="4">
        <v>0</v>
      </c>
      <c r="AV231" s="4">
        <v>626364.64</v>
      </c>
      <c r="AW231" s="4">
        <v>3712174.7</v>
      </c>
      <c r="AX231" s="4">
        <v>2664970.5</v>
      </c>
      <c r="AY231" s="4">
        <v>1776626.79</v>
      </c>
      <c r="AZ231" s="4">
        <v>712350</v>
      </c>
      <c r="BA231" s="4">
        <v>26504.17</v>
      </c>
      <c r="BB231" s="4">
        <f t="shared" si="33"/>
        <v>454875635.7300002</v>
      </c>
    </row>
    <row r="232" spans="1:54" x14ac:dyDescent="0.2">
      <c r="A232" s="3">
        <v>40148</v>
      </c>
      <c r="B232" s="4">
        <v>359.71</v>
      </c>
      <c r="C232" s="4">
        <v>815336.26</v>
      </c>
      <c r="D232" s="4">
        <v>1044.02</v>
      </c>
      <c r="E232" s="4">
        <v>0</v>
      </c>
      <c r="F232" s="4">
        <v>911.88</v>
      </c>
      <c r="G232" s="4">
        <v>211445.47</v>
      </c>
      <c r="H232" s="4">
        <v>430.12</v>
      </c>
      <c r="I232" s="4">
        <v>592.5</v>
      </c>
      <c r="J232" s="4">
        <v>0</v>
      </c>
      <c r="K232" s="4">
        <v>3012.87</v>
      </c>
      <c r="L232" s="4">
        <v>0</v>
      </c>
      <c r="M232" s="4">
        <v>242572.06999999998</v>
      </c>
      <c r="N232" s="4">
        <v>211783.52000000002</v>
      </c>
      <c r="O232" s="4">
        <v>274154.62</v>
      </c>
      <c r="P232" s="4">
        <v>998133.32</v>
      </c>
      <c r="Q232" s="4">
        <v>311970.90000000002</v>
      </c>
      <c r="R232" s="4">
        <v>0</v>
      </c>
      <c r="S232" s="4">
        <v>278245.83</v>
      </c>
      <c r="T232" s="4">
        <v>213893.56</v>
      </c>
      <c r="U232" s="4">
        <v>0</v>
      </c>
      <c r="V232" s="4">
        <v>1857853.9899999998</v>
      </c>
      <c r="W232" s="4">
        <v>516081623.74000001</v>
      </c>
      <c r="X232" s="4">
        <v>669613.27</v>
      </c>
      <c r="Y232" s="4">
        <v>78814098.329999998</v>
      </c>
      <c r="Z232" s="4">
        <v>8173659.8799999999</v>
      </c>
      <c r="AA232" s="4"/>
      <c r="AB232" s="4">
        <v>0</v>
      </c>
      <c r="AC232" s="4">
        <v>109802.5</v>
      </c>
      <c r="AD232" s="4">
        <v>2200274.92</v>
      </c>
      <c r="AE232" s="4">
        <v>0</v>
      </c>
      <c r="AF232" s="4">
        <v>117328.55</v>
      </c>
      <c r="AG232" s="4">
        <v>643.91999999999996</v>
      </c>
      <c r="AH232" s="4">
        <v>300007.17</v>
      </c>
      <c r="AI232" s="4">
        <v>290010.79000000004</v>
      </c>
      <c r="AJ232" s="4">
        <v>0</v>
      </c>
      <c r="AK232" s="4">
        <v>753296.4</v>
      </c>
      <c r="AL232" s="4">
        <v>314.10000000000002</v>
      </c>
      <c r="AM232" s="4">
        <v>76574.06</v>
      </c>
      <c r="AN232" s="4">
        <v>0</v>
      </c>
      <c r="AO232" s="4">
        <v>613995.21</v>
      </c>
      <c r="AP232" s="4">
        <v>0</v>
      </c>
      <c r="AQ232" s="4">
        <v>67656.679999999993</v>
      </c>
      <c r="AR232" s="4">
        <v>708688.05</v>
      </c>
      <c r="AS232" s="4">
        <v>110.4</v>
      </c>
      <c r="AT232" s="4">
        <v>0</v>
      </c>
      <c r="AU232" s="4">
        <v>0</v>
      </c>
      <c r="AV232" s="4">
        <v>805689.70000000007</v>
      </c>
      <c r="AW232" s="4">
        <v>3024008.63</v>
      </c>
      <c r="AX232" s="4">
        <v>3201155.5999999996</v>
      </c>
      <c r="AY232" s="4">
        <v>2134050.5499999998</v>
      </c>
      <c r="AZ232" s="4">
        <v>279235.40999999997</v>
      </c>
      <c r="BA232" s="4">
        <v>9062288.9600000009</v>
      </c>
      <c r="BB232" s="4">
        <f t="shared" si="33"/>
        <v>632905867.45999968</v>
      </c>
    </row>
    <row r="233" spans="1:54" ht="15.75" thickBot="1" x14ac:dyDescent="0.25">
      <c r="A233" s="1" t="s">
        <v>153</v>
      </c>
      <c r="B233" s="5">
        <f t="shared" ref="B233:AI233" si="34">SUM(B221:B232)</f>
        <v>1662.37</v>
      </c>
      <c r="C233" s="5">
        <f t="shared" si="34"/>
        <v>7875478.5800000001</v>
      </c>
      <c r="D233" s="5">
        <f t="shared" si="34"/>
        <v>1969.77</v>
      </c>
      <c r="E233" s="5">
        <f t="shared" si="34"/>
        <v>0</v>
      </c>
      <c r="F233" s="5">
        <f t="shared" si="34"/>
        <v>10959.179999999998</v>
      </c>
      <c r="G233" s="5">
        <f t="shared" si="34"/>
        <v>2263308.8300000005</v>
      </c>
      <c r="H233" s="5">
        <f t="shared" si="34"/>
        <v>3179.9900000000002</v>
      </c>
      <c r="I233" s="5">
        <f t="shared" si="34"/>
        <v>2965.88</v>
      </c>
      <c r="J233" s="5">
        <f t="shared" si="34"/>
        <v>0</v>
      </c>
      <c r="K233" s="5">
        <f t="shared" si="34"/>
        <v>22397.66</v>
      </c>
      <c r="L233" s="5">
        <f t="shared" si="34"/>
        <v>0</v>
      </c>
      <c r="M233" s="5">
        <f t="shared" si="34"/>
        <v>2584591.4799999995</v>
      </c>
      <c r="N233" s="5">
        <f t="shared" si="34"/>
        <v>2158041.46</v>
      </c>
      <c r="O233" s="5">
        <f t="shared" si="34"/>
        <v>2442663.11</v>
      </c>
      <c r="P233" s="5">
        <f t="shared" si="34"/>
        <v>9192591.1500000004</v>
      </c>
      <c r="Q233" s="5">
        <f t="shared" si="34"/>
        <v>3124557.79</v>
      </c>
      <c r="R233" s="5">
        <f t="shared" si="34"/>
        <v>0</v>
      </c>
      <c r="S233" s="5">
        <f t="shared" si="34"/>
        <v>2580691.5199999996</v>
      </c>
      <c r="T233" s="5">
        <f t="shared" si="34"/>
        <v>1233693.75</v>
      </c>
      <c r="U233" s="5">
        <f t="shared" si="34"/>
        <v>0</v>
      </c>
      <c r="V233" s="5">
        <f t="shared" si="34"/>
        <v>16529398.049999999</v>
      </c>
      <c r="W233" s="5">
        <f t="shared" si="34"/>
        <v>4611853553</v>
      </c>
      <c r="X233" s="5">
        <f t="shared" si="34"/>
        <v>5852116.2300000004</v>
      </c>
      <c r="Y233" s="5">
        <f t="shared" si="34"/>
        <v>698069729.45999992</v>
      </c>
      <c r="Z233" s="5">
        <f t="shared" si="34"/>
        <v>17671058.509999998</v>
      </c>
      <c r="AA233" s="5"/>
      <c r="AB233" s="5">
        <f t="shared" si="34"/>
        <v>0</v>
      </c>
      <c r="AC233" s="5">
        <f t="shared" si="34"/>
        <v>1248895.04</v>
      </c>
      <c r="AD233" s="5">
        <f t="shared" si="34"/>
        <v>23253243.030000001</v>
      </c>
      <c r="AE233" s="5">
        <f t="shared" si="34"/>
        <v>0</v>
      </c>
      <c r="AF233" s="5">
        <f t="shared" si="34"/>
        <v>1316446.3100000003</v>
      </c>
      <c r="AG233" s="5">
        <f t="shared" si="34"/>
        <v>1204.3</v>
      </c>
      <c r="AH233" s="5">
        <f t="shared" si="34"/>
        <v>3915340.29</v>
      </c>
      <c r="AI233" s="5">
        <f t="shared" si="34"/>
        <v>4118682.2500000005</v>
      </c>
      <c r="AJ233" s="5">
        <f t="shared" ref="AJ233:BB233" si="35">SUM(AJ221:AJ232)</f>
        <v>0</v>
      </c>
      <c r="AK233" s="5">
        <f t="shared" si="35"/>
        <v>10637042.840000002</v>
      </c>
      <c r="AL233" s="5">
        <f t="shared" si="35"/>
        <v>364.26</v>
      </c>
      <c r="AM233" s="5">
        <f t="shared" si="35"/>
        <v>487714.79000000004</v>
      </c>
      <c r="AN233" s="5">
        <f t="shared" si="35"/>
        <v>0</v>
      </c>
      <c r="AO233" s="5">
        <f t="shared" si="35"/>
        <v>6095672.9699999997</v>
      </c>
      <c r="AP233" s="5">
        <f t="shared" si="35"/>
        <v>0</v>
      </c>
      <c r="AQ233" s="5">
        <f t="shared" si="35"/>
        <v>575660.39999999991</v>
      </c>
      <c r="AR233" s="5">
        <f t="shared" si="35"/>
        <v>8351203.0000000009</v>
      </c>
      <c r="AS233" s="5">
        <f t="shared" si="35"/>
        <v>895.48</v>
      </c>
      <c r="AT233" s="5">
        <f t="shared" si="35"/>
        <v>3499.5</v>
      </c>
      <c r="AU233" s="5">
        <f t="shared" si="35"/>
        <v>90.8</v>
      </c>
      <c r="AV233" s="5">
        <f t="shared" si="35"/>
        <v>8798242.1699999999</v>
      </c>
      <c r="AW233" s="5">
        <f t="shared" si="35"/>
        <v>43563455.49000001</v>
      </c>
      <c r="AX233" s="5">
        <f t="shared" si="35"/>
        <v>34960057.590000004</v>
      </c>
      <c r="AY233" s="5">
        <f t="shared" si="35"/>
        <v>23306231.09</v>
      </c>
      <c r="AZ233" s="5">
        <f t="shared" si="35"/>
        <v>4039039.7600000002</v>
      </c>
      <c r="BA233" s="5">
        <f t="shared" si="35"/>
        <v>33943970.32</v>
      </c>
      <c r="BB233" s="5">
        <f t="shared" si="35"/>
        <v>5592091559.4499998</v>
      </c>
    </row>
    <row r="234" spans="1:54" ht="15.75" thickTop="1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</row>
    <row r="235" spans="1:54" x14ac:dyDescent="0.2">
      <c r="A235" s="3">
        <v>39448</v>
      </c>
      <c r="B235" s="4">
        <v>0</v>
      </c>
      <c r="C235" s="4">
        <v>653472.57999999996</v>
      </c>
      <c r="D235" s="4">
        <v>0</v>
      </c>
      <c r="E235" s="4">
        <v>0</v>
      </c>
      <c r="F235" s="4">
        <v>0</v>
      </c>
      <c r="G235" s="4">
        <v>188039.75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213214.85</v>
      </c>
      <c r="N235" s="4">
        <v>173429.28</v>
      </c>
      <c r="O235" s="4">
        <v>190518.95</v>
      </c>
      <c r="P235" s="4">
        <v>676323.59</v>
      </c>
      <c r="Q235" s="4">
        <v>207491.61</v>
      </c>
      <c r="R235" s="4">
        <v>0</v>
      </c>
      <c r="S235" s="4">
        <v>120921.93</v>
      </c>
      <c r="T235" s="4">
        <v>57358.65</v>
      </c>
      <c r="U235" s="4">
        <v>0</v>
      </c>
      <c r="V235" s="4">
        <v>1517392.38</v>
      </c>
      <c r="W235" s="4">
        <v>15227019.899999999</v>
      </c>
      <c r="X235" s="4">
        <v>451977.41</v>
      </c>
      <c r="Y235" s="4">
        <v>58542460.619999997</v>
      </c>
      <c r="Z235" s="4"/>
      <c r="AA235" s="4"/>
      <c r="AB235" s="4">
        <v>383579994.33999997</v>
      </c>
      <c r="AC235" s="4">
        <v>117874.65</v>
      </c>
      <c r="AD235" s="4">
        <v>1905419.67</v>
      </c>
      <c r="AE235" s="4">
        <v>0</v>
      </c>
      <c r="AF235" s="4">
        <v>101290.2</v>
      </c>
      <c r="AG235" s="4">
        <v>0</v>
      </c>
      <c r="AH235" s="4">
        <v>338485.32</v>
      </c>
      <c r="AI235" s="4">
        <v>359192.7</v>
      </c>
      <c r="AJ235" s="4">
        <v>0</v>
      </c>
      <c r="AK235" s="4">
        <v>920208.79</v>
      </c>
      <c r="AL235" s="4">
        <v>0</v>
      </c>
      <c r="AM235" s="4">
        <v>50717.17</v>
      </c>
      <c r="AN235" s="4">
        <v>0</v>
      </c>
      <c r="AO235" s="4">
        <v>469520.81</v>
      </c>
      <c r="AP235" s="4">
        <v>0</v>
      </c>
      <c r="AQ235" s="4">
        <v>40580.120000000003</v>
      </c>
      <c r="AR235" s="4">
        <v>587715.31000000006</v>
      </c>
      <c r="AS235" s="4">
        <v>0</v>
      </c>
      <c r="AT235" s="4">
        <v>16914.27</v>
      </c>
      <c r="AU235" s="4">
        <v>0</v>
      </c>
      <c r="AV235" s="4">
        <v>686303.89</v>
      </c>
      <c r="AW235" s="4">
        <v>4124903.85</v>
      </c>
      <c r="AX235" s="4">
        <v>3223201.25</v>
      </c>
      <c r="AY235" s="4">
        <v>2148817.15</v>
      </c>
      <c r="AZ235" s="4"/>
      <c r="BA235" s="4">
        <v>105513.81</v>
      </c>
      <c r="BB235" s="4">
        <f>SUM(B235:BA235)</f>
        <v>476996274.79999995</v>
      </c>
    </row>
    <row r="236" spans="1:54" x14ac:dyDescent="0.2">
      <c r="A236" s="3">
        <v>39479</v>
      </c>
      <c r="B236" s="4">
        <v>0</v>
      </c>
      <c r="C236" s="4">
        <v>555836.93999999994</v>
      </c>
      <c r="D236" s="4">
        <v>0</v>
      </c>
      <c r="E236" s="4">
        <v>0</v>
      </c>
      <c r="F236" s="4">
        <v>0</v>
      </c>
      <c r="G236" s="4">
        <v>163646.21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184318.13</v>
      </c>
      <c r="N236" s="4">
        <v>145125.87</v>
      </c>
      <c r="O236" s="4">
        <v>164580.07999999999</v>
      </c>
      <c r="P236" s="4">
        <v>586660.18999999994</v>
      </c>
      <c r="Q236" s="4">
        <v>175499.51</v>
      </c>
      <c r="R236" s="4">
        <v>0</v>
      </c>
      <c r="S236" s="4">
        <v>107925.04</v>
      </c>
      <c r="T236" s="4">
        <v>55877.27</v>
      </c>
      <c r="U236" s="4">
        <v>0</v>
      </c>
      <c r="V236" s="4">
        <v>1284439.52</v>
      </c>
      <c r="W236" s="4">
        <v>11884241.57</v>
      </c>
      <c r="X236" s="4">
        <v>386334.88</v>
      </c>
      <c r="Y236" s="4">
        <v>50376976.18</v>
      </c>
      <c r="Z236" s="4"/>
      <c r="AA236" s="4"/>
      <c r="AB236" s="4">
        <v>328897377</v>
      </c>
      <c r="AC236" s="4">
        <v>102501.31</v>
      </c>
      <c r="AD236" s="4">
        <v>1635217.65</v>
      </c>
      <c r="AE236" s="4">
        <v>0</v>
      </c>
      <c r="AF236" s="4">
        <v>77647.47</v>
      </c>
      <c r="AG236" s="4">
        <v>0</v>
      </c>
      <c r="AH236" s="4">
        <v>288761.02</v>
      </c>
      <c r="AI236" s="4">
        <v>312047.96000000002</v>
      </c>
      <c r="AJ236" s="4">
        <v>0</v>
      </c>
      <c r="AK236" s="4">
        <v>798408.75</v>
      </c>
      <c r="AL236" s="4">
        <v>0</v>
      </c>
      <c r="AM236" s="4">
        <v>44060.17</v>
      </c>
      <c r="AN236" s="4">
        <v>0</v>
      </c>
      <c r="AO236" s="4">
        <v>402708.27</v>
      </c>
      <c r="AP236" s="4">
        <v>0</v>
      </c>
      <c r="AQ236" s="4">
        <v>34154.620000000003</v>
      </c>
      <c r="AR236" s="4">
        <v>497261.5</v>
      </c>
      <c r="AS236" s="4">
        <v>0</v>
      </c>
      <c r="AT236" s="4">
        <v>12717.52</v>
      </c>
      <c r="AU236" s="4">
        <v>0</v>
      </c>
      <c r="AV236" s="4">
        <v>594730.53</v>
      </c>
      <c r="AW236" s="4">
        <v>3531816.28</v>
      </c>
      <c r="AX236" s="4">
        <v>2724125.84</v>
      </c>
      <c r="AY236" s="4">
        <v>1816093.16</v>
      </c>
      <c r="AZ236" s="4"/>
      <c r="BA236" s="4">
        <v>20008.95</v>
      </c>
      <c r="BB236" s="4">
        <f t="shared" ref="BB236:BB246" si="36">SUM(B236:BA236)</f>
        <v>407861099.38999987</v>
      </c>
    </row>
    <row r="237" spans="1:54" x14ac:dyDescent="0.2">
      <c r="A237" s="3">
        <v>39508</v>
      </c>
      <c r="B237" s="4">
        <v>94.38</v>
      </c>
      <c r="C237" s="4">
        <v>737996.13</v>
      </c>
      <c r="D237" s="4">
        <v>3062.52</v>
      </c>
      <c r="E237" s="4">
        <v>0</v>
      </c>
      <c r="F237" s="4">
        <v>5757.68</v>
      </c>
      <c r="G237" s="4">
        <v>220602.73</v>
      </c>
      <c r="H237" s="4">
        <v>184.26</v>
      </c>
      <c r="I237" s="4">
        <v>529.4</v>
      </c>
      <c r="J237" s="4">
        <v>0</v>
      </c>
      <c r="K237" s="4">
        <v>2113.0100000000002</v>
      </c>
      <c r="L237" s="4">
        <v>0</v>
      </c>
      <c r="M237" s="4">
        <v>256565.87</v>
      </c>
      <c r="N237" s="4">
        <v>221365.89</v>
      </c>
      <c r="O237" s="4">
        <v>213811.67</v>
      </c>
      <c r="P237" s="4">
        <v>1017293.37</v>
      </c>
      <c r="Q237" s="4">
        <v>273410.87</v>
      </c>
      <c r="R237" s="4">
        <v>0</v>
      </c>
      <c r="S237" s="4">
        <v>326139.11</v>
      </c>
      <c r="T237" s="4">
        <v>128539.05</v>
      </c>
      <c r="U237" s="4">
        <v>0</v>
      </c>
      <c r="V237" s="4">
        <v>1615018.97</v>
      </c>
      <c r="W237" s="4">
        <v>25283934.48</v>
      </c>
      <c r="X237" s="4">
        <v>598903.1</v>
      </c>
      <c r="Y237" s="4">
        <v>78544452.129999995</v>
      </c>
      <c r="Z237" s="4"/>
      <c r="AA237" s="4"/>
      <c r="AB237" s="4">
        <v>457821191.62999994</v>
      </c>
      <c r="AC237" s="4">
        <v>138213.71</v>
      </c>
      <c r="AD237" s="4">
        <v>2987851.77</v>
      </c>
      <c r="AE237" s="4">
        <v>0</v>
      </c>
      <c r="AF237" s="4">
        <v>184752.87</v>
      </c>
      <c r="AG237" s="4">
        <v>0</v>
      </c>
      <c r="AH237" s="4">
        <v>440872.1</v>
      </c>
      <c r="AI237" s="4">
        <v>350752.05</v>
      </c>
      <c r="AJ237" s="4">
        <v>0</v>
      </c>
      <c r="AK237" s="4">
        <v>1206737.2</v>
      </c>
      <c r="AL237" s="4">
        <v>0</v>
      </c>
      <c r="AM237" s="4">
        <v>24906.23</v>
      </c>
      <c r="AN237" s="4">
        <v>0</v>
      </c>
      <c r="AO237" s="4">
        <v>623517.18000000005</v>
      </c>
      <c r="AP237" s="4">
        <v>0</v>
      </c>
      <c r="AQ237" s="4">
        <v>68163.11</v>
      </c>
      <c r="AR237" s="4">
        <v>816681.57</v>
      </c>
      <c r="AS237" s="4">
        <v>312.69</v>
      </c>
      <c r="AT237" s="4">
        <v>19814.32</v>
      </c>
      <c r="AU237" s="4">
        <v>0</v>
      </c>
      <c r="AV237" s="4">
        <v>815942.66</v>
      </c>
      <c r="AW237" s="4">
        <v>3561246.42</v>
      </c>
      <c r="AX237" s="4">
        <v>3973955.65</v>
      </c>
      <c r="AY237" s="4">
        <v>2649180.04</v>
      </c>
      <c r="AZ237" s="4"/>
      <c r="BA237" s="4">
        <v>8297895.3499999996</v>
      </c>
      <c r="BB237" s="4">
        <f t="shared" si="36"/>
        <v>593431761.17000008</v>
      </c>
    </row>
    <row r="238" spans="1:54" x14ac:dyDescent="0.2">
      <c r="A238" s="3">
        <v>39539</v>
      </c>
      <c r="B238" s="4">
        <v>0</v>
      </c>
      <c r="C238" s="4">
        <v>557603.68000000005</v>
      </c>
      <c r="D238" s="4">
        <v>0</v>
      </c>
      <c r="E238" s="4">
        <v>0</v>
      </c>
      <c r="F238" s="4">
        <v>0</v>
      </c>
      <c r="G238" s="4">
        <v>182381.15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205617.59</v>
      </c>
      <c r="N238" s="4">
        <v>169725.47</v>
      </c>
      <c r="O238" s="4">
        <v>165978.94</v>
      </c>
      <c r="P238" s="4">
        <v>661451.1</v>
      </c>
      <c r="Q238" s="4">
        <v>205818.03</v>
      </c>
      <c r="R238" s="4">
        <v>0</v>
      </c>
      <c r="S238" s="4">
        <v>162088.66</v>
      </c>
      <c r="T238" s="4">
        <v>50459.18</v>
      </c>
      <c r="U238" s="4">
        <v>0</v>
      </c>
      <c r="V238" s="4">
        <v>1337623.1499999999</v>
      </c>
      <c r="W238" s="4">
        <v>12960843.73</v>
      </c>
      <c r="X238" s="4">
        <v>449832.51</v>
      </c>
      <c r="Y238" s="4">
        <v>54009359.5</v>
      </c>
      <c r="Z238" s="4"/>
      <c r="AA238" s="4"/>
      <c r="AB238" s="4">
        <v>354560623.84000003</v>
      </c>
      <c r="AC238" s="4">
        <v>208710.31</v>
      </c>
      <c r="AD238" s="4">
        <v>1882261.58</v>
      </c>
      <c r="AE238" s="4">
        <v>0</v>
      </c>
      <c r="AF238" s="4">
        <v>95564.81</v>
      </c>
      <c r="AG238" s="4">
        <v>0</v>
      </c>
      <c r="AH238" s="4">
        <v>276271.48</v>
      </c>
      <c r="AI238" s="4">
        <v>335656.75</v>
      </c>
      <c r="AJ238" s="4">
        <v>0</v>
      </c>
      <c r="AK238" s="4">
        <v>915216.13</v>
      </c>
      <c r="AL238" s="4">
        <v>0</v>
      </c>
      <c r="AM238" s="4">
        <v>31070.79</v>
      </c>
      <c r="AN238" s="4">
        <v>0</v>
      </c>
      <c r="AO238" s="4">
        <v>463888.08</v>
      </c>
      <c r="AP238" s="4">
        <v>0</v>
      </c>
      <c r="AQ238" s="4">
        <v>40027.769999999997</v>
      </c>
      <c r="AR238" s="4">
        <v>610868.81999999995</v>
      </c>
      <c r="AS238" s="4">
        <v>0</v>
      </c>
      <c r="AT238" s="4">
        <v>14671.79</v>
      </c>
      <c r="AU238" s="4">
        <v>0</v>
      </c>
      <c r="AV238" s="4">
        <v>675432.32</v>
      </c>
      <c r="AW238" s="4">
        <v>3279261.61</v>
      </c>
      <c r="AX238" s="4">
        <v>2690481.08</v>
      </c>
      <c r="AY238" s="4">
        <v>1793624.7</v>
      </c>
      <c r="AZ238" s="4"/>
      <c r="BA238" s="4">
        <v>125362.42</v>
      </c>
      <c r="BB238" s="4">
        <f t="shared" si="36"/>
        <v>439117776.97000003</v>
      </c>
    </row>
    <row r="239" spans="1:54" x14ac:dyDescent="0.2">
      <c r="A239" s="3">
        <v>39569</v>
      </c>
      <c r="B239" s="4">
        <v>0</v>
      </c>
      <c r="C239" s="4">
        <v>571337.93999999994</v>
      </c>
      <c r="D239" s="4">
        <v>0</v>
      </c>
      <c r="E239" s="4">
        <v>0</v>
      </c>
      <c r="F239" s="4">
        <v>0</v>
      </c>
      <c r="G239" s="4">
        <v>177813.86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202645.43</v>
      </c>
      <c r="N239" s="4">
        <v>186524.59</v>
      </c>
      <c r="O239" s="4">
        <v>174803.1</v>
      </c>
      <c r="P239" s="4">
        <v>671441.03</v>
      </c>
      <c r="Q239" s="4">
        <v>218031.85</v>
      </c>
      <c r="R239" s="4">
        <v>0</v>
      </c>
      <c r="S239" s="4">
        <v>149461.35</v>
      </c>
      <c r="T239" s="4">
        <v>48729.69</v>
      </c>
      <c r="U239" s="4">
        <v>0</v>
      </c>
      <c r="V239" s="4">
        <v>1379641.89</v>
      </c>
      <c r="W239" s="4">
        <v>12625711.439999999</v>
      </c>
      <c r="X239" s="4">
        <v>428869.48</v>
      </c>
      <c r="Y239" s="4">
        <v>54424864.729999997</v>
      </c>
      <c r="Z239" s="4"/>
      <c r="AA239" s="4"/>
      <c r="AB239" s="4">
        <v>352204426.54000002</v>
      </c>
      <c r="AC239" s="4">
        <v>120516.93</v>
      </c>
      <c r="AD239" s="4">
        <v>1953006.8</v>
      </c>
      <c r="AE239" s="4">
        <v>0</v>
      </c>
      <c r="AF239" s="4">
        <v>96755.98</v>
      </c>
      <c r="AG239" s="4">
        <v>0</v>
      </c>
      <c r="AH239" s="4">
        <v>290459.12</v>
      </c>
      <c r="AI239" s="4">
        <v>330120.75</v>
      </c>
      <c r="AJ239" s="4">
        <v>0</v>
      </c>
      <c r="AK239" s="4">
        <v>915303.28</v>
      </c>
      <c r="AL239" s="4">
        <v>0</v>
      </c>
      <c r="AM239" s="4">
        <v>31610.73</v>
      </c>
      <c r="AN239" s="4">
        <v>0</v>
      </c>
      <c r="AO239" s="4">
        <v>480691.82</v>
      </c>
      <c r="AP239" s="4">
        <v>0</v>
      </c>
      <c r="AQ239" s="4">
        <v>38578.589999999997</v>
      </c>
      <c r="AR239" s="4">
        <v>588499.31999999995</v>
      </c>
      <c r="AS239" s="4">
        <v>0</v>
      </c>
      <c r="AT239" s="4">
        <v>14871.41</v>
      </c>
      <c r="AU239" s="4">
        <v>0</v>
      </c>
      <c r="AV239" s="4">
        <v>681342.91</v>
      </c>
      <c r="AW239" s="4">
        <v>3411645.72</v>
      </c>
      <c r="AX239" s="4">
        <v>2888418.46</v>
      </c>
      <c r="AY239" s="4">
        <v>1925545.44</v>
      </c>
      <c r="AZ239" s="4"/>
      <c r="BA239" s="4">
        <v>49359.13</v>
      </c>
      <c r="BB239" s="4">
        <f t="shared" si="36"/>
        <v>437281029.31000006</v>
      </c>
    </row>
    <row r="240" spans="1:54" x14ac:dyDescent="0.2">
      <c r="A240" s="3">
        <v>39600</v>
      </c>
      <c r="B240" s="4">
        <v>438.82</v>
      </c>
      <c r="C240" s="4">
        <v>867838.09</v>
      </c>
      <c r="D240" s="4">
        <v>9183.36</v>
      </c>
      <c r="E240" s="4">
        <v>0</v>
      </c>
      <c r="F240" s="4">
        <v>1912.32</v>
      </c>
      <c r="G240" s="4">
        <v>268107.5</v>
      </c>
      <c r="H240" s="4">
        <v>1032.93</v>
      </c>
      <c r="I240" s="4">
        <v>1382.24</v>
      </c>
      <c r="J240" s="4">
        <v>0</v>
      </c>
      <c r="K240" s="4">
        <v>6323.95</v>
      </c>
      <c r="L240" s="4">
        <v>0</v>
      </c>
      <c r="M240" s="4">
        <v>356945.93</v>
      </c>
      <c r="N240" s="4">
        <v>245795.28</v>
      </c>
      <c r="O240" s="4">
        <v>264034.82</v>
      </c>
      <c r="P240" s="4">
        <v>1275256.77</v>
      </c>
      <c r="Q240" s="4">
        <v>333913.67</v>
      </c>
      <c r="R240" s="4">
        <v>0</v>
      </c>
      <c r="S240" s="4">
        <v>461256.49</v>
      </c>
      <c r="T240" s="4">
        <v>209335.14</v>
      </c>
      <c r="U240" s="4">
        <v>0</v>
      </c>
      <c r="V240" s="4">
        <v>1950022.31</v>
      </c>
      <c r="W240" s="4">
        <v>21322415.98</v>
      </c>
      <c r="X240" s="4">
        <v>565205.67000000004</v>
      </c>
      <c r="Y240" s="4">
        <v>87403744.730000004</v>
      </c>
      <c r="Z240" s="4"/>
      <c r="AA240" s="4"/>
      <c r="AB240" s="4">
        <v>505026399.24000001</v>
      </c>
      <c r="AC240" s="4">
        <v>48394.61</v>
      </c>
      <c r="AD240" s="4">
        <v>2645603.2599999998</v>
      </c>
      <c r="AE240" s="4">
        <v>0</v>
      </c>
      <c r="AF240" s="4">
        <v>177664.45</v>
      </c>
      <c r="AG240" s="4">
        <v>0</v>
      </c>
      <c r="AH240" s="4">
        <v>399072.65</v>
      </c>
      <c r="AI240" s="4">
        <v>398618.14</v>
      </c>
      <c r="AJ240" s="4">
        <v>0</v>
      </c>
      <c r="AK240" s="4">
        <v>1128482.51</v>
      </c>
      <c r="AL240" s="4">
        <v>0</v>
      </c>
      <c r="AM240" s="4">
        <v>33501.54</v>
      </c>
      <c r="AN240" s="4">
        <v>0</v>
      </c>
      <c r="AO240" s="4">
        <v>693811.75</v>
      </c>
      <c r="AP240" s="4">
        <v>0</v>
      </c>
      <c r="AQ240" s="4">
        <v>46724.98</v>
      </c>
      <c r="AR240" s="4">
        <v>1072054.97</v>
      </c>
      <c r="AS240" s="4">
        <v>695.41</v>
      </c>
      <c r="AT240" s="4">
        <v>20331.57</v>
      </c>
      <c r="AU240" s="4">
        <v>164.1</v>
      </c>
      <c r="AV240" s="4">
        <v>803252.61</v>
      </c>
      <c r="AW240" s="4">
        <v>4794423.18</v>
      </c>
      <c r="AX240" s="4">
        <v>3533379.83</v>
      </c>
      <c r="AY240" s="4">
        <v>2355518.29</v>
      </c>
      <c r="AZ240" s="4"/>
      <c r="BA240" s="4">
        <v>10924564.5</v>
      </c>
      <c r="BB240" s="4">
        <f t="shared" si="36"/>
        <v>649646803.59000003</v>
      </c>
    </row>
    <row r="241" spans="1:54" x14ac:dyDescent="0.2">
      <c r="A241" s="3">
        <v>39630</v>
      </c>
      <c r="B241" s="4">
        <v>0</v>
      </c>
      <c r="C241" s="4">
        <v>616551.93999999994</v>
      </c>
      <c r="D241" s="4">
        <v>0</v>
      </c>
      <c r="E241" s="4">
        <v>0</v>
      </c>
      <c r="F241" s="4">
        <v>0</v>
      </c>
      <c r="G241" s="4">
        <v>195664.68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226393.81</v>
      </c>
      <c r="N241" s="4">
        <v>199993.21</v>
      </c>
      <c r="O241" s="4">
        <v>176504.56</v>
      </c>
      <c r="P241" s="4">
        <v>704764</v>
      </c>
      <c r="Q241" s="4">
        <v>226768.59</v>
      </c>
      <c r="R241" s="4">
        <v>0</v>
      </c>
      <c r="S241" s="4">
        <v>148124.82</v>
      </c>
      <c r="T241" s="4">
        <v>68699.87</v>
      </c>
      <c r="U241" s="4">
        <v>0</v>
      </c>
      <c r="V241" s="4">
        <v>1303984.9099999999</v>
      </c>
      <c r="W241" s="4">
        <v>13209853.260000002</v>
      </c>
      <c r="X241" s="4">
        <v>531316.98</v>
      </c>
      <c r="Y241" s="4">
        <v>55941439.350000001</v>
      </c>
      <c r="Z241" s="4"/>
      <c r="AA241" s="4"/>
      <c r="AB241" s="4">
        <v>351594942.75999999</v>
      </c>
      <c r="AC241" s="4">
        <v>113114.18</v>
      </c>
      <c r="AD241" s="4">
        <v>1967388.63</v>
      </c>
      <c r="AE241" s="4">
        <v>0</v>
      </c>
      <c r="AF241" s="4">
        <v>108761.62</v>
      </c>
      <c r="AG241" s="4">
        <v>0</v>
      </c>
      <c r="AH241" s="4">
        <v>286536.84000000003</v>
      </c>
      <c r="AI241" s="4">
        <v>329036.84000000003</v>
      </c>
      <c r="AJ241" s="4">
        <v>0</v>
      </c>
      <c r="AK241" s="4">
        <v>984118.86</v>
      </c>
      <c r="AL241" s="4">
        <v>0</v>
      </c>
      <c r="AM241" s="4">
        <v>26076.25</v>
      </c>
      <c r="AN241" s="4">
        <v>0</v>
      </c>
      <c r="AO241" s="4">
        <v>506333.49</v>
      </c>
      <c r="AP241" s="4">
        <v>0</v>
      </c>
      <c r="AQ241" s="4">
        <v>36535.9</v>
      </c>
      <c r="AR241" s="4">
        <v>822025.87</v>
      </c>
      <c r="AS241" s="4">
        <v>0</v>
      </c>
      <c r="AT241" s="4">
        <v>14805.03</v>
      </c>
      <c r="AU241" s="4">
        <v>0</v>
      </c>
      <c r="AV241" s="4">
        <v>727573.01</v>
      </c>
      <c r="AW241" s="4">
        <v>3938113.71</v>
      </c>
      <c r="AX241" s="4">
        <v>2815062.7</v>
      </c>
      <c r="AY241" s="4">
        <v>1876691.46</v>
      </c>
      <c r="AZ241" s="4"/>
      <c r="BA241" s="4">
        <v>51493.18</v>
      </c>
      <c r="BB241" s="4">
        <f t="shared" si="36"/>
        <v>439748670.30999988</v>
      </c>
    </row>
    <row r="242" spans="1:54" x14ac:dyDescent="0.2">
      <c r="A242" s="3">
        <v>39661</v>
      </c>
      <c r="B242" s="4">
        <v>0</v>
      </c>
      <c r="C242" s="4">
        <v>567154.86</v>
      </c>
      <c r="D242" s="4">
        <v>0</v>
      </c>
      <c r="E242" s="4">
        <v>0</v>
      </c>
      <c r="F242" s="4">
        <v>0</v>
      </c>
      <c r="G242" s="4">
        <v>197779.72999999998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235461.7</v>
      </c>
      <c r="N242" s="4">
        <v>184259.28000000003</v>
      </c>
      <c r="O242" s="4">
        <v>174576.06</v>
      </c>
      <c r="P242" s="4">
        <v>695349.77</v>
      </c>
      <c r="Q242" s="4">
        <v>220246.08000000002</v>
      </c>
      <c r="R242" s="4">
        <v>0</v>
      </c>
      <c r="S242" s="4">
        <v>147476.31</v>
      </c>
      <c r="T242" s="4">
        <v>66334.67</v>
      </c>
      <c r="U242" s="4">
        <v>0</v>
      </c>
      <c r="V242" s="4">
        <v>1271472.3799999999</v>
      </c>
      <c r="W242" s="4">
        <v>12488873.779999999</v>
      </c>
      <c r="X242" s="4">
        <v>513629.23</v>
      </c>
      <c r="Y242" s="4">
        <v>56290059.890000001</v>
      </c>
      <c r="Z242" s="4"/>
      <c r="AA242" s="4"/>
      <c r="AB242" s="4">
        <v>355026471.81</v>
      </c>
      <c r="AC242" s="4">
        <v>87259.590000000011</v>
      </c>
      <c r="AD242" s="4">
        <v>2043778.9100000001</v>
      </c>
      <c r="AE242" s="4">
        <v>0</v>
      </c>
      <c r="AF242" s="4">
        <v>91378.010000000009</v>
      </c>
      <c r="AG242" s="4">
        <v>0</v>
      </c>
      <c r="AH242" s="4">
        <v>282037.79000000004</v>
      </c>
      <c r="AI242" s="4">
        <v>332376.30000000005</v>
      </c>
      <c r="AJ242" s="4">
        <v>0</v>
      </c>
      <c r="AK242" s="4">
        <v>926466.03</v>
      </c>
      <c r="AL242" s="4">
        <v>0</v>
      </c>
      <c r="AM242" s="4">
        <v>26294.75</v>
      </c>
      <c r="AN242" s="4">
        <v>0</v>
      </c>
      <c r="AO242" s="4">
        <v>506250.76999999996</v>
      </c>
      <c r="AP242" s="4">
        <v>0</v>
      </c>
      <c r="AQ242" s="4">
        <v>34679</v>
      </c>
      <c r="AR242" s="4">
        <v>823128.87000000011</v>
      </c>
      <c r="AS242" s="4">
        <v>0</v>
      </c>
      <c r="AT242" s="4">
        <v>15191.500000000002</v>
      </c>
      <c r="AU242" s="4">
        <v>0</v>
      </c>
      <c r="AV242" s="4">
        <v>693515.54</v>
      </c>
      <c r="AW242" s="4">
        <v>3931818.08</v>
      </c>
      <c r="AX242" s="4">
        <v>2727269.2699999996</v>
      </c>
      <c r="AY242" s="4">
        <v>1818162.91</v>
      </c>
      <c r="AZ242" s="4"/>
      <c r="BA242" s="4">
        <v>21564.68</v>
      </c>
      <c r="BB242" s="4">
        <f t="shared" si="36"/>
        <v>442440317.55000001</v>
      </c>
    </row>
    <row r="243" spans="1:54" x14ac:dyDescent="0.2">
      <c r="A243" s="3">
        <v>39692</v>
      </c>
      <c r="B243" s="4">
        <v>76.290000000000006</v>
      </c>
      <c r="C243" s="4">
        <v>783871.64999999991</v>
      </c>
      <c r="D243" s="4">
        <v>191.17</v>
      </c>
      <c r="E243" s="4">
        <v>0</v>
      </c>
      <c r="F243" s="4">
        <v>0</v>
      </c>
      <c r="G243" s="4">
        <v>364827.62</v>
      </c>
      <c r="H243" s="4">
        <v>393.81</v>
      </c>
      <c r="I243" s="4">
        <v>1499.07</v>
      </c>
      <c r="J243" s="4">
        <v>19177.39</v>
      </c>
      <c r="K243" s="4">
        <v>6016.65</v>
      </c>
      <c r="L243" s="4">
        <v>0</v>
      </c>
      <c r="M243" s="4">
        <v>216594.4</v>
      </c>
      <c r="N243" s="4">
        <v>238682.38</v>
      </c>
      <c r="O243" s="4">
        <v>261719.71</v>
      </c>
      <c r="P243" s="4">
        <v>1196976.47</v>
      </c>
      <c r="Q243" s="4">
        <v>373356.75</v>
      </c>
      <c r="R243" s="4">
        <v>0</v>
      </c>
      <c r="S243" s="4">
        <v>317628.38</v>
      </c>
      <c r="T243" s="4">
        <v>226794.38</v>
      </c>
      <c r="U243" s="4">
        <v>0</v>
      </c>
      <c r="V243" s="4">
        <v>2078361.76</v>
      </c>
      <c r="W243" s="4">
        <v>426085926.97999996</v>
      </c>
      <c r="X243" s="4">
        <v>470551.01</v>
      </c>
      <c r="Y243" s="4">
        <v>85525786.390000001</v>
      </c>
      <c r="Z243" s="4"/>
      <c r="AA243" s="4"/>
      <c r="AB243" s="4">
        <v>95717033.819999993</v>
      </c>
      <c r="AC243" s="4">
        <v>72850.100000000006</v>
      </c>
      <c r="AD243" s="4">
        <v>2634903.7400000002</v>
      </c>
      <c r="AE243" s="4">
        <v>0</v>
      </c>
      <c r="AF243" s="4">
        <v>194466.55</v>
      </c>
      <c r="AG243" s="4">
        <v>0</v>
      </c>
      <c r="AH243" s="4">
        <v>436952.31</v>
      </c>
      <c r="AI243" s="4">
        <v>431314.65</v>
      </c>
      <c r="AJ243" s="4">
        <v>0</v>
      </c>
      <c r="AK243" s="4">
        <v>1069604.78</v>
      </c>
      <c r="AL243" s="4">
        <v>0</v>
      </c>
      <c r="AM243" s="4">
        <v>28762.799999999999</v>
      </c>
      <c r="AN243" s="4">
        <v>0</v>
      </c>
      <c r="AO243" s="4">
        <v>597650.74</v>
      </c>
      <c r="AP243" s="4">
        <v>0</v>
      </c>
      <c r="AQ243" s="4">
        <v>61532.75</v>
      </c>
      <c r="AR243" s="4">
        <v>1080521.28</v>
      </c>
      <c r="AS243" s="4">
        <v>108.31</v>
      </c>
      <c r="AT243" s="4">
        <v>7983.29</v>
      </c>
      <c r="AU243" s="4">
        <v>0</v>
      </c>
      <c r="AV243" s="4">
        <v>1003386.26</v>
      </c>
      <c r="AW243" s="4">
        <v>4606798.8499999996</v>
      </c>
      <c r="AX243" s="4">
        <v>3724090.31</v>
      </c>
      <c r="AY243" s="4">
        <v>2482718.52</v>
      </c>
      <c r="AZ243" s="4">
        <v>0</v>
      </c>
      <c r="BA243" s="4">
        <v>9254331.8900000006</v>
      </c>
      <c r="BB243" s="4">
        <f t="shared" si="36"/>
        <v>641573443.20999956</v>
      </c>
    </row>
    <row r="244" spans="1:54" x14ac:dyDescent="0.2">
      <c r="A244" s="3">
        <v>39722</v>
      </c>
      <c r="B244" s="4">
        <v>0</v>
      </c>
      <c r="C244" s="4">
        <v>528977.48</v>
      </c>
      <c r="D244" s="4">
        <v>0</v>
      </c>
      <c r="E244" s="4">
        <v>0</v>
      </c>
      <c r="F244" s="4">
        <v>0</v>
      </c>
      <c r="G244" s="4">
        <v>183184.75999999998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202880</v>
      </c>
      <c r="N244" s="4">
        <v>162670.57</v>
      </c>
      <c r="O244" s="4">
        <v>168064.28</v>
      </c>
      <c r="P244" s="4">
        <v>630690.90999999992</v>
      </c>
      <c r="Q244" s="4">
        <v>206874.93</v>
      </c>
      <c r="R244" s="4">
        <v>0</v>
      </c>
      <c r="S244" s="4">
        <v>118516.9</v>
      </c>
      <c r="T244" s="4">
        <v>47808.94</v>
      </c>
      <c r="U244" s="4">
        <v>0</v>
      </c>
      <c r="V244" s="4">
        <v>1254825.57</v>
      </c>
      <c r="W244" s="4">
        <v>365297546.27000004</v>
      </c>
      <c r="X244" s="4">
        <v>459100.44</v>
      </c>
      <c r="Y244" s="4">
        <v>54217539.590000004</v>
      </c>
      <c r="Z244" s="4"/>
      <c r="AA244" s="4"/>
      <c r="AB244" s="4">
        <v>0</v>
      </c>
      <c r="AC244" s="4">
        <v>86667</v>
      </c>
      <c r="AD244" s="4">
        <v>1825417.87</v>
      </c>
      <c r="AE244" s="4">
        <v>0</v>
      </c>
      <c r="AF244" s="4">
        <v>90989.7</v>
      </c>
      <c r="AG244" s="4">
        <v>0</v>
      </c>
      <c r="AH244" s="4">
        <v>303034.31</v>
      </c>
      <c r="AI244" s="4">
        <v>309287.53999999998</v>
      </c>
      <c r="AJ244" s="4">
        <v>0</v>
      </c>
      <c r="AK244" s="4">
        <v>860957.03</v>
      </c>
      <c r="AL244" s="4">
        <v>0</v>
      </c>
      <c r="AM244" s="4">
        <v>22334.97</v>
      </c>
      <c r="AN244" s="4">
        <v>0</v>
      </c>
      <c r="AO244" s="4">
        <v>456318.69999999995</v>
      </c>
      <c r="AP244" s="4">
        <v>0</v>
      </c>
      <c r="AQ244" s="4">
        <v>38738.25</v>
      </c>
      <c r="AR244" s="4">
        <v>601854.57000000007</v>
      </c>
      <c r="AS244" s="4">
        <v>0</v>
      </c>
      <c r="AT244" s="4">
        <v>0</v>
      </c>
      <c r="AU244" s="4">
        <v>0</v>
      </c>
      <c r="AV244" s="4">
        <v>633869.55000000005</v>
      </c>
      <c r="AW244" s="4">
        <v>3825204.3699999996</v>
      </c>
      <c r="AX244" s="4">
        <v>2752255.13</v>
      </c>
      <c r="AY244" s="4">
        <v>1834814.6500000001</v>
      </c>
      <c r="AZ244" s="4">
        <v>0</v>
      </c>
      <c r="BA244" s="4">
        <v>74510.679999999993</v>
      </c>
      <c r="BB244" s="4">
        <f t="shared" si="36"/>
        <v>437194934.95999998</v>
      </c>
    </row>
    <row r="245" spans="1:54" x14ac:dyDescent="0.2">
      <c r="A245" s="3">
        <v>39753</v>
      </c>
      <c r="B245" s="4">
        <v>0</v>
      </c>
      <c r="C245" s="4">
        <v>528881.74</v>
      </c>
      <c r="D245" s="4">
        <v>0</v>
      </c>
      <c r="E245" s="4">
        <v>0</v>
      </c>
      <c r="F245" s="4">
        <v>0</v>
      </c>
      <c r="G245" s="4">
        <v>175811.52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211072.03</v>
      </c>
      <c r="N245" s="4">
        <v>165197.35</v>
      </c>
      <c r="O245" s="4">
        <v>164885.44999999998</v>
      </c>
      <c r="P245" s="4">
        <v>621341.73</v>
      </c>
      <c r="Q245" s="4">
        <v>203332.65999999997</v>
      </c>
      <c r="R245" s="4">
        <v>0</v>
      </c>
      <c r="S245" s="4">
        <v>122188.99999999999</v>
      </c>
      <c r="T245" s="4">
        <v>47140.13</v>
      </c>
      <c r="U245" s="4">
        <v>0</v>
      </c>
      <c r="V245" s="4">
        <v>1231140.48</v>
      </c>
      <c r="W245" s="4">
        <v>354380325.26999998</v>
      </c>
      <c r="X245" s="4">
        <v>383329.76999999996</v>
      </c>
      <c r="Y245" s="4">
        <v>52733885.049999997</v>
      </c>
      <c r="Z245" s="4"/>
      <c r="AA245" s="4"/>
      <c r="AB245" s="4">
        <v>0</v>
      </c>
      <c r="AC245" s="4">
        <v>86792.01999999999</v>
      </c>
      <c r="AD245" s="4">
        <v>1755964.11</v>
      </c>
      <c r="AE245" s="4">
        <v>0</v>
      </c>
      <c r="AF245" s="4">
        <v>76433.070000000007</v>
      </c>
      <c r="AG245" s="4">
        <v>0</v>
      </c>
      <c r="AH245" s="4">
        <v>289982.49</v>
      </c>
      <c r="AI245" s="4">
        <v>308159.64999999997</v>
      </c>
      <c r="AJ245" s="4">
        <v>0</v>
      </c>
      <c r="AK245" s="4">
        <v>847764.24</v>
      </c>
      <c r="AL245" s="4">
        <v>0</v>
      </c>
      <c r="AM245" s="4">
        <v>22368.63</v>
      </c>
      <c r="AN245" s="4">
        <v>0</v>
      </c>
      <c r="AO245" s="4">
        <v>443766.78</v>
      </c>
      <c r="AP245" s="4">
        <v>0</v>
      </c>
      <c r="AQ245" s="4">
        <v>31777.31</v>
      </c>
      <c r="AR245" s="4">
        <v>597123.53</v>
      </c>
      <c r="AS245" s="4">
        <v>0</v>
      </c>
      <c r="AT245" s="4">
        <v>0</v>
      </c>
      <c r="AU245" s="4">
        <v>0</v>
      </c>
      <c r="AV245" s="4">
        <v>626840.82999999996</v>
      </c>
      <c r="AW245" s="4">
        <v>3773552.25</v>
      </c>
      <c r="AX245" s="4">
        <v>2651795.2000000002</v>
      </c>
      <c r="AY245" s="4">
        <v>1767851.04</v>
      </c>
      <c r="AZ245" s="4">
        <v>0</v>
      </c>
      <c r="BA245" s="4">
        <v>25655.3</v>
      </c>
      <c r="BB245" s="4">
        <f t="shared" si="36"/>
        <v>424274358.62999988</v>
      </c>
    </row>
    <row r="246" spans="1:54" x14ac:dyDescent="0.2">
      <c r="A246" s="3">
        <v>39783</v>
      </c>
      <c r="B246" s="4">
        <v>261.06</v>
      </c>
      <c r="C246" s="4">
        <v>698590.33</v>
      </c>
      <c r="D246" s="4">
        <v>292.75</v>
      </c>
      <c r="E246" s="4">
        <v>0</v>
      </c>
      <c r="F246" s="4">
        <v>5930.21</v>
      </c>
      <c r="G246" s="4">
        <v>250389.59999999998</v>
      </c>
      <c r="H246" s="4">
        <v>49.52</v>
      </c>
      <c r="I246" s="4">
        <v>674.17</v>
      </c>
      <c r="J246" s="4">
        <v>0</v>
      </c>
      <c r="K246" s="4">
        <v>3117.84</v>
      </c>
      <c r="L246" s="4">
        <v>0</v>
      </c>
      <c r="M246" s="4">
        <v>283821.92000000004</v>
      </c>
      <c r="N246" s="4">
        <v>192530.86</v>
      </c>
      <c r="O246" s="4">
        <v>263436.21000000002</v>
      </c>
      <c r="P246" s="4">
        <v>1110693.75</v>
      </c>
      <c r="Q246" s="4">
        <v>412585.66</v>
      </c>
      <c r="R246" s="4">
        <v>0</v>
      </c>
      <c r="S246" s="4">
        <v>273027.13</v>
      </c>
      <c r="T246" s="4">
        <v>186603.30000000002</v>
      </c>
      <c r="U246" s="4">
        <v>0</v>
      </c>
      <c r="V246" s="4">
        <v>1855117.67</v>
      </c>
      <c r="W246" s="4">
        <v>445935100.88</v>
      </c>
      <c r="X246" s="4">
        <v>398049.82</v>
      </c>
      <c r="Y246" s="4">
        <v>75357806.650000006</v>
      </c>
      <c r="Z246" s="4"/>
      <c r="AA246" s="4"/>
      <c r="AB246" s="4">
        <v>0</v>
      </c>
      <c r="AC246" s="4">
        <v>66267.64</v>
      </c>
      <c r="AD246" s="4">
        <v>1699202.78</v>
      </c>
      <c r="AE246" s="4">
        <v>0</v>
      </c>
      <c r="AF246" s="4">
        <v>136605.66</v>
      </c>
      <c r="AG246" s="4">
        <v>0</v>
      </c>
      <c r="AH246" s="4">
        <v>486494.08000000007</v>
      </c>
      <c r="AI246" s="4">
        <v>391677.96</v>
      </c>
      <c r="AJ246" s="4">
        <v>0</v>
      </c>
      <c r="AK246" s="4">
        <v>1184849.57</v>
      </c>
      <c r="AL246" s="4">
        <v>0</v>
      </c>
      <c r="AM246" s="4">
        <v>38563.15</v>
      </c>
      <c r="AN246" s="4">
        <v>0</v>
      </c>
      <c r="AO246" s="4">
        <v>514866.87</v>
      </c>
      <c r="AP246" s="4">
        <v>0</v>
      </c>
      <c r="AQ246" s="4">
        <v>63186.119999999995</v>
      </c>
      <c r="AR246" s="4">
        <v>691438.4</v>
      </c>
      <c r="AS246" s="4">
        <v>254.38</v>
      </c>
      <c r="AT246" s="4">
        <v>900.52</v>
      </c>
      <c r="AU246" s="4">
        <v>0</v>
      </c>
      <c r="AV246" s="4">
        <v>926683.1</v>
      </c>
      <c r="AW246" s="4">
        <v>4287434.54</v>
      </c>
      <c r="AX246" s="4">
        <v>3437154.2199999997</v>
      </c>
      <c r="AY246" s="4">
        <v>2288734.64</v>
      </c>
      <c r="AZ246" s="4">
        <v>42705.52</v>
      </c>
      <c r="BA246" s="4">
        <v>7792601.8700000001</v>
      </c>
      <c r="BB246" s="4">
        <f t="shared" si="36"/>
        <v>551277700.3499999</v>
      </c>
    </row>
    <row r="247" spans="1:54" ht="15.75" thickBot="1" x14ac:dyDescent="0.25">
      <c r="A247" s="1" t="s">
        <v>151</v>
      </c>
      <c r="B247" s="5">
        <f t="shared" ref="B247:AI247" si="37">SUM(B235:B246)</f>
        <v>870.55</v>
      </c>
      <c r="C247" s="5">
        <f t="shared" si="37"/>
        <v>7668113.3600000013</v>
      </c>
      <c r="D247" s="5">
        <f t="shared" si="37"/>
        <v>12729.800000000001</v>
      </c>
      <c r="E247" s="5">
        <f t="shared" si="37"/>
        <v>0</v>
      </c>
      <c r="F247" s="5">
        <f t="shared" si="37"/>
        <v>13600.21</v>
      </c>
      <c r="G247" s="5">
        <f t="shared" si="37"/>
        <v>2568249.11</v>
      </c>
      <c r="H247" s="5">
        <f t="shared" si="37"/>
        <v>1660.52</v>
      </c>
      <c r="I247" s="5">
        <f t="shared" si="37"/>
        <v>4084.88</v>
      </c>
      <c r="J247" s="5">
        <f t="shared" si="37"/>
        <v>19177.39</v>
      </c>
      <c r="K247" s="5">
        <f t="shared" si="37"/>
        <v>17571.449999999997</v>
      </c>
      <c r="L247" s="5">
        <f t="shared" si="37"/>
        <v>0</v>
      </c>
      <c r="M247" s="5">
        <f t="shared" si="37"/>
        <v>2795531.6599999997</v>
      </c>
      <c r="N247" s="5">
        <f t="shared" si="37"/>
        <v>2285300.0300000003</v>
      </c>
      <c r="O247" s="5">
        <f t="shared" si="37"/>
        <v>2382913.83</v>
      </c>
      <c r="P247" s="5">
        <f t="shared" si="37"/>
        <v>9848242.6799999997</v>
      </c>
      <c r="Q247" s="5">
        <f t="shared" si="37"/>
        <v>3057330.2100000004</v>
      </c>
      <c r="R247" s="5">
        <f t="shared" si="37"/>
        <v>0</v>
      </c>
      <c r="S247" s="5">
        <f t="shared" si="37"/>
        <v>2454755.12</v>
      </c>
      <c r="T247" s="5">
        <f t="shared" si="37"/>
        <v>1193680.27</v>
      </c>
      <c r="U247" s="5">
        <f t="shared" si="37"/>
        <v>0</v>
      </c>
      <c r="V247" s="5">
        <f t="shared" si="37"/>
        <v>18079040.989999998</v>
      </c>
      <c r="W247" s="5">
        <f t="shared" si="37"/>
        <v>1716701793.54</v>
      </c>
      <c r="X247" s="5">
        <f t="shared" si="37"/>
        <v>5637100.2999999998</v>
      </c>
      <c r="Y247" s="5">
        <f t="shared" si="37"/>
        <v>763368374.81000006</v>
      </c>
      <c r="Z247" s="5"/>
      <c r="AA247" s="5"/>
      <c r="AB247" s="5">
        <f t="shared" si="37"/>
        <v>3184428460.9800005</v>
      </c>
      <c r="AC247" s="5">
        <f t="shared" si="37"/>
        <v>1249162.0499999998</v>
      </c>
      <c r="AD247" s="5">
        <f t="shared" si="37"/>
        <v>24936016.77</v>
      </c>
      <c r="AE247" s="5">
        <f t="shared" si="37"/>
        <v>0</v>
      </c>
      <c r="AF247" s="5">
        <f t="shared" si="37"/>
        <v>1432310.39</v>
      </c>
      <c r="AG247" s="5">
        <f t="shared" si="37"/>
        <v>0</v>
      </c>
      <c r="AH247" s="5">
        <f t="shared" si="37"/>
        <v>4118959.51</v>
      </c>
      <c r="AI247" s="5">
        <f t="shared" si="37"/>
        <v>4188241.29</v>
      </c>
      <c r="AJ247" s="5">
        <f t="shared" ref="AJ247:BB247" si="38">SUM(AJ235:AJ246)</f>
        <v>0</v>
      </c>
      <c r="AK247" s="5">
        <f t="shared" si="38"/>
        <v>11758117.17</v>
      </c>
      <c r="AL247" s="5">
        <f t="shared" si="38"/>
        <v>0</v>
      </c>
      <c r="AM247" s="5">
        <f t="shared" si="38"/>
        <v>380267.18000000005</v>
      </c>
      <c r="AN247" s="5">
        <f t="shared" si="38"/>
        <v>0</v>
      </c>
      <c r="AO247" s="5">
        <f t="shared" si="38"/>
        <v>6159325.2600000007</v>
      </c>
      <c r="AP247" s="5">
        <f t="shared" si="38"/>
        <v>0</v>
      </c>
      <c r="AQ247" s="5">
        <f t="shared" si="38"/>
        <v>534678.52</v>
      </c>
      <c r="AR247" s="5">
        <f t="shared" si="38"/>
        <v>8789174.0099999998</v>
      </c>
      <c r="AS247" s="5">
        <f t="shared" si="38"/>
        <v>1370.79</v>
      </c>
      <c r="AT247" s="5">
        <f t="shared" si="38"/>
        <v>138201.22</v>
      </c>
      <c r="AU247" s="5">
        <f t="shared" si="38"/>
        <v>164.1</v>
      </c>
      <c r="AV247" s="5">
        <f t="shared" si="38"/>
        <v>8868873.209999999</v>
      </c>
      <c r="AW247" s="5">
        <f t="shared" si="38"/>
        <v>47066218.859999999</v>
      </c>
      <c r="AX247" s="5">
        <f t="shared" si="38"/>
        <v>37141188.939999998</v>
      </c>
      <c r="AY247" s="5">
        <f t="shared" si="38"/>
        <v>24757751.999999996</v>
      </c>
      <c r="AZ247" s="5">
        <f t="shared" si="38"/>
        <v>42705.52</v>
      </c>
      <c r="BA247" s="5">
        <f t="shared" si="38"/>
        <v>36742861.759999998</v>
      </c>
      <c r="BB247" s="5">
        <f t="shared" si="38"/>
        <v>5940844170.2399998</v>
      </c>
    </row>
    <row r="248" spans="1:54" ht="15.75" thickTop="1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</row>
    <row r="249" spans="1:54" x14ac:dyDescent="0.2">
      <c r="A249" s="3">
        <v>39083</v>
      </c>
      <c r="B249" s="4">
        <v>0</v>
      </c>
      <c r="C249" s="4">
        <v>630543.32999999996</v>
      </c>
      <c r="D249" s="4">
        <v>0</v>
      </c>
      <c r="E249" s="4">
        <v>0</v>
      </c>
      <c r="F249" s="4">
        <v>0</v>
      </c>
      <c r="G249" s="4">
        <v>171746.07</v>
      </c>
      <c r="H249" s="4">
        <v>0</v>
      </c>
      <c r="I249" s="4">
        <v>0</v>
      </c>
      <c r="J249" s="4">
        <v>525155.76</v>
      </c>
      <c r="K249" s="4">
        <v>0</v>
      </c>
      <c r="L249" s="4">
        <v>0</v>
      </c>
      <c r="M249" s="4">
        <v>207884.42</v>
      </c>
      <c r="N249" s="4">
        <v>169313.14</v>
      </c>
      <c r="O249" s="4">
        <v>190290.36</v>
      </c>
      <c r="P249" s="4">
        <v>618627.57999999996</v>
      </c>
      <c r="Q249" s="4">
        <v>211236.79</v>
      </c>
      <c r="R249" s="4">
        <v>0</v>
      </c>
      <c r="S249" s="4">
        <v>164356.47</v>
      </c>
      <c r="T249" s="4">
        <v>46766.45</v>
      </c>
      <c r="U249" s="4">
        <v>0</v>
      </c>
      <c r="V249" s="4">
        <v>1494568.95</v>
      </c>
      <c r="W249" s="4">
        <v>12863965.83</v>
      </c>
      <c r="X249" s="4">
        <v>461028.91</v>
      </c>
      <c r="Y249" s="4">
        <v>58372087.859999999</v>
      </c>
      <c r="Z249" s="4"/>
      <c r="AA249" s="4"/>
      <c r="AB249" s="4">
        <v>378237834.34999996</v>
      </c>
      <c r="AC249" s="4">
        <v>115119.5</v>
      </c>
      <c r="AD249" s="4">
        <v>1875724.61</v>
      </c>
      <c r="AE249" s="4">
        <v>0</v>
      </c>
      <c r="AF249" s="4">
        <v>94484.22</v>
      </c>
      <c r="AG249" s="4">
        <v>0</v>
      </c>
      <c r="AH249" s="4">
        <v>324388.92</v>
      </c>
      <c r="AI249" s="4">
        <v>320314.07</v>
      </c>
      <c r="AJ249" s="4">
        <v>0</v>
      </c>
      <c r="AK249" s="4">
        <v>1044269.87</v>
      </c>
      <c r="AL249" s="4">
        <v>0</v>
      </c>
      <c r="AM249" s="4">
        <v>45615.16</v>
      </c>
      <c r="AN249" s="4">
        <v>0</v>
      </c>
      <c r="AO249" s="4">
        <v>471024.87</v>
      </c>
      <c r="AP249" s="4">
        <v>0</v>
      </c>
      <c r="AQ249" s="4">
        <v>40219.550000000003</v>
      </c>
      <c r="AR249" s="4">
        <v>560323.06999999995</v>
      </c>
      <c r="AS249" s="4">
        <v>0</v>
      </c>
      <c r="AT249" s="4">
        <v>15198.16</v>
      </c>
      <c r="AU249" s="4">
        <v>0</v>
      </c>
      <c r="AV249" s="4">
        <v>691879.99</v>
      </c>
      <c r="AW249" s="4">
        <v>3966525.53</v>
      </c>
      <c r="AX249" s="4">
        <v>3162388.55</v>
      </c>
      <c r="AY249" s="4">
        <v>2108242.15</v>
      </c>
      <c r="AZ249" s="4"/>
      <c r="BA249" s="4">
        <v>61866.73</v>
      </c>
      <c r="BB249" s="4">
        <f>SUM(B249:BA249)</f>
        <v>469262991.22000009</v>
      </c>
    </row>
    <row r="250" spans="1:54" x14ac:dyDescent="0.2">
      <c r="A250" s="3">
        <v>39114</v>
      </c>
      <c r="B250" s="4">
        <v>0</v>
      </c>
      <c r="C250" s="4">
        <v>532031.18999999994</v>
      </c>
      <c r="D250" s="4">
        <v>0</v>
      </c>
      <c r="E250" s="4">
        <v>0</v>
      </c>
      <c r="F250" s="4">
        <v>0</v>
      </c>
      <c r="G250" s="4">
        <v>146357.48000000001</v>
      </c>
      <c r="H250" s="4">
        <v>0</v>
      </c>
      <c r="I250" s="4">
        <v>0</v>
      </c>
      <c r="J250" s="4">
        <v>426795.39</v>
      </c>
      <c r="K250" s="4">
        <v>0</v>
      </c>
      <c r="L250" s="4">
        <v>0</v>
      </c>
      <c r="M250" s="4">
        <v>175440.25</v>
      </c>
      <c r="N250" s="4">
        <v>148467.35</v>
      </c>
      <c r="O250" s="4">
        <v>159365.32</v>
      </c>
      <c r="P250" s="4">
        <v>519205.14</v>
      </c>
      <c r="Q250" s="4">
        <v>171938.71</v>
      </c>
      <c r="R250" s="4">
        <v>0</v>
      </c>
      <c r="S250" s="4">
        <v>139454.59</v>
      </c>
      <c r="T250" s="4">
        <v>32345.61</v>
      </c>
      <c r="U250" s="4">
        <v>0</v>
      </c>
      <c r="V250" s="4">
        <v>1250825.6399999999</v>
      </c>
      <c r="W250" s="4">
        <v>10788638.42</v>
      </c>
      <c r="X250" s="4">
        <v>411202.16</v>
      </c>
      <c r="Y250" s="4">
        <v>49116483.939999998</v>
      </c>
      <c r="Z250" s="4"/>
      <c r="AA250" s="4"/>
      <c r="AB250" s="4">
        <v>319492648.60000002</v>
      </c>
      <c r="AC250" s="4">
        <v>98769.21</v>
      </c>
      <c r="AD250" s="4">
        <v>1566396.13</v>
      </c>
      <c r="AE250" s="4">
        <v>0</v>
      </c>
      <c r="AF250" s="4">
        <v>76915.8</v>
      </c>
      <c r="AG250" s="4">
        <v>0</v>
      </c>
      <c r="AH250" s="4">
        <v>290796.28000000003</v>
      </c>
      <c r="AI250" s="4">
        <v>274114.02</v>
      </c>
      <c r="AJ250" s="4">
        <v>0</v>
      </c>
      <c r="AK250" s="4">
        <v>802947.95</v>
      </c>
      <c r="AL250" s="4">
        <v>0</v>
      </c>
      <c r="AM250" s="4">
        <v>38132.720000000001</v>
      </c>
      <c r="AN250" s="4">
        <v>0</v>
      </c>
      <c r="AO250" s="4">
        <v>392999.19</v>
      </c>
      <c r="AP250" s="4">
        <v>0</v>
      </c>
      <c r="AQ250" s="4">
        <v>35197.65</v>
      </c>
      <c r="AR250" s="4">
        <v>448165.23</v>
      </c>
      <c r="AS250" s="4">
        <v>0</v>
      </c>
      <c r="AT250" s="4">
        <v>12342.89</v>
      </c>
      <c r="AU250" s="4">
        <v>0</v>
      </c>
      <c r="AV250" s="4">
        <v>571360.65</v>
      </c>
      <c r="AW250" s="4">
        <v>3316928.17</v>
      </c>
      <c r="AX250" s="4">
        <v>2660769.35</v>
      </c>
      <c r="AY250" s="4">
        <v>1773825.74</v>
      </c>
      <c r="AZ250" s="4"/>
      <c r="BA250" s="4">
        <v>35332.9</v>
      </c>
      <c r="BB250" s="4">
        <f t="shared" ref="BB250:BB260" si="39">SUM(B250:BA250)</f>
        <v>395906193.66999996</v>
      </c>
    </row>
    <row r="251" spans="1:54" x14ac:dyDescent="0.2">
      <c r="A251" s="3">
        <v>39142</v>
      </c>
      <c r="B251" s="4">
        <v>135.32</v>
      </c>
      <c r="C251" s="4">
        <v>622809.44999999995</v>
      </c>
      <c r="D251" s="4">
        <v>1654.21</v>
      </c>
      <c r="E251" s="4">
        <v>0</v>
      </c>
      <c r="F251" s="4">
        <v>0</v>
      </c>
      <c r="G251" s="4">
        <v>258081.96</v>
      </c>
      <c r="H251" s="4">
        <v>59.4</v>
      </c>
      <c r="I251" s="4">
        <v>360.19</v>
      </c>
      <c r="J251" s="4">
        <v>152488.72</v>
      </c>
      <c r="K251" s="4">
        <v>1638</v>
      </c>
      <c r="L251" s="4">
        <v>0</v>
      </c>
      <c r="M251" s="4">
        <v>304330.21000000002</v>
      </c>
      <c r="N251" s="4">
        <v>245824.91</v>
      </c>
      <c r="O251" s="4">
        <v>194676.96</v>
      </c>
      <c r="P251" s="4">
        <v>975117.28</v>
      </c>
      <c r="Q251" s="4">
        <v>270156.21000000002</v>
      </c>
      <c r="R251" s="4">
        <v>0</v>
      </c>
      <c r="S251" s="4">
        <v>82337.23</v>
      </c>
      <c r="T251" s="4">
        <v>179829.52</v>
      </c>
      <c r="U251" s="4">
        <v>0</v>
      </c>
      <c r="V251" s="4">
        <v>1666655.62</v>
      </c>
      <c r="W251" s="4">
        <v>22111978.969999999</v>
      </c>
      <c r="X251" s="4">
        <v>483845.28</v>
      </c>
      <c r="Y251" s="4">
        <v>68004855.219999999</v>
      </c>
      <c r="Z251" s="4"/>
      <c r="AA251" s="4"/>
      <c r="AB251" s="4">
        <v>395081821.67999995</v>
      </c>
      <c r="AC251" s="4">
        <v>91839.46</v>
      </c>
      <c r="AD251" s="4">
        <v>2078630.59</v>
      </c>
      <c r="AE251" s="4">
        <v>0</v>
      </c>
      <c r="AF251" s="4">
        <v>148133.79999999999</v>
      </c>
      <c r="AG251" s="4">
        <v>478.44</v>
      </c>
      <c r="AH251" s="4">
        <v>330830.92</v>
      </c>
      <c r="AI251" s="4">
        <v>421970.65</v>
      </c>
      <c r="AJ251" s="4">
        <v>0</v>
      </c>
      <c r="AK251" s="4">
        <v>1009960.53</v>
      </c>
      <c r="AL251" s="4">
        <v>78.150000000000006</v>
      </c>
      <c r="AM251" s="4">
        <v>44492.33</v>
      </c>
      <c r="AN251" s="4">
        <v>0</v>
      </c>
      <c r="AO251" s="4">
        <v>558806.42000000004</v>
      </c>
      <c r="AP251" s="4">
        <v>0</v>
      </c>
      <c r="AQ251" s="4">
        <v>62509.37</v>
      </c>
      <c r="AR251" s="4">
        <v>745216.86</v>
      </c>
      <c r="AS251" s="4">
        <v>0</v>
      </c>
      <c r="AT251" s="4">
        <v>15515.86</v>
      </c>
      <c r="AU251" s="4">
        <v>0</v>
      </c>
      <c r="AV251" s="4">
        <v>964557.57</v>
      </c>
      <c r="AW251" s="4">
        <v>4863602.29</v>
      </c>
      <c r="AX251" s="4">
        <v>3259820.93</v>
      </c>
      <c r="AY251" s="4">
        <v>2173284.2599999998</v>
      </c>
      <c r="AZ251" s="4"/>
      <c r="BA251" s="4">
        <v>6982886.0999999996</v>
      </c>
      <c r="BB251" s="4">
        <f t="shared" si="39"/>
        <v>514391270.86999989</v>
      </c>
    </row>
    <row r="252" spans="1:54" x14ac:dyDescent="0.2">
      <c r="A252" s="3">
        <v>39173</v>
      </c>
      <c r="B252" s="4">
        <v>0</v>
      </c>
      <c r="C252" s="4">
        <v>567433.78</v>
      </c>
      <c r="D252" s="4">
        <v>0</v>
      </c>
      <c r="E252" s="4">
        <v>0</v>
      </c>
      <c r="F252" s="4">
        <v>0</v>
      </c>
      <c r="G252" s="4">
        <v>178317.41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210856.2</v>
      </c>
      <c r="N252" s="4">
        <v>176995.24</v>
      </c>
      <c r="O252" s="4">
        <v>166224.56</v>
      </c>
      <c r="P252" s="4">
        <v>642496.64</v>
      </c>
      <c r="Q252" s="4">
        <v>211811.67</v>
      </c>
      <c r="R252" s="4">
        <v>0</v>
      </c>
      <c r="S252" s="4">
        <v>144580.44</v>
      </c>
      <c r="T252" s="4">
        <v>53683.32</v>
      </c>
      <c r="U252" s="4">
        <v>0</v>
      </c>
      <c r="V252" s="4">
        <v>1261637.0900000001</v>
      </c>
      <c r="W252" s="4">
        <v>13773795.860000001</v>
      </c>
      <c r="X252" s="4">
        <v>413795.22</v>
      </c>
      <c r="Y252" s="4">
        <v>53273529.890000001</v>
      </c>
      <c r="Z252" s="4"/>
      <c r="AA252" s="4"/>
      <c r="AB252" s="4">
        <v>336227678.36000001</v>
      </c>
      <c r="AC252" s="4">
        <v>106887.59</v>
      </c>
      <c r="AD252" s="4">
        <v>1876953.99</v>
      </c>
      <c r="AE252" s="4">
        <v>0</v>
      </c>
      <c r="AF252" s="4">
        <v>94900.73</v>
      </c>
      <c r="AG252" s="4">
        <v>0</v>
      </c>
      <c r="AH252" s="4">
        <v>279847.3</v>
      </c>
      <c r="AI252" s="4">
        <v>304279.08</v>
      </c>
      <c r="AJ252" s="4">
        <v>0</v>
      </c>
      <c r="AK252" s="4">
        <v>943208</v>
      </c>
      <c r="AL252" s="4">
        <v>0</v>
      </c>
      <c r="AM252" s="4">
        <v>31606.05</v>
      </c>
      <c r="AN252" s="4">
        <v>0</v>
      </c>
      <c r="AO252" s="4">
        <v>478959.05</v>
      </c>
      <c r="AP252" s="4">
        <v>0</v>
      </c>
      <c r="AQ252" s="4">
        <v>38665.83</v>
      </c>
      <c r="AR252" s="4">
        <v>564092.18000000005</v>
      </c>
      <c r="AS252" s="4">
        <v>0</v>
      </c>
      <c r="AT252" s="4">
        <v>13641.37</v>
      </c>
      <c r="AU252" s="4">
        <v>0</v>
      </c>
      <c r="AV252" s="4">
        <v>674057.5</v>
      </c>
      <c r="AW252" s="4">
        <v>3146526.42</v>
      </c>
      <c r="AX252" s="4">
        <v>2687590.31</v>
      </c>
      <c r="AY252" s="4">
        <v>1791708.59</v>
      </c>
      <c r="AZ252" s="4"/>
      <c r="BA252" s="4">
        <v>68332.820000000007</v>
      </c>
      <c r="BB252" s="4">
        <f t="shared" si="39"/>
        <v>420404092.49000001</v>
      </c>
    </row>
    <row r="253" spans="1:54" x14ac:dyDescent="0.2">
      <c r="A253" s="3">
        <v>39203</v>
      </c>
      <c r="B253" s="4">
        <v>0</v>
      </c>
      <c r="C253" s="4">
        <v>557187.54</v>
      </c>
      <c r="D253" s="4">
        <v>0</v>
      </c>
      <c r="E253" s="4">
        <v>0</v>
      </c>
      <c r="F253" s="4">
        <v>0</v>
      </c>
      <c r="G253" s="4">
        <v>180383.82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212177.55</v>
      </c>
      <c r="N253" s="4">
        <v>175321.97</v>
      </c>
      <c r="O253" s="4">
        <v>166385.95000000001</v>
      </c>
      <c r="P253" s="4">
        <v>635159.18000000005</v>
      </c>
      <c r="Q253" s="4">
        <v>211922.21</v>
      </c>
      <c r="R253" s="4">
        <v>0</v>
      </c>
      <c r="S253" s="4">
        <v>140699.81</v>
      </c>
      <c r="T253" s="4">
        <v>39738.18</v>
      </c>
      <c r="U253" s="4">
        <v>0</v>
      </c>
      <c r="V253" s="4">
        <v>1291782.25</v>
      </c>
      <c r="W253" s="4">
        <v>12093893.859999999</v>
      </c>
      <c r="X253" s="4">
        <v>412496.54</v>
      </c>
      <c r="Y253" s="4">
        <v>53244332.079999998</v>
      </c>
      <c r="Z253" s="4"/>
      <c r="AA253" s="4"/>
      <c r="AB253" s="4">
        <v>333295581.31</v>
      </c>
      <c r="AC253" s="4">
        <v>111949.12</v>
      </c>
      <c r="AD253" s="4">
        <v>1874113.72</v>
      </c>
      <c r="AE253" s="4">
        <v>0</v>
      </c>
      <c r="AF253" s="4">
        <v>94938.01</v>
      </c>
      <c r="AG253" s="4">
        <v>0</v>
      </c>
      <c r="AH253" s="4">
        <v>275215.13</v>
      </c>
      <c r="AI253" s="4">
        <v>301501.46000000002</v>
      </c>
      <c r="AJ253" s="4">
        <v>0</v>
      </c>
      <c r="AK253" s="4">
        <v>946002.63</v>
      </c>
      <c r="AL253" s="4">
        <v>0</v>
      </c>
      <c r="AM253" s="4">
        <v>32790.19</v>
      </c>
      <c r="AN253" s="4">
        <v>0</v>
      </c>
      <c r="AO253" s="4">
        <v>474486.16</v>
      </c>
      <c r="AP253" s="4">
        <v>0</v>
      </c>
      <c r="AQ253" s="4">
        <v>39314.26</v>
      </c>
      <c r="AR253" s="4">
        <v>567564.06000000006</v>
      </c>
      <c r="AS253" s="4">
        <v>0</v>
      </c>
      <c r="AT253" s="4">
        <v>13569.13</v>
      </c>
      <c r="AU253" s="4">
        <v>0</v>
      </c>
      <c r="AV253" s="4">
        <v>693553.44</v>
      </c>
      <c r="AW253" s="4">
        <v>3156769.74</v>
      </c>
      <c r="AX253" s="4">
        <v>2679191.7000000002</v>
      </c>
      <c r="AY253" s="4">
        <v>1786110.63</v>
      </c>
      <c r="AZ253" s="4"/>
      <c r="BA253" s="4">
        <v>14422.08</v>
      </c>
      <c r="BB253" s="4">
        <f t="shared" si="39"/>
        <v>415718553.70999998</v>
      </c>
    </row>
    <row r="254" spans="1:54" x14ac:dyDescent="0.2">
      <c r="A254" s="3">
        <v>39234</v>
      </c>
      <c r="B254" s="4">
        <v>236.82</v>
      </c>
      <c r="C254" s="4">
        <v>724734.65</v>
      </c>
      <c r="D254" s="4">
        <v>0</v>
      </c>
      <c r="E254" s="4">
        <v>0</v>
      </c>
      <c r="F254" s="4">
        <v>2407.5500000000002</v>
      </c>
      <c r="G254" s="4">
        <v>250670.89</v>
      </c>
      <c r="H254" s="4">
        <v>2777.66</v>
      </c>
      <c r="I254" s="4">
        <v>474.59</v>
      </c>
      <c r="J254" s="4">
        <v>0</v>
      </c>
      <c r="K254" s="4">
        <v>9579.23</v>
      </c>
      <c r="L254" s="4">
        <v>116.64</v>
      </c>
      <c r="M254" s="4">
        <v>241292.04</v>
      </c>
      <c r="N254" s="4">
        <v>290522.93</v>
      </c>
      <c r="O254" s="4">
        <v>212573.52</v>
      </c>
      <c r="P254" s="4">
        <v>911957.56</v>
      </c>
      <c r="Q254" s="4">
        <v>351429.87</v>
      </c>
      <c r="R254" s="4">
        <v>0</v>
      </c>
      <c r="S254" s="4">
        <v>442668.25</v>
      </c>
      <c r="T254" s="4">
        <v>189972.97</v>
      </c>
      <c r="U254" s="4">
        <v>0</v>
      </c>
      <c r="V254" s="4">
        <v>1940422.15</v>
      </c>
      <c r="W254" s="4">
        <v>24564266.209999997</v>
      </c>
      <c r="X254" s="4">
        <v>523441.05</v>
      </c>
      <c r="Y254" s="4">
        <v>80631378.159999996</v>
      </c>
      <c r="Z254" s="4"/>
      <c r="AA254" s="4"/>
      <c r="AB254" s="4">
        <v>489813802.16999996</v>
      </c>
      <c r="AC254" s="4">
        <v>176138.73</v>
      </c>
      <c r="AD254" s="4">
        <v>2765923.83</v>
      </c>
      <c r="AE254" s="4">
        <v>0</v>
      </c>
      <c r="AF254" s="4">
        <v>147045.28</v>
      </c>
      <c r="AG254" s="4">
        <v>0</v>
      </c>
      <c r="AH254" s="4">
        <v>391075.66</v>
      </c>
      <c r="AI254" s="4">
        <v>501834.81</v>
      </c>
      <c r="AJ254" s="4">
        <v>0</v>
      </c>
      <c r="AK254" s="4">
        <v>1132365.81</v>
      </c>
      <c r="AL254" s="4">
        <v>522.45000000000005</v>
      </c>
      <c r="AM254" s="4">
        <v>56665.88</v>
      </c>
      <c r="AN254" s="4">
        <v>0</v>
      </c>
      <c r="AO254" s="4">
        <v>705529.06</v>
      </c>
      <c r="AP254" s="4">
        <v>0</v>
      </c>
      <c r="AQ254" s="4">
        <v>55830.16</v>
      </c>
      <c r="AR254" s="4">
        <v>916186.26</v>
      </c>
      <c r="AS254" s="4">
        <v>612.58000000000004</v>
      </c>
      <c r="AT254" s="4">
        <v>22513.43</v>
      </c>
      <c r="AU254" s="4">
        <v>713.79</v>
      </c>
      <c r="AV254" s="4">
        <v>826442.1</v>
      </c>
      <c r="AW254" s="4">
        <v>4425892.1100000003</v>
      </c>
      <c r="AX254" s="4">
        <v>3797027.3</v>
      </c>
      <c r="AY254" s="4">
        <v>2531319.38</v>
      </c>
      <c r="AZ254" s="4"/>
      <c r="BA254" s="4">
        <v>8314179.4699999997</v>
      </c>
      <c r="BB254" s="4">
        <f t="shared" si="39"/>
        <v>627872542.99999976</v>
      </c>
    </row>
    <row r="255" spans="1:54" x14ac:dyDescent="0.2">
      <c r="A255" s="3">
        <v>39264</v>
      </c>
      <c r="B255" s="4">
        <v>0</v>
      </c>
      <c r="C255" s="4">
        <v>560428.37</v>
      </c>
      <c r="D255" s="4">
        <v>0</v>
      </c>
      <c r="E255" s="4">
        <v>0</v>
      </c>
      <c r="F255" s="4">
        <v>0</v>
      </c>
      <c r="G255" s="4">
        <v>196202.43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220228.78</v>
      </c>
      <c r="N255" s="4">
        <v>190464.54</v>
      </c>
      <c r="O255" s="4">
        <v>180591.58</v>
      </c>
      <c r="P255" s="4">
        <v>648037.44999999995</v>
      </c>
      <c r="Q255" s="4">
        <v>236771.79</v>
      </c>
      <c r="R255" s="4">
        <v>0</v>
      </c>
      <c r="S255" s="4">
        <v>123992.17</v>
      </c>
      <c r="T255" s="4">
        <v>60151.4</v>
      </c>
      <c r="U255" s="4">
        <v>0</v>
      </c>
      <c r="V255" s="4">
        <v>1253720.6100000001</v>
      </c>
      <c r="W255" s="4">
        <v>12545983.310000001</v>
      </c>
      <c r="X255" s="4">
        <v>481657.42</v>
      </c>
      <c r="Y255" s="4">
        <v>53743932.840000004</v>
      </c>
      <c r="Z255" s="4"/>
      <c r="AA255" s="4"/>
      <c r="AB255" s="4">
        <v>339853082.37</v>
      </c>
      <c r="AC255" s="4">
        <v>85194.61</v>
      </c>
      <c r="AD255" s="4">
        <v>1927474.63</v>
      </c>
      <c r="AE255" s="4">
        <v>0</v>
      </c>
      <c r="AF255" s="4">
        <v>86618.02</v>
      </c>
      <c r="AG255" s="4">
        <v>0</v>
      </c>
      <c r="AH255" s="4">
        <v>291596.63</v>
      </c>
      <c r="AI255" s="4">
        <v>289955.21999999997</v>
      </c>
      <c r="AJ255" s="4">
        <v>0</v>
      </c>
      <c r="AK255" s="4">
        <v>904786.37</v>
      </c>
      <c r="AL255" s="4">
        <v>0</v>
      </c>
      <c r="AM255" s="4">
        <v>21886.26</v>
      </c>
      <c r="AN255" s="4">
        <v>0</v>
      </c>
      <c r="AO255" s="4">
        <v>473063.29</v>
      </c>
      <c r="AP255" s="4">
        <v>0</v>
      </c>
      <c r="AQ255" s="4">
        <v>38345.61</v>
      </c>
      <c r="AR255" s="4">
        <v>826784.33</v>
      </c>
      <c r="AS255" s="4">
        <v>0</v>
      </c>
      <c r="AT255" s="4">
        <v>15090.74</v>
      </c>
      <c r="AU255" s="4">
        <v>0</v>
      </c>
      <c r="AV255" s="4">
        <v>714538.76</v>
      </c>
      <c r="AW255" s="4">
        <v>3198522.76</v>
      </c>
      <c r="AX255" s="4">
        <v>2674208.7999999998</v>
      </c>
      <c r="AY255" s="4">
        <v>1782788.97</v>
      </c>
      <c r="AZ255" s="4"/>
      <c r="BA255" s="4">
        <v>21546.74</v>
      </c>
      <c r="BB255" s="4">
        <f t="shared" si="39"/>
        <v>423647646.80000007</v>
      </c>
    </row>
    <row r="256" spans="1:54" x14ac:dyDescent="0.2">
      <c r="A256" s="3">
        <v>39295</v>
      </c>
      <c r="B256" s="4">
        <v>0</v>
      </c>
      <c r="C256" s="4">
        <v>552036.77</v>
      </c>
      <c r="D256" s="4">
        <v>0</v>
      </c>
      <c r="E256" s="4">
        <v>0</v>
      </c>
      <c r="F256" s="4">
        <v>0</v>
      </c>
      <c r="G256" s="4">
        <v>193157.54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212626.75</v>
      </c>
      <c r="N256" s="4">
        <v>177148.14</v>
      </c>
      <c r="O256" s="4">
        <v>172099.45</v>
      </c>
      <c r="P256" s="4">
        <v>621641.5</v>
      </c>
      <c r="Q256" s="4">
        <v>219001.01</v>
      </c>
      <c r="R256" s="4">
        <v>0</v>
      </c>
      <c r="S256" s="4">
        <v>122641.82</v>
      </c>
      <c r="T256" s="4">
        <v>55748.15</v>
      </c>
      <c r="U256" s="4">
        <v>0</v>
      </c>
      <c r="V256" s="4">
        <v>1218196.75</v>
      </c>
      <c r="W256" s="4">
        <v>12015365.120000001</v>
      </c>
      <c r="X256" s="4">
        <v>451044.27</v>
      </c>
      <c r="Y256" s="4">
        <v>52687197.079999998</v>
      </c>
      <c r="Z256" s="4"/>
      <c r="AA256" s="4"/>
      <c r="AB256" s="4">
        <v>330864627.26000005</v>
      </c>
      <c r="AC256" s="4">
        <v>85015.58</v>
      </c>
      <c r="AD256" s="4">
        <v>1886365.74</v>
      </c>
      <c r="AE256" s="4">
        <v>0</v>
      </c>
      <c r="AF256" s="4">
        <v>90388.44</v>
      </c>
      <c r="AG256" s="4">
        <v>0</v>
      </c>
      <c r="AH256" s="4">
        <v>281594.76</v>
      </c>
      <c r="AI256" s="4">
        <v>288103.44</v>
      </c>
      <c r="AJ256" s="4">
        <v>0</v>
      </c>
      <c r="AK256" s="4">
        <v>909886.1</v>
      </c>
      <c r="AL256" s="4">
        <v>0</v>
      </c>
      <c r="AM256" s="4">
        <v>21848.49</v>
      </c>
      <c r="AN256" s="4">
        <v>0</v>
      </c>
      <c r="AO256" s="4">
        <v>472945.04</v>
      </c>
      <c r="AP256" s="4">
        <v>0</v>
      </c>
      <c r="AQ256" s="4">
        <v>37435.96</v>
      </c>
      <c r="AR256" s="4">
        <v>821800.97</v>
      </c>
      <c r="AS256" s="4">
        <v>0</v>
      </c>
      <c r="AT256" s="4">
        <v>14525.28</v>
      </c>
      <c r="AU256" s="4">
        <v>0</v>
      </c>
      <c r="AV256" s="4">
        <v>682247.99</v>
      </c>
      <c r="AW256" s="4">
        <v>3306027.28</v>
      </c>
      <c r="AX256" s="4">
        <v>2622374.84</v>
      </c>
      <c r="AY256" s="4">
        <v>1748218.03</v>
      </c>
      <c r="AZ256" s="4"/>
      <c r="BA256" s="4">
        <v>13038.08</v>
      </c>
      <c r="BB256" s="4">
        <f t="shared" si="39"/>
        <v>412844347.62999994</v>
      </c>
    </row>
    <row r="257" spans="1:54" x14ac:dyDescent="0.2">
      <c r="A257" s="3">
        <v>39326</v>
      </c>
      <c r="B257" s="4">
        <v>86.5</v>
      </c>
      <c r="C257" s="4">
        <v>834012.74</v>
      </c>
      <c r="D257" s="4">
        <v>480.89</v>
      </c>
      <c r="E257" s="4">
        <v>0</v>
      </c>
      <c r="F257" s="4">
        <v>13408.17</v>
      </c>
      <c r="G257" s="4">
        <v>302100.44</v>
      </c>
      <c r="H257" s="4">
        <v>67.17</v>
      </c>
      <c r="I257" s="4">
        <v>496.7</v>
      </c>
      <c r="J257" s="4">
        <v>13320.63</v>
      </c>
      <c r="K257" s="4">
        <v>15365.14</v>
      </c>
      <c r="L257" s="4">
        <v>0</v>
      </c>
      <c r="M257" s="4">
        <v>333618.56</v>
      </c>
      <c r="N257" s="4">
        <v>314582.74</v>
      </c>
      <c r="O257" s="4">
        <v>221998.47</v>
      </c>
      <c r="P257" s="4">
        <v>1051102.8999999999</v>
      </c>
      <c r="Q257" s="4">
        <v>378250.07</v>
      </c>
      <c r="R257" s="4">
        <v>0</v>
      </c>
      <c r="S257" s="4">
        <v>336664.18</v>
      </c>
      <c r="T257" s="4">
        <v>204017.64</v>
      </c>
      <c r="U257" s="4">
        <v>0</v>
      </c>
      <c r="V257" s="4">
        <v>1799395.49</v>
      </c>
      <c r="W257" s="4">
        <v>26215050.909999996</v>
      </c>
      <c r="X257" s="4">
        <v>638529.76</v>
      </c>
      <c r="Y257" s="4">
        <v>84770599.319999993</v>
      </c>
      <c r="Z257" s="4"/>
      <c r="AA257" s="4"/>
      <c r="AB257" s="4">
        <v>469588381.52999997</v>
      </c>
      <c r="AC257" s="4">
        <v>82212.89</v>
      </c>
      <c r="AD257" s="4">
        <v>2594203.62</v>
      </c>
      <c r="AE257" s="4">
        <v>0</v>
      </c>
      <c r="AF257" s="4">
        <v>142818.38</v>
      </c>
      <c r="AG257" s="4">
        <v>0</v>
      </c>
      <c r="AH257" s="4">
        <v>381632.42</v>
      </c>
      <c r="AI257" s="4">
        <v>532624.5</v>
      </c>
      <c r="AJ257" s="4">
        <v>0</v>
      </c>
      <c r="AK257" s="4">
        <v>1374690.44</v>
      </c>
      <c r="AL257" s="4">
        <v>0</v>
      </c>
      <c r="AM257" s="4">
        <v>31213.72</v>
      </c>
      <c r="AN257" s="4">
        <v>0</v>
      </c>
      <c r="AO257" s="4">
        <v>691388.25</v>
      </c>
      <c r="AP257" s="4">
        <v>0</v>
      </c>
      <c r="AQ257" s="4">
        <v>78235.48</v>
      </c>
      <c r="AR257" s="4">
        <v>940721.63</v>
      </c>
      <c r="AS257" s="4">
        <v>370.13</v>
      </c>
      <c r="AT257" s="4">
        <v>17418.16</v>
      </c>
      <c r="AU257" s="4">
        <v>0</v>
      </c>
      <c r="AV257" s="4">
        <v>836322.72</v>
      </c>
      <c r="AW257" s="4">
        <v>4413256.5199999996</v>
      </c>
      <c r="AX257" s="4">
        <v>3269311.26</v>
      </c>
      <c r="AY257" s="4">
        <v>2179421.91</v>
      </c>
      <c r="AZ257" s="4"/>
      <c r="BA257" s="4">
        <v>8059977.5899999999</v>
      </c>
      <c r="BB257" s="4">
        <f t="shared" si="39"/>
        <v>612657349.56999993</v>
      </c>
    </row>
    <row r="258" spans="1:54" x14ac:dyDescent="0.2">
      <c r="A258" s="3">
        <v>39356</v>
      </c>
      <c r="B258" s="4">
        <v>0</v>
      </c>
      <c r="C258" s="4">
        <v>526197.43000000005</v>
      </c>
      <c r="D258" s="4">
        <v>0</v>
      </c>
      <c r="E258" s="4">
        <v>0</v>
      </c>
      <c r="F258" s="4">
        <v>0</v>
      </c>
      <c r="G258" s="4">
        <v>190471.99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198248.43</v>
      </c>
      <c r="N258" s="4">
        <v>162104.47</v>
      </c>
      <c r="O258" s="4">
        <v>160777.59</v>
      </c>
      <c r="P258" s="4">
        <v>603945.18000000005</v>
      </c>
      <c r="Q258" s="4">
        <v>200634.19</v>
      </c>
      <c r="R258" s="4">
        <v>0</v>
      </c>
      <c r="S258" s="4">
        <v>107731.82</v>
      </c>
      <c r="T258" s="4">
        <v>45847.23</v>
      </c>
      <c r="U258" s="4">
        <v>0</v>
      </c>
      <c r="V258" s="4">
        <v>1256225.73</v>
      </c>
      <c r="W258" s="4">
        <v>13299168.779999999</v>
      </c>
      <c r="X258" s="4">
        <v>371591.92</v>
      </c>
      <c r="Y258" s="4">
        <v>53105997.649999999</v>
      </c>
      <c r="Z258" s="4"/>
      <c r="AA258" s="4"/>
      <c r="AB258" s="4">
        <v>330584557.25</v>
      </c>
      <c r="AC258" s="4">
        <v>80250.649999999994</v>
      </c>
      <c r="AD258" s="4">
        <v>1800599.73</v>
      </c>
      <c r="AE258" s="4">
        <v>0</v>
      </c>
      <c r="AF258" s="4">
        <v>89352.31</v>
      </c>
      <c r="AG258" s="4">
        <v>0</v>
      </c>
      <c r="AH258" s="4">
        <v>278694.40999999997</v>
      </c>
      <c r="AI258" s="4">
        <v>291247.59000000003</v>
      </c>
      <c r="AJ258" s="4">
        <v>0</v>
      </c>
      <c r="AK258" s="4">
        <v>871513.4</v>
      </c>
      <c r="AL258" s="4">
        <v>0</v>
      </c>
      <c r="AM258" s="4">
        <v>23190.77</v>
      </c>
      <c r="AN258" s="4">
        <v>0</v>
      </c>
      <c r="AO258" s="4">
        <v>450020.27</v>
      </c>
      <c r="AP258" s="4">
        <v>0</v>
      </c>
      <c r="AQ258" s="4">
        <v>35949.050000000003</v>
      </c>
      <c r="AR258" s="4">
        <v>583289.79</v>
      </c>
      <c r="AS258" s="4">
        <v>0</v>
      </c>
      <c r="AT258" s="4">
        <v>15503.48</v>
      </c>
      <c r="AU258" s="4">
        <v>0</v>
      </c>
      <c r="AV258" s="4">
        <v>631560.4</v>
      </c>
      <c r="AW258" s="4">
        <v>3536260.52</v>
      </c>
      <c r="AX258" s="4">
        <v>2605580.9300000002</v>
      </c>
      <c r="AY258" s="4">
        <v>1737037.09</v>
      </c>
      <c r="AZ258" s="4"/>
      <c r="BA258" s="4">
        <v>50061.14</v>
      </c>
      <c r="BB258" s="4">
        <f t="shared" si="39"/>
        <v>413893611.18999988</v>
      </c>
    </row>
    <row r="259" spans="1:54" x14ac:dyDescent="0.2">
      <c r="A259" s="3">
        <v>39387</v>
      </c>
      <c r="B259" s="4">
        <v>0</v>
      </c>
      <c r="C259" s="4">
        <v>550230.96</v>
      </c>
      <c r="D259" s="4">
        <v>0</v>
      </c>
      <c r="E259" s="4">
        <v>0</v>
      </c>
      <c r="F259" s="4">
        <v>0</v>
      </c>
      <c r="G259" s="4">
        <v>199321.73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208247.11</v>
      </c>
      <c r="N259" s="4">
        <v>170620.91</v>
      </c>
      <c r="O259" s="4">
        <v>180914.05</v>
      </c>
      <c r="P259" s="4">
        <v>623116.89</v>
      </c>
      <c r="Q259" s="4">
        <v>204130.85</v>
      </c>
      <c r="R259" s="4">
        <v>0</v>
      </c>
      <c r="S259" s="4">
        <v>116399.92</v>
      </c>
      <c r="T259" s="4">
        <v>41763.99</v>
      </c>
      <c r="U259" s="4">
        <v>0</v>
      </c>
      <c r="V259" s="4">
        <v>1294170.76</v>
      </c>
      <c r="W259" s="4">
        <v>12743391.189999999</v>
      </c>
      <c r="X259" s="4">
        <v>391583.04</v>
      </c>
      <c r="Y259" s="4">
        <v>56381778.479999997</v>
      </c>
      <c r="Z259" s="4"/>
      <c r="AA259" s="4"/>
      <c r="AB259" s="4">
        <v>358369082.81000006</v>
      </c>
      <c r="AC259" s="4">
        <v>85363.68</v>
      </c>
      <c r="AD259" s="4">
        <v>1916236.58</v>
      </c>
      <c r="AE259" s="4">
        <v>0</v>
      </c>
      <c r="AF259" s="4">
        <v>89341.08</v>
      </c>
      <c r="AG259" s="4">
        <v>0</v>
      </c>
      <c r="AH259" s="4">
        <v>293509.14</v>
      </c>
      <c r="AI259" s="4">
        <v>312829.59999999998</v>
      </c>
      <c r="AJ259" s="4">
        <v>0</v>
      </c>
      <c r="AK259" s="4">
        <v>922461.43</v>
      </c>
      <c r="AL259" s="4">
        <v>0</v>
      </c>
      <c r="AM259" s="4">
        <v>24677.360000000001</v>
      </c>
      <c r="AN259" s="4">
        <v>0</v>
      </c>
      <c r="AO259" s="4">
        <v>478203.08</v>
      </c>
      <c r="AP259" s="4">
        <v>0</v>
      </c>
      <c r="AQ259" s="4">
        <v>36965.879999999997</v>
      </c>
      <c r="AR259" s="4">
        <v>632675.5</v>
      </c>
      <c r="AS259" s="4">
        <v>0</v>
      </c>
      <c r="AT259" s="4">
        <v>12348.88</v>
      </c>
      <c r="AU259" s="4">
        <v>0</v>
      </c>
      <c r="AV259" s="4">
        <v>683395.81</v>
      </c>
      <c r="AW259" s="4">
        <v>3730621.3</v>
      </c>
      <c r="AX259" s="4">
        <v>2725290.55</v>
      </c>
      <c r="AY259" s="4">
        <v>1816843.71</v>
      </c>
      <c r="AZ259" s="4"/>
      <c r="BA259" s="4">
        <v>28879.23</v>
      </c>
      <c r="BB259" s="4">
        <f t="shared" si="39"/>
        <v>445264395.50000006</v>
      </c>
    </row>
    <row r="260" spans="1:54" x14ac:dyDescent="0.2">
      <c r="A260" s="3">
        <v>39417</v>
      </c>
      <c r="B260" s="4">
        <v>99.7</v>
      </c>
      <c r="C260" s="4">
        <v>993498.35</v>
      </c>
      <c r="D260" s="4">
        <v>352.9</v>
      </c>
      <c r="E260" s="4">
        <v>0</v>
      </c>
      <c r="F260" s="4">
        <v>2880.53</v>
      </c>
      <c r="G260" s="4">
        <v>244267.55</v>
      </c>
      <c r="H260" s="4">
        <v>69.739999999999995</v>
      </c>
      <c r="I260" s="4">
        <v>1629.15</v>
      </c>
      <c r="J260" s="4">
        <v>20912.47</v>
      </c>
      <c r="K260" s="4">
        <v>3229.87</v>
      </c>
      <c r="L260" s="4">
        <v>1730.81</v>
      </c>
      <c r="M260" s="4">
        <v>325763.76</v>
      </c>
      <c r="N260" s="4">
        <v>264957.86</v>
      </c>
      <c r="O260" s="4">
        <v>255773.37</v>
      </c>
      <c r="P260" s="4">
        <v>1096035.8500000001</v>
      </c>
      <c r="Q260" s="4">
        <v>383667.01</v>
      </c>
      <c r="R260" s="4">
        <v>0</v>
      </c>
      <c r="S260" s="4">
        <v>345260.61</v>
      </c>
      <c r="T260" s="4">
        <v>132451.57</v>
      </c>
      <c r="U260" s="4">
        <v>0</v>
      </c>
      <c r="V260" s="4">
        <v>1810410.43</v>
      </c>
      <c r="W260" s="4">
        <v>28104356.82</v>
      </c>
      <c r="X260" s="4">
        <v>533107.5</v>
      </c>
      <c r="Y260" s="4">
        <v>82428598.99000001</v>
      </c>
      <c r="Z260" s="4"/>
      <c r="AA260" s="4"/>
      <c r="AB260" s="4">
        <v>480707915.62</v>
      </c>
      <c r="AC260" s="4">
        <v>117227.58</v>
      </c>
      <c r="AD260" s="4">
        <v>2518568.94</v>
      </c>
      <c r="AE260" s="4">
        <v>0</v>
      </c>
      <c r="AF260" s="4">
        <v>202506.26</v>
      </c>
      <c r="AG260" s="4">
        <v>0</v>
      </c>
      <c r="AH260" s="4">
        <v>434932.9</v>
      </c>
      <c r="AI260" s="4">
        <v>490444.96</v>
      </c>
      <c r="AJ260" s="4">
        <v>0</v>
      </c>
      <c r="AK260" s="4">
        <v>1286730.43</v>
      </c>
      <c r="AL260" s="4">
        <v>0</v>
      </c>
      <c r="AM260" s="4">
        <v>34626.239999999998</v>
      </c>
      <c r="AN260" s="4">
        <v>0</v>
      </c>
      <c r="AO260" s="4">
        <v>649622.49</v>
      </c>
      <c r="AP260" s="4">
        <v>0</v>
      </c>
      <c r="AQ260" s="4">
        <v>72530.89</v>
      </c>
      <c r="AR260" s="4">
        <v>979575.48</v>
      </c>
      <c r="AS260" s="4">
        <v>156.49</v>
      </c>
      <c r="AT260" s="4">
        <v>22375.86</v>
      </c>
      <c r="AU260" s="4">
        <v>0</v>
      </c>
      <c r="AV260" s="4">
        <v>988403.68</v>
      </c>
      <c r="AW260" s="4">
        <v>4574402.99</v>
      </c>
      <c r="AX260" s="4">
        <v>3844000.18</v>
      </c>
      <c r="AY260" s="4">
        <v>2562620.89</v>
      </c>
      <c r="AZ260" s="4"/>
      <c r="BA260" s="4">
        <v>7613363.7300000004</v>
      </c>
      <c r="BB260" s="4">
        <f t="shared" si="39"/>
        <v>624049060.45000005</v>
      </c>
    </row>
    <row r="261" spans="1:54" ht="15.75" thickBot="1" x14ac:dyDescent="0.25">
      <c r="A261" s="1" t="s">
        <v>150</v>
      </c>
      <c r="B261" s="5">
        <f t="shared" ref="B261:AI261" si="40">SUM(B249:B260)</f>
        <v>558.34</v>
      </c>
      <c r="C261" s="5">
        <f t="shared" si="40"/>
        <v>7651144.5599999996</v>
      </c>
      <c r="D261" s="5">
        <f t="shared" si="40"/>
        <v>2488</v>
      </c>
      <c r="E261" s="5">
        <f t="shared" si="40"/>
        <v>0</v>
      </c>
      <c r="F261" s="5">
        <f t="shared" si="40"/>
        <v>18696.25</v>
      </c>
      <c r="G261" s="5">
        <f t="shared" si="40"/>
        <v>2511079.3099999996</v>
      </c>
      <c r="H261" s="5">
        <f t="shared" si="40"/>
        <v>2973.97</v>
      </c>
      <c r="I261" s="5">
        <f t="shared" si="40"/>
        <v>2960.63</v>
      </c>
      <c r="J261" s="5">
        <f t="shared" si="40"/>
        <v>1138672.97</v>
      </c>
      <c r="K261" s="5">
        <f t="shared" si="40"/>
        <v>29812.239999999998</v>
      </c>
      <c r="L261" s="5">
        <f t="shared" si="40"/>
        <v>1847.45</v>
      </c>
      <c r="M261" s="5">
        <f t="shared" si="40"/>
        <v>2850714.0600000005</v>
      </c>
      <c r="N261" s="5">
        <f t="shared" si="40"/>
        <v>2486324.2000000002</v>
      </c>
      <c r="O261" s="5">
        <f t="shared" si="40"/>
        <v>2261671.1800000002</v>
      </c>
      <c r="P261" s="5">
        <f t="shared" si="40"/>
        <v>8946443.1500000004</v>
      </c>
      <c r="Q261" s="5">
        <f t="shared" si="40"/>
        <v>3050950.38</v>
      </c>
      <c r="R261" s="5">
        <f t="shared" si="40"/>
        <v>0</v>
      </c>
      <c r="S261" s="5">
        <f t="shared" si="40"/>
        <v>2266787.31</v>
      </c>
      <c r="T261" s="5">
        <f t="shared" si="40"/>
        <v>1082316.03</v>
      </c>
      <c r="U261" s="5">
        <f t="shared" si="40"/>
        <v>0</v>
      </c>
      <c r="V261" s="5">
        <f t="shared" si="40"/>
        <v>17538011.469999999</v>
      </c>
      <c r="W261" s="5">
        <f t="shared" si="40"/>
        <v>201119855.28</v>
      </c>
      <c r="X261" s="5">
        <f t="shared" si="40"/>
        <v>5573323.0699999994</v>
      </c>
      <c r="Y261" s="5">
        <f t="shared" si="40"/>
        <v>745760771.50999999</v>
      </c>
      <c r="Z261" s="5"/>
      <c r="AA261" s="5"/>
      <c r="AB261" s="5">
        <f t="shared" si="40"/>
        <v>4562117013.3100004</v>
      </c>
      <c r="AC261" s="5">
        <f t="shared" si="40"/>
        <v>1235968.6000000001</v>
      </c>
      <c r="AD261" s="5">
        <f t="shared" si="40"/>
        <v>24681192.110000003</v>
      </c>
      <c r="AE261" s="5">
        <f t="shared" si="40"/>
        <v>0</v>
      </c>
      <c r="AF261" s="5">
        <f t="shared" si="40"/>
        <v>1357442.33</v>
      </c>
      <c r="AG261" s="5">
        <f t="shared" si="40"/>
        <v>478.44</v>
      </c>
      <c r="AH261" s="5">
        <f t="shared" si="40"/>
        <v>3854114.4699999997</v>
      </c>
      <c r="AI261" s="5">
        <f t="shared" si="40"/>
        <v>4329219.3999999994</v>
      </c>
      <c r="AJ261" s="5">
        <f t="shared" ref="AJ261:BB261" si="41">SUM(AJ249:AJ260)</f>
        <v>0</v>
      </c>
      <c r="AK261" s="5">
        <f t="shared" si="41"/>
        <v>12148822.959999999</v>
      </c>
      <c r="AL261" s="5">
        <f t="shared" si="41"/>
        <v>600.6</v>
      </c>
      <c r="AM261" s="5">
        <f t="shared" si="41"/>
        <v>406745.17000000004</v>
      </c>
      <c r="AN261" s="5">
        <f t="shared" si="41"/>
        <v>0</v>
      </c>
      <c r="AO261" s="5">
        <f t="shared" si="41"/>
        <v>6297047.1699999999</v>
      </c>
      <c r="AP261" s="5">
        <f t="shared" si="41"/>
        <v>0</v>
      </c>
      <c r="AQ261" s="5">
        <f t="shared" si="41"/>
        <v>571199.69000000006</v>
      </c>
      <c r="AR261" s="5">
        <f t="shared" si="41"/>
        <v>8586395.3599999994</v>
      </c>
      <c r="AS261" s="5">
        <f t="shared" si="41"/>
        <v>1139.2</v>
      </c>
      <c r="AT261" s="5">
        <f t="shared" si="41"/>
        <v>190043.24</v>
      </c>
      <c r="AU261" s="5">
        <f t="shared" si="41"/>
        <v>713.79</v>
      </c>
      <c r="AV261" s="5">
        <f t="shared" si="41"/>
        <v>8958320.6099999994</v>
      </c>
      <c r="AW261" s="5">
        <f t="shared" si="41"/>
        <v>45635335.629999995</v>
      </c>
      <c r="AX261" s="5">
        <f t="shared" si="41"/>
        <v>35987554.700000003</v>
      </c>
      <c r="AY261" s="5">
        <f t="shared" si="41"/>
        <v>23991421.350000001</v>
      </c>
      <c r="AZ261" s="5"/>
      <c r="BA261" s="5">
        <f t="shared" si="41"/>
        <v>31263886.609999999</v>
      </c>
      <c r="BB261" s="5">
        <f t="shared" si="41"/>
        <v>5775912056.0999994</v>
      </c>
    </row>
    <row r="262" spans="1:54" ht="15.75" thickTop="1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</row>
    <row r="263" spans="1:54" x14ac:dyDescent="0.2">
      <c r="A263" s="3">
        <v>38718</v>
      </c>
      <c r="B263" s="4">
        <v>0</v>
      </c>
      <c r="C263" s="4">
        <v>652180.80000000005</v>
      </c>
      <c r="D263" s="4">
        <v>0</v>
      </c>
      <c r="E263" s="4">
        <v>0</v>
      </c>
      <c r="F263" s="4">
        <v>260277.7</v>
      </c>
      <c r="G263" s="4">
        <v>145273.04999999999</v>
      </c>
      <c r="H263" s="4">
        <v>0</v>
      </c>
      <c r="I263" s="4">
        <v>0</v>
      </c>
      <c r="J263" s="4">
        <v>518959.15</v>
      </c>
      <c r="K263" s="4">
        <v>178414.72</v>
      </c>
      <c r="L263" s="4">
        <v>0</v>
      </c>
      <c r="M263" s="4">
        <v>231746.11</v>
      </c>
      <c r="N263" s="4">
        <v>188885.24</v>
      </c>
      <c r="O263" s="4">
        <v>207709.28</v>
      </c>
      <c r="P263" s="4">
        <v>637685.03</v>
      </c>
      <c r="Q263" s="4">
        <v>201843.99</v>
      </c>
      <c r="R263" s="4">
        <v>0</v>
      </c>
      <c r="S263" s="4">
        <v>166497.57</v>
      </c>
      <c r="T263" s="4">
        <v>48080.71</v>
      </c>
      <c r="U263" s="4">
        <v>0</v>
      </c>
      <c r="V263" s="4">
        <v>1428707.47</v>
      </c>
      <c r="W263" s="4">
        <v>14526276.629999999</v>
      </c>
      <c r="X263" s="4">
        <v>456686.51</v>
      </c>
      <c r="Y263" s="4">
        <v>57362373.869999997</v>
      </c>
      <c r="Z263" s="4"/>
      <c r="AA263" s="4"/>
      <c r="AB263" s="4">
        <v>368696412.38</v>
      </c>
      <c r="AC263" s="4">
        <v>120751.91</v>
      </c>
      <c r="AD263" s="4">
        <v>1987439.5</v>
      </c>
      <c r="AE263" s="4">
        <v>0</v>
      </c>
      <c r="AF263" s="4">
        <v>115005.47</v>
      </c>
      <c r="AG263" s="4">
        <v>0</v>
      </c>
      <c r="AH263" s="4">
        <v>343733.38</v>
      </c>
      <c r="AI263" s="4">
        <v>315735.63</v>
      </c>
      <c r="AJ263" s="4">
        <v>0</v>
      </c>
      <c r="AK263" s="4">
        <v>973400.77</v>
      </c>
      <c r="AL263" s="4">
        <v>0</v>
      </c>
      <c r="AM263" s="4">
        <v>46973.58</v>
      </c>
      <c r="AN263" s="4">
        <v>0</v>
      </c>
      <c r="AO263" s="4">
        <v>520858.24</v>
      </c>
      <c r="AP263" s="4">
        <v>0</v>
      </c>
      <c r="AQ263" s="4">
        <v>45315.29</v>
      </c>
      <c r="AR263" s="4">
        <v>572444.36</v>
      </c>
      <c r="AS263" s="4">
        <v>0</v>
      </c>
      <c r="AT263" s="4">
        <v>16988.48</v>
      </c>
      <c r="AU263" s="4">
        <v>0</v>
      </c>
      <c r="AV263" s="4">
        <v>749372.22</v>
      </c>
      <c r="AW263" s="4">
        <v>4214709.46</v>
      </c>
      <c r="AX263" s="4">
        <v>3258314.93</v>
      </c>
      <c r="AY263" s="4">
        <v>2172192.2200000002</v>
      </c>
      <c r="AZ263" s="4"/>
      <c r="BA263" s="4">
        <v>184284.64</v>
      </c>
      <c r="BB263" s="4">
        <f>SUM(B263:BA263)</f>
        <v>461545530.29000008</v>
      </c>
    </row>
    <row r="264" spans="1:54" x14ac:dyDescent="0.2">
      <c r="A264" s="3">
        <v>38749</v>
      </c>
      <c r="B264" s="4">
        <v>0</v>
      </c>
      <c r="C264" s="4">
        <v>501416.67</v>
      </c>
      <c r="D264" s="4">
        <v>0</v>
      </c>
      <c r="E264" s="4">
        <v>0</v>
      </c>
      <c r="F264" s="4">
        <v>205175.77</v>
      </c>
      <c r="G264" s="4">
        <v>114712.57</v>
      </c>
      <c r="H264" s="4">
        <v>0</v>
      </c>
      <c r="I264" s="4">
        <v>0</v>
      </c>
      <c r="J264" s="4">
        <v>402562.51</v>
      </c>
      <c r="K264" s="4">
        <v>129407.53</v>
      </c>
      <c r="L264" s="4">
        <v>0</v>
      </c>
      <c r="M264" s="4">
        <v>169775.99</v>
      </c>
      <c r="N264" s="4">
        <v>146263.66</v>
      </c>
      <c r="O264" s="4">
        <v>157981.32</v>
      </c>
      <c r="P264" s="4">
        <v>477493.99</v>
      </c>
      <c r="Q264" s="4">
        <v>159241.51</v>
      </c>
      <c r="R264" s="4">
        <v>0</v>
      </c>
      <c r="S264" s="4">
        <v>136821.18</v>
      </c>
      <c r="T264" s="4">
        <v>26615.78</v>
      </c>
      <c r="U264" s="4">
        <v>0</v>
      </c>
      <c r="V264" s="4">
        <v>1105184.97</v>
      </c>
      <c r="W264" s="4">
        <v>10323599.33</v>
      </c>
      <c r="X264" s="4">
        <v>354649.1</v>
      </c>
      <c r="Y264" s="4">
        <v>44400931.519999996</v>
      </c>
      <c r="Z264" s="4"/>
      <c r="AA264" s="4"/>
      <c r="AB264" s="4">
        <v>285319478.51000005</v>
      </c>
      <c r="AC264" s="4">
        <v>96519.64</v>
      </c>
      <c r="AD264" s="4">
        <v>1530026.33</v>
      </c>
      <c r="AE264" s="4">
        <v>0</v>
      </c>
      <c r="AF264" s="4">
        <v>89744.78</v>
      </c>
      <c r="AG264" s="4">
        <v>0</v>
      </c>
      <c r="AH264" s="4">
        <v>271322.87</v>
      </c>
      <c r="AI264" s="4">
        <v>250008.62</v>
      </c>
      <c r="AJ264" s="4">
        <v>0</v>
      </c>
      <c r="AK264" s="4">
        <v>758772.8</v>
      </c>
      <c r="AL264" s="4">
        <v>0</v>
      </c>
      <c r="AM264" s="4">
        <v>37198.17</v>
      </c>
      <c r="AN264" s="4">
        <v>0</v>
      </c>
      <c r="AO264" s="4">
        <v>398790.66</v>
      </c>
      <c r="AP264" s="4">
        <v>0</v>
      </c>
      <c r="AQ264" s="4">
        <v>35737.85</v>
      </c>
      <c r="AR264" s="4">
        <v>418235.21</v>
      </c>
      <c r="AS264" s="4">
        <v>0</v>
      </c>
      <c r="AT264" s="4">
        <v>12239.4</v>
      </c>
      <c r="AU264" s="4">
        <v>0</v>
      </c>
      <c r="AV264" s="4">
        <v>574484.16</v>
      </c>
      <c r="AW264" s="4">
        <v>3259046.45</v>
      </c>
      <c r="AX264" s="4">
        <v>2523675.56</v>
      </c>
      <c r="AY264" s="4">
        <v>1682433.49</v>
      </c>
      <c r="AZ264" s="4"/>
      <c r="BA264" s="4">
        <v>5543.59</v>
      </c>
      <c r="BB264" s="4">
        <f t="shared" ref="BB264:BB274" si="42">SUM(B264:BA264)</f>
        <v>356075091.49000001</v>
      </c>
    </row>
    <row r="265" spans="1:54" x14ac:dyDescent="0.2">
      <c r="A265" s="3">
        <v>38777</v>
      </c>
      <c r="B265" s="4">
        <v>0</v>
      </c>
      <c r="C265" s="4">
        <v>746760.35</v>
      </c>
      <c r="D265" s="4">
        <v>226.73</v>
      </c>
      <c r="E265" s="4">
        <v>0</v>
      </c>
      <c r="F265" s="4">
        <v>151980.62</v>
      </c>
      <c r="G265" s="4">
        <v>263321.65000000002</v>
      </c>
      <c r="H265" s="4">
        <v>257.87</v>
      </c>
      <c r="I265" s="4">
        <v>0</v>
      </c>
      <c r="J265" s="4">
        <v>721013.09</v>
      </c>
      <c r="K265" s="4">
        <v>94978.05</v>
      </c>
      <c r="L265" s="4">
        <v>0</v>
      </c>
      <c r="M265" s="4">
        <v>281252.52</v>
      </c>
      <c r="N265" s="4">
        <v>307059.51</v>
      </c>
      <c r="O265" s="4">
        <v>155446.20000000001</v>
      </c>
      <c r="P265" s="4">
        <v>881476.4</v>
      </c>
      <c r="Q265" s="4">
        <v>342483.11</v>
      </c>
      <c r="R265" s="4">
        <v>0</v>
      </c>
      <c r="S265" s="4">
        <v>325558.94</v>
      </c>
      <c r="T265" s="4">
        <v>131904.92000000001</v>
      </c>
      <c r="U265" s="4">
        <v>0</v>
      </c>
      <c r="V265" s="4">
        <v>1907096.93</v>
      </c>
      <c r="W265" s="4">
        <v>20552427.120000001</v>
      </c>
      <c r="X265" s="4">
        <v>513413.31</v>
      </c>
      <c r="Y265" s="4">
        <v>70352452.079999998</v>
      </c>
      <c r="Z265" s="4"/>
      <c r="AA265" s="4"/>
      <c r="AB265" s="4">
        <v>429836621.88999999</v>
      </c>
      <c r="AC265" s="4">
        <v>223003.58</v>
      </c>
      <c r="AD265" s="4">
        <v>2026934.19</v>
      </c>
      <c r="AE265" s="4">
        <v>0</v>
      </c>
      <c r="AF265" s="4">
        <v>136327.79</v>
      </c>
      <c r="AG265" s="4">
        <v>382.41</v>
      </c>
      <c r="AH265" s="4">
        <v>317615.40000000002</v>
      </c>
      <c r="AI265" s="4">
        <v>345022.19</v>
      </c>
      <c r="AJ265" s="4">
        <v>0</v>
      </c>
      <c r="AK265" s="4">
        <v>1213640.24</v>
      </c>
      <c r="AL265" s="4">
        <v>73.8</v>
      </c>
      <c r="AM265" s="4">
        <v>62191.28</v>
      </c>
      <c r="AN265" s="4">
        <v>0</v>
      </c>
      <c r="AO265" s="4">
        <v>540692.92000000004</v>
      </c>
      <c r="AP265" s="4">
        <v>0</v>
      </c>
      <c r="AQ265" s="4">
        <v>50390.09</v>
      </c>
      <c r="AR265" s="4">
        <v>735622.88</v>
      </c>
      <c r="AS265" s="4">
        <v>2087.36</v>
      </c>
      <c r="AT265" s="4">
        <v>16338.41</v>
      </c>
      <c r="AU265" s="4">
        <v>0</v>
      </c>
      <c r="AV265" s="4">
        <v>783037.29</v>
      </c>
      <c r="AW265" s="4">
        <v>3853773.3</v>
      </c>
      <c r="AX265" s="4">
        <v>3062140.27</v>
      </c>
      <c r="AY265" s="4">
        <v>2041396.09</v>
      </c>
      <c r="AZ265" s="4"/>
      <c r="BA265" s="4">
        <v>7325408.5800000001</v>
      </c>
      <c r="BB265" s="4">
        <f t="shared" si="42"/>
        <v>550301809.36000001</v>
      </c>
    </row>
    <row r="266" spans="1:54" x14ac:dyDescent="0.2">
      <c r="A266" s="3">
        <v>38808</v>
      </c>
      <c r="B266" s="4">
        <v>0</v>
      </c>
      <c r="C266" s="4">
        <v>546752.12</v>
      </c>
      <c r="D266" s="4">
        <v>0</v>
      </c>
      <c r="E266" s="4">
        <v>0</v>
      </c>
      <c r="F266" s="4">
        <v>0</v>
      </c>
      <c r="G266" s="4">
        <v>173145.9</v>
      </c>
      <c r="H266" s="4">
        <v>0</v>
      </c>
      <c r="I266" s="4">
        <v>0</v>
      </c>
      <c r="J266" s="4">
        <v>477079.62</v>
      </c>
      <c r="K266" s="4">
        <v>0</v>
      </c>
      <c r="L266" s="4">
        <v>0</v>
      </c>
      <c r="M266" s="4">
        <v>198068.65</v>
      </c>
      <c r="N266" s="4">
        <v>162166.72</v>
      </c>
      <c r="O266" s="4">
        <v>177403.99</v>
      </c>
      <c r="P266" s="4">
        <v>579585.99</v>
      </c>
      <c r="Q266" s="4">
        <v>200545.72</v>
      </c>
      <c r="R266" s="4">
        <v>0</v>
      </c>
      <c r="S266" s="4">
        <v>150451.66</v>
      </c>
      <c r="T266" s="4">
        <v>64544.21</v>
      </c>
      <c r="U266" s="4">
        <v>0</v>
      </c>
      <c r="V266" s="4">
        <v>1205721.96</v>
      </c>
      <c r="W266" s="4">
        <v>12128973.15</v>
      </c>
      <c r="X266" s="4">
        <v>398533.45</v>
      </c>
      <c r="Y266" s="4">
        <v>50642371.399999999</v>
      </c>
      <c r="Z266" s="4"/>
      <c r="AA266" s="4"/>
      <c r="AB266" s="4">
        <v>317973395.06999999</v>
      </c>
      <c r="AC266" s="4">
        <v>103678.97</v>
      </c>
      <c r="AD266" s="4">
        <v>1855505.24</v>
      </c>
      <c r="AE266" s="4">
        <v>0</v>
      </c>
      <c r="AF266" s="4">
        <v>81509.649999999994</v>
      </c>
      <c r="AG266" s="4">
        <v>0</v>
      </c>
      <c r="AH266" s="4">
        <v>251131.91</v>
      </c>
      <c r="AI266" s="4">
        <v>280241.64</v>
      </c>
      <c r="AJ266" s="4">
        <v>0</v>
      </c>
      <c r="AK266" s="4">
        <v>933616.12</v>
      </c>
      <c r="AL266" s="4">
        <v>0</v>
      </c>
      <c r="AM266" s="4">
        <v>31852.91</v>
      </c>
      <c r="AN266" s="4">
        <v>0</v>
      </c>
      <c r="AO266" s="4">
        <v>445917.27</v>
      </c>
      <c r="AP266" s="4">
        <v>0</v>
      </c>
      <c r="AQ266" s="4">
        <v>40007.86</v>
      </c>
      <c r="AR266" s="4">
        <v>537260.81000000006</v>
      </c>
      <c r="AS266" s="4">
        <v>0</v>
      </c>
      <c r="AT266" s="4">
        <v>16785.91</v>
      </c>
      <c r="AU266" s="4">
        <v>0</v>
      </c>
      <c r="AV266" s="4">
        <v>657072.04</v>
      </c>
      <c r="AW266" s="4">
        <v>3123461.42</v>
      </c>
      <c r="AX266" s="4">
        <v>2707241.19</v>
      </c>
      <c r="AY266" s="4">
        <v>1804774.07</v>
      </c>
      <c r="AZ266" s="4"/>
      <c r="BA266" s="4">
        <v>127827.94</v>
      </c>
      <c r="BB266" s="4">
        <f t="shared" si="42"/>
        <v>398076624.56000012</v>
      </c>
    </row>
    <row r="267" spans="1:54" x14ac:dyDescent="0.2">
      <c r="A267" s="3">
        <v>38838</v>
      </c>
      <c r="B267" s="4">
        <v>0</v>
      </c>
      <c r="C267" s="4">
        <v>542567.24</v>
      </c>
      <c r="D267" s="4">
        <v>0</v>
      </c>
      <c r="E267" s="4">
        <v>0</v>
      </c>
      <c r="F267" s="4">
        <v>0</v>
      </c>
      <c r="G267" s="4">
        <v>166335.46</v>
      </c>
      <c r="H267" s="4">
        <v>0</v>
      </c>
      <c r="I267" s="4">
        <v>0</v>
      </c>
      <c r="J267" s="4">
        <v>443040.88</v>
      </c>
      <c r="K267" s="4">
        <v>0</v>
      </c>
      <c r="L267" s="4">
        <v>0</v>
      </c>
      <c r="M267" s="4">
        <v>185361.73</v>
      </c>
      <c r="N267" s="4">
        <v>164689.59</v>
      </c>
      <c r="O267" s="4">
        <v>166555.96</v>
      </c>
      <c r="P267" s="4">
        <v>557713.81000000006</v>
      </c>
      <c r="Q267" s="4">
        <v>192746.44</v>
      </c>
      <c r="R267" s="4">
        <v>0</v>
      </c>
      <c r="S267" s="4">
        <v>144991.73000000001</v>
      </c>
      <c r="T267" s="4">
        <v>41141.339999999997</v>
      </c>
      <c r="U267" s="4">
        <v>0</v>
      </c>
      <c r="V267" s="4">
        <v>1157001.99</v>
      </c>
      <c r="W267" s="4">
        <v>11455873.380000001</v>
      </c>
      <c r="X267" s="4">
        <v>396029.04</v>
      </c>
      <c r="Y267" s="4">
        <v>48835279.939999998</v>
      </c>
      <c r="Z267" s="4"/>
      <c r="AA267" s="4"/>
      <c r="AB267" s="4">
        <v>304650475.52999997</v>
      </c>
      <c r="AC267" s="4">
        <v>101560.91</v>
      </c>
      <c r="AD267" s="4">
        <v>1775318.44</v>
      </c>
      <c r="AE267" s="4">
        <v>0</v>
      </c>
      <c r="AF267" s="4">
        <v>82496.86</v>
      </c>
      <c r="AG267" s="4">
        <v>0</v>
      </c>
      <c r="AH267" s="4">
        <v>248327.91</v>
      </c>
      <c r="AI267" s="4">
        <v>275848.5</v>
      </c>
      <c r="AJ267" s="4">
        <v>0</v>
      </c>
      <c r="AK267" s="4">
        <v>898610.2</v>
      </c>
      <c r="AL267" s="4">
        <v>0</v>
      </c>
      <c r="AM267" s="4">
        <v>31429.21</v>
      </c>
      <c r="AN267" s="4">
        <v>0</v>
      </c>
      <c r="AO267" s="4">
        <v>425910.42</v>
      </c>
      <c r="AP267" s="4">
        <v>0</v>
      </c>
      <c r="AQ267" s="4">
        <v>38278.83</v>
      </c>
      <c r="AR267" s="4">
        <v>525592.75</v>
      </c>
      <c r="AS267" s="4">
        <v>0</v>
      </c>
      <c r="AT267" s="4">
        <v>16557.009999999998</v>
      </c>
      <c r="AU267" s="4">
        <v>0</v>
      </c>
      <c r="AV267" s="4">
        <v>648220.47</v>
      </c>
      <c r="AW267" s="4">
        <v>3019564.35</v>
      </c>
      <c r="AX267" s="4">
        <v>2622740.16</v>
      </c>
      <c r="AY267" s="4">
        <v>1748474.97</v>
      </c>
      <c r="AZ267" s="4"/>
      <c r="BA267" s="4">
        <v>64047.3</v>
      </c>
      <c r="BB267" s="4">
        <f t="shared" si="42"/>
        <v>381622782.35000008</v>
      </c>
    </row>
    <row r="268" spans="1:54" x14ac:dyDescent="0.2">
      <c r="A268" s="3">
        <v>38869</v>
      </c>
      <c r="B268" s="4">
        <v>592.66999999999996</v>
      </c>
      <c r="C268" s="4">
        <v>759050.75</v>
      </c>
      <c r="D268" s="4">
        <v>1086.22</v>
      </c>
      <c r="E268" s="4">
        <v>0</v>
      </c>
      <c r="F268" s="4">
        <v>10081.48</v>
      </c>
      <c r="G268" s="4">
        <v>279029.98</v>
      </c>
      <c r="H268" s="4">
        <v>320.07</v>
      </c>
      <c r="I268" s="4">
        <v>125.9</v>
      </c>
      <c r="J268" s="4">
        <v>707202.52</v>
      </c>
      <c r="K268" s="4">
        <v>25311.55</v>
      </c>
      <c r="L268" s="4">
        <v>0</v>
      </c>
      <c r="M268" s="4">
        <v>368557.16</v>
      </c>
      <c r="N268" s="4">
        <v>294351.94</v>
      </c>
      <c r="O268" s="4">
        <v>181857.69</v>
      </c>
      <c r="P268" s="4">
        <v>917252.13</v>
      </c>
      <c r="Q268" s="4">
        <v>338774.05</v>
      </c>
      <c r="R268" s="4">
        <v>0</v>
      </c>
      <c r="S268" s="4">
        <v>259785.01</v>
      </c>
      <c r="T268" s="4">
        <v>164074.49</v>
      </c>
      <c r="U268" s="4">
        <v>0</v>
      </c>
      <c r="V268" s="4">
        <v>1587483.19</v>
      </c>
      <c r="W268" s="4">
        <v>23784702.049999997</v>
      </c>
      <c r="X268" s="4">
        <v>562873.21</v>
      </c>
      <c r="Y268" s="4">
        <v>74441625.170000002</v>
      </c>
      <c r="Z268" s="4"/>
      <c r="AA268" s="4"/>
      <c r="AB268" s="4">
        <v>418693053.33999997</v>
      </c>
      <c r="AC268" s="4">
        <v>120149.36</v>
      </c>
      <c r="AD268" s="4">
        <v>2394182.4700000002</v>
      </c>
      <c r="AE268" s="4">
        <v>0</v>
      </c>
      <c r="AF268" s="4">
        <v>139909.62</v>
      </c>
      <c r="AG268" s="4">
        <v>314.08999999999997</v>
      </c>
      <c r="AH268" s="4">
        <v>315982.46999999997</v>
      </c>
      <c r="AI268" s="4">
        <v>370327.41</v>
      </c>
      <c r="AJ268" s="4">
        <v>0</v>
      </c>
      <c r="AK268" s="4">
        <v>1076171.8899999999</v>
      </c>
      <c r="AL268" s="4">
        <v>63.94</v>
      </c>
      <c r="AM268" s="4">
        <v>22537.97</v>
      </c>
      <c r="AN268" s="4">
        <v>0</v>
      </c>
      <c r="AO268" s="4">
        <v>643847.72</v>
      </c>
      <c r="AP268" s="4">
        <v>0</v>
      </c>
      <c r="AQ268" s="4">
        <v>54077.91</v>
      </c>
      <c r="AR268" s="4">
        <v>937396.83</v>
      </c>
      <c r="AS268" s="4">
        <v>838.44</v>
      </c>
      <c r="AT268" s="4">
        <v>14638.33</v>
      </c>
      <c r="AU268" s="4">
        <v>0</v>
      </c>
      <c r="AV268" s="4">
        <v>935896.85</v>
      </c>
      <c r="AW268" s="4">
        <v>3013606.27</v>
      </c>
      <c r="AX268" s="4">
        <v>2947085.48</v>
      </c>
      <c r="AY268" s="4">
        <v>1964646.18</v>
      </c>
      <c r="AZ268" s="4"/>
      <c r="BA268" s="4">
        <v>7708041.1399999997</v>
      </c>
      <c r="BB268" s="4">
        <f t="shared" si="42"/>
        <v>546036904.94000006</v>
      </c>
    </row>
    <row r="269" spans="1:54" x14ac:dyDescent="0.2">
      <c r="A269" s="3">
        <v>38899</v>
      </c>
      <c r="B269" s="4">
        <v>0</v>
      </c>
      <c r="C269" s="4">
        <v>558301.79</v>
      </c>
      <c r="D269" s="4">
        <v>0</v>
      </c>
      <c r="E269" s="4">
        <v>0</v>
      </c>
      <c r="F269" s="4">
        <v>0</v>
      </c>
      <c r="G269" s="4">
        <v>177823.26</v>
      </c>
      <c r="H269" s="4">
        <v>0</v>
      </c>
      <c r="I269" s="4">
        <v>0</v>
      </c>
      <c r="J269" s="4">
        <v>502980.87</v>
      </c>
      <c r="K269" s="4">
        <v>0</v>
      </c>
      <c r="L269" s="4">
        <v>0</v>
      </c>
      <c r="M269" s="4">
        <v>206225.74</v>
      </c>
      <c r="N269" s="4">
        <v>192847.22</v>
      </c>
      <c r="O269" s="4">
        <v>171875.43</v>
      </c>
      <c r="P269" s="4">
        <v>616239.06000000006</v>
      </c>
      <c r="Q269" s="4">
        <v>205909.37</v>
      </c>
      <c r="R269" s="4">
        <v>0</v>
      </c>
      <c r="S269" s="4">
        <v>124428.16</v>
      </c>
      <c r="T269" s="4">
        <v>50129.13</v>
      </c>
      <c r="U269" s="4">
        <v>0</v>
      </c>
      <c r="V269" s="4">
        <v>1249286.1399999999</v>
      </c>
      <c r="W269" s="4">
        <v>11346986.579999998</v>
      </c>
      <c r="X269" s="4">
        <v>472419.85</v>
      </c>
      <c r="Y269" s="4">
        <v>54353870.399999999</v>
      </c>
      <c r="Z269" s="4"/>
      <c r="AA269" s="4"/>
      <c r="AB269" s="4">
        <v>316858783.11000001</v>
      </c>
      <c r="AC269" s="4">
        <v>80996.14</v>
      </c>
      <c r="AD269" s="4">
        <v>2007572.96</v>
      </c>
      <c r="AE269" s="4">
        <v>0</v>
      </c>
      <c r="AF269" s="4">
        <v>92150.94</v>
      </c>
      <c r="AG269" s="4">
        <v>0</v>
      </c>
      <c r="AH269" s="4">
        <v>274891.24</v>
      </c>
      <c r="AI269" s="4">
        <v>293366.76</v>
      </c>
      <c r="AJ269" s="4">
        <v>0</v>
      </c>
      <c r="AK269" s="4">
        <v>943935.24</v>
      </c>
      <c r="AL269" s="4">
        <v>0</v>
      </c>
      <c r="AM269" s="4">
        <v>22556.04</v>
      </c>
      <c r="AN269" s="4">
        <v>0</v>
      </c>
      <c r="AO269" s="4">
        <v>507141.51</v>
      </c>
      <c r="AP269" s="4">
        <v>0</v>
      </c>
      <c r="AQ269" s="4">
        <v>34079.78</v>
      </c>
      <c r="AR269" s="4">
        <v>768946.83</v>
      </c>
      <c r="AS269" s="4">
        <v>0</v>
      </c>
      <c r="AT269" s="4">
        <v>17041.72</v>
      </c>
      <c r="AU269" s="4">
        <v>0</v>
      </c>
      <c r="AV269" s="4">
        <v>688019.79</v>
      </c>
      <c r="AW269" s="4">
        <v>3255056.78</v>
      </c>
      <c r="AX269" s="4">
        <v>2701467.74</v>
      </c>
      <c r="AY269" s="4">
        <v>1800957.28</v>
      </c>
      <c r="AZ269" s="4"/>
      <c r="BA269" s="4">
        <v>54685.64</v>
      </c>
      <c r="BB269" s="4">
        <f t="shared" si="42"/>
        <v>400630972.49999994</v>
      </c>
    </row>
    <row r="270" spans="1:54" x14ac:dyDescent="0.2">
      <c r="A270" s="3">
        <v>38930</v>
      </c>
      <c r="B270" s="4">
        <v>0</v>
      </c>
      <c r="C270" s="4">
        <v>548827.49</v>
      </c>
      <c r="D270" s="4">
        <v>0</v>
      </c>
      <c r="E270" s="4">
        <v>0</v>
      </c>
      <c r="F270" s="4">
        <v>0</v>
      </c>
      <c r="G270" s="4">
        <v>172918.02</v>
      </c>
      <c r="H270" s="4">
        <v>0</v>
      </c>
      <c r="I270" s="4">
        <v>0</v>
      </c>
      <c r="J270" s="4">
        <v>480775.21</v>
      </c>
      <c r="K270" s="4">
        <v>0</v>
      </c>
      <c r="L270" s="4">
        <v>0</v>
      </c>
      <c r="M270" s="4">
        <v>212799</v>
      </c>
      <c r="N270" s="4">
        <v>200499.57</v>
      </c>
      <c r="O270" s="4">
        <v>164451.14000000001</v>
      </c>
      <c r="P270" s="4">
        <v>580163.14</v>
      </c>
      <c r="Q270" s="4">
        <v>192570.82</v>
      </c>
      <c r="R270" s="4">
        <v>0</v>
      </c>
      <c r="S270" s="4">
        <v>128609.27</v>
      </c>
      <c r="T270" s="4">
        <v>47107.07</v>
      </c>
      <c r="U270" s="4">
        <v>0</v>
      </c>
      <c r="V270" s="4">
        <v>1119587.54</v>
      </c>
      <c r="W270" s="4">
        <v>10838943.880000001</v>
      </c>
      <c r="X270" s="4">
        <v>435059.44</v>
      </c>
      <c r="Y270" s="4">
        <v>50938642.5</v>
      </c>
      <c r="Z270" s="4"/>
      <c r="AA270" s="4"/>
      <c r="AB270" s="4">
        <v>301363692.01999998</v>
      </c>
      <c r="AC270" s="4">
        <v>88060.98</v>
      </c>
      <c r="AD270" s="4">
        <v>1809031.57</v>
      </c>
      <c r="AE270" s="4">
        <v>0</v>
      </c>
      <c r="AF270" s="4">
        <v>87400.16</v>
      </c>
      <c r="AG270" s="4">
        <v>0</v>
      </c>
      <c r="AH270" s="4">
        <v>277512.33</v>
      </c>
      <c r="AI270" s="4">
        <v>270083.44</v>
      </c>
      <c r="AJ270" s="4">
        <v>0</v>
      </c>
      <c r="AK270" s="4">
        <v>904254.29</v>
      </c>
      <c r="AL270" s="4">
        <v>0</v>
      </c>
      <c r="AM270" s="4">
        <v>21864.19</v>
      </c>
      <c r="AN270" s="4">
        <v>0</v>
      </c>
      <c r="AO270" s="4">
        <v>492277.93</v>
      </c>
      <c r="AP270" s="4">
        <v>0</v>
      </c>
      <c r="AQ270" s="4">
        <v>33549.49</v>
      </c>
      <c r="AR270" s="4">
        <v>711685.12</v>
      </c>
      <c r="AS270" s="4">
        <v>0</v>
      </c>
      <c r="AT270" s="4">
        <v>14735.33</v>
      </c>
      <c r="AU270" s="4">
        <v>0</v>
      </c>
      <c r="AV270" s="4">
        <v>667777.36</v>
      </c>
      <c r="AW270" s="4">
        <v>3092182.93</v>
      </c>
      <c r="AX270" s="4">
        <v>2549456.5699999998</v>
      </c>
      <c r="AY270" s="4">
        <v>1699620.03</v>
      </c>
      <c r="AZ270" s="4"/>
      <c r="BA270" s="4">
        <v>18810.34</v>
      </c>
      <c r="BB270" s="4">
        <f t="shared" si="42"/>
        <v>380162948.17000002</v>
      </c>
    </row>
    <row r="271" spans="1:54" x14ac:dyDescent="0.2">
      <c r="A271" s="3">
        <v>38961</v>
      </c>
      <c r="B271" s="4">
        <v>0</v>
      </c>
      <c r="C271" s="4">
        <v>700883.85</v>
      </c>
      <c r="D271" s="4">
        <v>243.41</v>
      </c>
      <c r="E271" s="4">
        <v>0</v>
      </c>
      <c r="F271" s="4">
        <v>9287.34</v>
      </c>
      <c r="G271" s="4">
        <v>240376.75</v>
      </c>
      <c r="H271" s="4">
        <v>64.12</v>
      </c>
      <c r="I271" s="4">
        <v>325.61</v>
      </c>
      <c r="J271" s="4">
        <v>696771.74</v>
      </c>
      <c r="K271" s="4">
        <v>14300.71</v>
      </c>
      <c r="L271" s="4">
        <v>0</v>
      </c>
      <c r="M271" s="4">
        <v>268420.18</v>
      </c>
      <c r="N271" s="4">
        <v>174566.52</v>
      </c>
      <c r="O271" s="4">
        <v>248015.59</v>
      </c>
      <c r="P271" s="4">
        <v>911879.49</v>
      </c>
      <c r="Q271" s="4">
        <v>366351.3</v>
      </c>
      <c r="R271" s="4">
        <v>0</v>
      </c>
      <c r="S271" s="4">
        <v>217586.76</v>
      </c>
      <c r="T271" s="4">
        <v>204321.24</v>
      </c>
      <c r="U271" s="4">
        <v>0</v>
      </c>
      <c r="V271" s="4">
        <v>1652092.56</v>
      </c>
      <c r="W271" s="4">
        <v>20599025</v>
      </c>
      <c r="X271" s="4">
        <v>515327.41</v>
      </c>
      <c r="Y271" s="4">
        <v>73119653.299999997</v>
      </c>
      <c r="Z271" s="4"/>
      <c r="AA271" s="4"/>
      <c r="AB271" s="4">
        <v>446462922.52999997</v>
      </c>
      <c r="AC271" s="4">
        <v>81018.55</v>
      </c>
      <c r="AD271" s="4">
        <v>2540103.1</v>
      </c>
      <c r="AE271" s="4">
        <v>0</v>
      </c>
      <c r="AF271" s="4">
        <v>103869.05</v>
      </c>
      <c r="AG271" s="4">
        <v>207.13</v>
      </c>
      <c r="AH271" s="4">
        <v>397949.76</v>
      </c>
      <c r="AI271" s="4">
        <v>563280.41</v>
      </c>
      <c r="AJ271" s="4">
        <v>0</v>
      </c>
      <c r="AK271" s="4">
        <v>1293437.7</v>
      </c>
      <c r="AL271" s="4">
        <v>0</v>
      </c>
      <c r="AM271" s="4">
        <v>23618.78</v>
      </c>
      <c r="AN271" s="4">
        <v>0</v>
      </c>
      <c r="AO271" s="4">
        <v>587753.93000000005</v>
      </c>
      <c r="AP271" s="4">
        <v>0</v>
      </c>
      <c r="AQ271" s="4">
        <v>60002.93</v>
      </c>
      <c r="AR271" s="4">
        <v>1149477.49</v>
      </c>
      <c r="AS271" s="4">
        <v>604.37</v>
      </c>
      <c r="AT271" s="4">
        <v>27282.27</v>
      </c>
      <c r="AU271" s="4">
        <v>0</v>
      </c>
      <c r="AV271" s="4">
        <v>819060.96</v>
      </c>
      <c r="AW271" s="4">
        <v>3690460.77</v>
      </c>
      <c r="AX271" s="4">
        <v>3383990.72</v>
      </c>
      <c r="AY271" s="4">
        <v>2255910.21</v>
      </c>
      <c r="AZ271" s="4"/>
      <c r="BA271" s="4">
        <v>8280369.1200000001</v>
      </c>
      <c r="BB271" s="4">
        <f t="shared" si="42"/>
        <v>571660812.65999985</v>
      </c>
    </row>
    <row r="272" spans="1:54" x14ac:dyDescent="0.2">
      <c r="A272" s="3">
        <v>38991</v>
      </c>
      <c r="B272" s="4">
        <v>0</v>
      </c>
      <c r="C272" s="4">
        <v>547324.43000000005</v>
      </c>
      <c r="D272" s="4">
        <v>0</v>
      </c>
      <c r="E272" s="4">
        <v>0</v>
      </c>
      <c r="F272" s="4">
        <v>0</v>
      </c>
      <c r="G272" s="4">
        <v>182866.92</v>
      </c>
      <c r="H272" s="4">
        <v>0</v>
      </c>
      <c r="I272" s="4">
        <v>0</v>
      </c>
      <c r="J272" s="4">
        <v>454009.23</v>
      </c>
      <c r="K272" s="4">
        <v>0</v>
      </c>
      <c r="L272" s="4">
        <v>0</v>
      </c>
      <c r="M272" s="4">
        <v>202536.61</v>
      </c>
      <c r="N272" s="4">
        <v>159442.76</v>
      </c>
      <c r="O272" s="4">
        <v>167216.20000000001</v>
      </c>
      <c r="P272" s="4">
        <v>637063.46</v>
      </c>
      <c r="Q272" s="4">
        <v>186075.17</v>
      </c>
      <c r="R272" s="4">
        <v>0</v>
      </c>
      <c r="S272" s="4">
        <v>119509.83</v>
      </c>
      <c r="T272" s="4">
        <v>40352.32</v>
      </c>
      <c r="U272" s="4">
        <v>0</v>
      </c>
      <c r="V272" s="4">
        <v>1210861.8999999999</v>
      </c>
      <c r="W272" s="4">
        <v>11780749.870000001</v>
      </c>
      <c r="X272" s="4">
        <v>372191.14</v>
      </c>
      <c r="Y272" s="4">
        <v>54976171.219999999</v>
      </c>
      <c r="Z272" s="4"/>
      <c r="AA272" s="4"/>
      <c r="AB272" s="4">
        <v>341889330.25</v>
      </c>
      <c r="AC272" s="4">
        <v>80495.64</v>
      </c>
      <c r="AD272" s="4">
        <v>1778793.73</v>
      </c>
      <c r="AE272" s="4">
        <v>0</v>
      </c>
      <c r="AF272" s="4">
        <v>148735.39000000001</v>
      </c>
      <c r="AG272" s="4">
        <v>0</v>
      </c>
      <c r="AH272" s="4">
        <v>286799.82</v>
      </c>
      <c r="AI272" s="4">
        <v>275762.78000000003</v>
      </c>
      <c r="AJ272" s="4">
        <v>0</v>
      </c>
      <c r="AK272" s="4">
        <v>963449.82</v>
      </c>
      <c r="AL272" s="4">
        <v>0</v>
      </c>
      <c r="AM272" s="4">
        <v>22292.87</v>
      </c>
      <c r="AN272" s="4">
        <v>0</v>
      </c>
      <c r="AO272" s="4">
        <v>446705.67</v>
      </c>
      <c r="AP272" s="4">
        <v>0</v>
      </c>
      <c r="AQ272" s="4">
        <v>35806.339999999997</v>
      </c>
      <c r="AR272" s="4">
        <v>638008.16</v>
      </c>
      <c r="AS272" s="4">
        <v>0</v>
      </c>
      <c r="AT272" s="4">
        <v>12389.29</v>
      </c>
      <c r="AU272" s="4">
        <v>0</v>
      </c>
      <c r="AV272" s="4">
        <v>658872.4</v>
      </c>
      <c r="AW272" s="4">
        <v>3547030.45</v>
      </c>
      <c r="AX272" s="4">
        <v>2761184.05</v>
      </c>
      <c r="AY272" s="4">
        <v>1840771.97</v>
      </c>
      <c r="AZ272" s="4"/>
      <c r="BA272" s="4">
        <v>64607.27</v>
      </c>
      <c r="BB272" s="4">
        <f t="shared" si="42"/>
        <v>426487406.95999998</v>
      </c>
    </row>
    <row r="273" spans="1:54" x14ac:dyDescent="0.2">
      <c r="A273" s="3">
        <v>39022</v>
      </c>
      <c r="B273" s="4">
        <v>0</v>
      </c>
      <c r="C273" s="4">
        <v>521374.23</v>
      </c>
      <c r="D273" s="4">
        <v>0</v>
      </c>
      <c r="E273" s="4">
        <v>0</v>
      </c>
      <c r="F273" s="4">
        <v>0</v>
      </c>
      <c r="G273" s="4">
        <v>181587.83</v>
      </c>
      <c r="H273" s="4">
        <v>0</v>
      </c>
      <c r="I273" s="4">
        <v>0</v>
      </c>
      <c r="J273" s="4">
        <v>450054.91</v>
      </c>
      <c r="K273" s="4">
        <v>0</v>
      </c>
      <c r="L273" s="4">
        <v>0</v>
      </c>
      <c r="M273" s="4">
        <v>204482.53</v>
      </c>
      <c r="N273" s="4">
        <v>168289.19</v>
      </c>
      <c r="O273" s="4">
        <v>160850.60999999999</v>
      </c>
      <c r="P273" s="4">
        <v>588486.06000000006</v>
      </c>
      <c r="Q273" s="4">
        <v>184870.22</v>
      </c>
      <c r="R273" s="4">
        <v>0</v>
      </c>
      <c r="S273" s="4">
        <v>121654.05</v>
      </c>
      <c r="T273" s="4">
        <v>44518.720000000001</v>
      </c>
      <c r="U273" s="4">
        <v>0</v>
      </c>
      <c r="V273" s="4">
        <v>1232945.18</v>
      </c>
      <c r="W273" s="4">
        <v>11835586.479999999</v>
      </c>
      <c r="X273" s="4">
        <v>347243.4</v>
      </c>
      <c r="Y273" s="4">
        <v>54177367.920000002</v>
      </c>
      <c r="Z273" s="4"/>
      <c r="AA273" s="4"/>
      <c r="AB273" s="4">
        <v>339222798.17000002</v>
      </c>
      <c r="AC273" s="4">
        <v>79883.850000000006</v>
      </c>
      <c r="AD273" s="4">
        <v>1799292.97</v>
      </c>
      <c r="AE273" s="4">
        <v>0</v>
      </c>
      <c r="AF273" s="4">
        <v>89302.78</v>
      </c>
      <c r="AG273" s="4">
        <v>0</v>
      </c>
      <c r="AH273" s="4">
        <v>284387.96999999997</v>
      </c>
      <c r="AI273" s="4">
        <v>280516.53999999998</v>
      </c>
      <c r="AJ273" s="4">
        <v>0</v>
      </c>
      <c r="AK273" s="4">
        <v>919153.81</v>
      </c>
      <c r="AL273" s="4">
        <v>0</v>
      </c>
      <c r="AM273" s="4">
        <v>22802.81</v>
      </c>
      <c r="AN273" s="4">
        <v>0</v>
      </c>
      <c r="AO273" s="4">
        <v>435031.93</v>
      </c>
      <c r="AP273" s="4">
        <v>0</v>
      </c>
      <c r="AQ273" s="4">
        <v>31387.97</v>
      </c>
      <c r="AR273" s="4">
        <v>585703.72</v>
      </c>
      <c r="AS273" s="4">
        <v>0</v>
      </c>
      <c r="AT273" s="4">
        <v>12493.93</v>
      </c>
      <c r="AU273" s="4">
        <v>0</v>
      </c>
      <c r="AV273" s="4">
        <v>626574.53</v>
      </c>
      <c r="AW273" s="4">
        <v>3355522.94</v>
      </c>
      <c r="AX273" s="4">
        <v>2686904.7</v>
      </c>
      <c r="AY273" s="4">
        <v>1791248.98</v>
      </c>
      <c r="AZ273" s="4"/>
      <c r="BA273" s="4">
        <v>37861.019999999997</v>
      </c>
      <c r="BB273" s="4">
        <f t="shared" si="42"/>
        <v>422480179.95000011</v>
      </c>
    </row>
    <row r="274" spans="1:54" x14ac:dyDescent="0.2">
      <c r="A274" s="3">
        <v>39052</v>
      </c>
      <c r="B274" s="4">
        <v>406.51</v>
      </c>
      <c r="C274" s="4">
        <v>714449.16</v>
      </c>
      <c r="D274" s="4">
        <v>2217.17</v>
      </c>
      <c r="E274" s="4">
        <v>0</v>
      </c>
      <c r="F274" s="4">
        <v>0</v>
      </c>
      <c r="G274" s="4">
        <v>304801.19</v>
      </c>
      <c r="H274" s="4">
        <v>74.319999999999993</v>
      </c>
      <c r="I274" s="4">
        <v>603.21</v>
      </c>
      <c r="J274" s="4">
        <v>662796.49</v>
      </c>
      <c r="K274" s="4">
        <v>1065.25</v>
      </c>
      <c r="L274" s="4">
        <v>0</v>
      </c>
      <c r="M274" s="4">
        <v>330997.01</v>
      </c>
      <c r="N274" s="4">
        <v>250083.63</v>
      </c>
      <c r="O274" s="4">
        <v>237034.87</v>
      </c>
      <c r="P274" s="4">
        <v>867297.9</v>
      </c>
      <c r="Q274" s="4">
        <v>312012.44</v>
      </c>
      <c r="R274" s="4">
        <v>0</v>
      </c>
      <c r="S274" s="4">
        <v>219542.59</v>
      </c>
      <c r="T274" s="4">
        <v>183364.32</v>
      </c>
      <c r="U274" s="4">
        <v>0</v>
      </c>
      <c r="V274" s="4">
        <v>1618122.98</v>
      </c>
      <c r="W274" s="4">
        <v>22453996.670000002</v>
      </c>
      <c r="X274" s="4">
        <v>760577.07</v>
      </c>
      <c r="Y274" s="4">
        <v>76538155.120000005</v>
      </c>
      <c r="Z274" s="4"/>
      <c r="AA274" s="4"/>
      <c r="AB274" s="4">
        <v>454515329.63</v>
      </c>
      <c r="AC274" s="4">
        <v>93279.81</v>
      </c>
      <c r="AD274" s="4">
        <v>2261994.33</v>
      </c>
      <c r="AE274" s="4">
        <v>0</v>
      </c>
      <c r="AF274" s="4">
        <v>164830.01</v>
      </c>
      <c r="AG274" s="4">
        <v>5227.42</v>
      </c>
      <c r="AH274" s="4">
        <v>373499.77</v>
      </c>
      <c r="AI274" s="4">
        <v>484810.63</v>
      </c>
      <c r="AJ274" s="4">
        <v>0</v>
      </c>
      <c r="AK274" s="4">
        <v>1315436.08</v>
      </c>
      <c r="AL274" s="4">
        <v>0</v>
      </c>
      <c r="AM274" s="4">
        <v>37814.92</v>
      </c>
      <c r="AN274" s="4">
        <v>0</v>
      </c>
      <c r="AO274" s="4">
        <v>660977.24</v>
      </c>
      <c r="AP274" s="4">
        <v>0</v>
      </c>
      <c r="AQ274" s="4">
        <v>68099.929999999993</v>
      </c>
      <c r="AR274" s="4">
        <v>733392.32</v>
      </c>
      <c r="AS274" s="4">
        <v>406.26</v>
      </c>
      <c r="AT274" s="4">
        <v>10986.81</v>
      </c>
      <c r="AU274" s="4">
        <v>0</v>
      </c>
      <c r="AV274" s="4">
        <v>881001.21</v>
      </c>
      <c r="AW274" s="4">
        <v>5036810.4000000004</v>
      </c>
      <c r="AX274" s="4">
        <v>3091669.62</v>
      </c>
      <c r="AY274" s="4">
        <v>2061081.89</v>
      </c>
      <c r="AZ274" s="4"/>
      <c r="BA274" s="4">
        <v>8372579.2300000004</v>
      </c>
      <c r="BB274" s="4">
        <f t="shared" si="42"/>
        <v>585626825.40999985</v>
      </c>
    </row>
    <row r="275" spans="1:54" ht="15.75" thickBot="1" x14ac:dyDescent="0.25">
      <c r="A275" s="1" t="s">
        <v>149</v>
      </c>
      <c r="B275" s="5">
        <f t="shared" ref="B275:AI275" si="43">SUM(B263:B274)</f>
        <v>999.18</v>
      </c>
      <c r="C275" s="5">
        <f t="shared" si="43"/>
        <v>7339888.879999999</v>
      </c>
      <c r="D275" s="5">
        <f t="shared" si="43"/>
        <v>3773.53</v>
      </c>
      <c r="E275" s="5">
        <f t="shared" si="43"/>
        <v>0</v>
      </c>
      <c r="F275" s="5">
        <f t="shared" si="43"/>
        <v>636802.90999999992</v>
      </c>
      <c r="G275" s="5">
        <f t="shared" si="43"/>
        <v>2402192.5799999996</v>
      </c>
      <c r="H275" s="5">
        <f t="shared" si="43"/>
        <v>716.38000000000011</v>
      </c>
      <c r="I275" s="5">
        <f t="shared" si="43"/>
        <v>1054.72</v>
      </c>
      <c r="J275" s="5">
        <f t="shared" si="43"/>
        <v>6517246.2200000007</v>
      </c>
      <c r="K275" s="5">
        <f t="shared" si="43"/>
        <v>443477.81</v>
      </c>
      <c r="L275" s="5">
        <f t="shared" si="43"/>
        <v>0</v>
      </c>
      <c r="M275" s="5">
        <f t="shared" si="43"/>
        <v>2860223.2299999995</v>
      </c>
      <c r="N275" s="5">
        <f t="shared" si="43"/>
        <v>2409145.5499999998</v>
      </c>
      <c r="O275" s="5">
        <f t="shared" si="43"/>
        <v>2196398.2799999998</v>
      </c>
      <c r="P275" s="5">
        <f t="shared" si="43"/>
        <v>8252336.4600000009</v>
      </c>
      <c r="Q275" s="5">
        <f t="shared" si="43"/>
        <v>2883424.14</v>
      </c>
      <c r="R275" s="5">
        <f t="shared" si="43"/>
        <v>0</v>
      </c>
      <c r="S275" s="5">
        <f t="shared" si="43"/>
        <v>2115436.75</v>
      </c>
      <c r="T275" s="5">
        <f t="shared" si="43"/>
        <v>1046154.2499999998</v>
      </c>
      <c r="U275" s="5">
        <f t="shared" si="43"/>
        <v>0</v>
      </c>
      <c r="V275" s="5">
        <f t="shared" si="43"/>
        <v>16474092.810000002</v>
      </c>
      <c r="W275" s="5">
        <f t="shared" si="43"/>
        <v>181627140.13999999</v>
      </c>
      <c r="X275" s="5">
        <f t="shared" si="43"/>
        <v>5585002.9300000006</v>
      </c>
      <c r="Y275" s="5">
        <f t="shared" si="43"/>
        <v>710138894.43999994</v>
      </c>
      <c r="Z275" s="5"/>
      <c r="AA275" s="5"/>
      <c r="AB275" s="5">
        <f t="shared" si="43"/>
        <v>4325482292.4300003</v>
      </c>
      <c r="AC275" s="5">
        <f t="shared" si="43"/>
        <v>1269399.3400000001</v>
      </c>
      <c r="AD275" s="5">
        <f t="shared" si="43"/>
        <v>23766194.829999998</v>
      </c>
      <c r="AE275" s="5">
        <f t="shared" si="43"/>
        <v>0</v>
      </c>
      <c r="AF275" s="5">
        <f t="shared" si="43"/>
        <v>1331282.5000000002</v>
      </c>
      <c r="AG275" s="5">
        <f t="shared" si="43"/>
        <v>6131.05</v>
      </c>
      <c r="AH275" s="5">
        <f t="shared" si="43"/>
        <v>3643154.8299999996</v>
      </c>
      <c r="AI275" s="5">
        <f t="shared" si="43"/>
        <v>4005004.55</v>
      </c>
      <c r="AJ275" s="5">
        <f t="shared" ref="AJ275:BB275" si="44">SUM(AJ263:AJ274)</f>
        <v>0</v>
      </c>
      <c r="AK275" s="5">
        <f t="shared" si="44"/>
        <v>12193878.960000001</v>
      </c>
      <c r="AL275" s="5">
        <f t="shared" si="44"/>
        <v>137.74</v>
      </c>
      <c r="AM275" s="5">
        <f t="shared" si="44"/>
        <v>383132.73</v>
      </c>
      <c r="AN275" s="5">
        <f t="shared" si="44"/>
        <v>0</v>
      </c>
      <c r="AO275" s="5">
        <f t="shared" si="44"/>
        <v>6105905.4399999995</v>
      </c>
      <c r="AP275" s="5">
        <f t="shared" si="44"/>
        <v>0</v>
      </c>
      <c r="AQ275" s="5">
        <f t="shared" si="44"/>
        <v>526734.27</v>
      </c>
      <c r="AR275" s="5">
        <f t="shared" si="44"/>
        <v>8313766.4800000004</v>
      </c>
      <c r="AS275" s="5">
        <f t="shared" si="44"/>
        <v>3936.4300000000003</v>
      </c>
      <c r="AT275" s="5">
        <f t="shared" si="44"/>
        <v>188476.88999999998</v>
      </c>
      <c r="AU275" s="5">
        <f t="shared" si="44"/>
        <v>0</v>
      </c>
      <c r="AV275" s="5">
        <f t="shared" si="44"/>
        <v>8689389.2800000012</v>
      </c>
      <c r="AW275" s="5">
        <f t="shared" si="44"/>
        <v>42461225.519999996</v>
      </c>
      <c r="AX275" s="5">
        <f t="shared" si="44"/>
        <v>34295870.989999995</v>
      </c>
      <c r="AY275" s="5">
        <f t="shared" si="44"/>
        <v>22863507.379999999</v>
      </c>
      <c r="AZ275" s="5"/>
      <c r="BA275" s="5">
        <f t="shared" si="44"/>
        <v>32244065.810000002</v>
      </c>
      <c r="BB275" s="5">
        <f t="shared" si="44"/>
        <v>5480707888.6399994</v>
      </c>
    </row>
    <row r="276" spans="1:54" ht="15.75" thickTop="1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</row>
    <row r="277" spans="1:54" x14ac:dyDescent="0.2">
      <c r="A277" s="3">
        <v>38356</v>
      </c>
      <c r="B277" s="4">
        <v>0</v>
      </c>
      <c r="C277" s="4">
        <v>596169.81000000006</v>
      </c>
      <c r="D277" s="4">
        <v>0</v>
      </c>
      <c r="E277" s="4">
        <v>0</v>
      </c>
      <c r="F277" s="4">
        <v>234940.83</v>
      </c>
      <c r="G277" s="4">
        <v>130904.01</v>
      </c>
      <c r="H277" s="4">
        <v>0</v>
      </c>
      <c r="I277" s="4">
        <v>0</v>
      </c>
      <c r="J277" s="4">
        <v>480019.69</v>
      </c>
      <c r="K277" s="4">
        <v>167921.44</v>
      </c>
      <c r="L277" s="4">
        <v>0</v>
      </c>
      <c r="M277" s="4">
        <v>203288.81</v>
      </c>
      <c r="N277" s="4">
        <v>132229.17000000001</v>
      </c>
      <c r="O277" s="4">
        <v>190797.91</v>
      </c>
      <c r="P277" s="4">
        <v>519616.27</v>
      </c>
      <c r="Q277" s="4">
        <v>144711.51</v>
      </c>
      <c r="R277" s="4">
        <v>0</v>
      </c>
      <c r="S277" s="4">
        <v>143840.78</v>
      </c>
      <c r="T277" s="4">
        <v>37451.89</v>
      </c>
      <c r="U277" s="4">
        <v>0</v>
      </c>
      <c r="V277" s="4">
        <v>1103507.32</v>
      </c>
      <c r="W277" s="4">
        <v>12180956.23</v>
      </c>
      <c r="X277" s="4">
        <v>433386.79</v>
      </c>
      <c r="Y277" s="4">
        <v>35858849.289999999</v>
      </c>
      <c r="Z277" s="4"/>
      <c r="AA277" s="4"/>
      <c r="AB277" s="4">
        <v>356643451.71999997</v>
      </c>
      <c r="AC277" s="4">
        <v>89249.58</v>
      </c>
      <c r="AD277" s="4">
        <v>1882476.72</v>
      </c>
      <c r="AE277" s="4">
        <v>0</v>
      </c>
      <c r="AF277" s="4">
        <v>99174.15</v>
      </c>
      <c r="AG277" s="4">
        <v>0</v>
      </c>
      <c r="AH277" s="4">
        <v>324468.15999999997</v>
      </c>
      <c r="AI277" s="4">
        <v>313047.21000000002</v>
      </c>
      <c r="AJ277" s="4">
        <v>0</v>
      </c>
      <c r="AK277" s="4">
        <v>844614.58</v>
      </c>
      <c r="AL277" s="4">
        <v>0</v>
      </c>
      <c r="AM277" s="4">
        <v>40004.14</v>
      </c>
      <c r="AN277" s="4">
        <v>0</v>
      </c>
      <c r="AO277" s="4">
        <v>453994.62</v>
      </c>
      <c r="AP277" s="4">
        <v>0</v>
      </c>
      <c r="AQ277" s="4">
        <v>42923.45</v>
      </c>
      <c r="AR277" s="4">
        <v>485331.83</v>
      </c>
      <c r="AS277" s="4">
        <v>0</v>
      </c>
      <c r="AT277" s="4">
        <v>16140.41</v>
      </c>
      <c r="AU277" s="4">
        <v>0</v>
      </c>
      <c r="AV277" s="4">
        <v>669811.54</v>
      </c>
      <c r="AW277" s="4">
        <v>3911408.17</v>
      </c>
      <c r="AX277" s="4">
        <v>3101350</v>
      </c>
      <c r="AY277" s="4">
        <v>2067548.98</v>
      </c>
      <c r="AZ277" s="4"/>
      <c r="BA277" s="4"/>
      <c r="BB277" s="4">
        <f>SUM(B277:BA277)</f>
        <v>423543587.00999999</v>
      </c>
    </row>
    <row r="278" spans="1:54" x14ac:dyDescent="0.2">
      <c r="A278" s="3">
        <v>38387</v>
      </c>
      <c r="B278" s="4">
        <v>0</v>
      </c>
      <c r="C278" s="4">
        <v>454802.62</v>
      </c>
      <c r="D278" s="4">
        <v>0</v>
      </c>
      <c r="E278" s="4">
        <v>0</v>
      </c>
      <c r="F278" s="4">
        <v>185922.25</v>
      </c>
      <c r="G278" s="4">
        <v>105162.67</v>
      </c>
      <c r="H278" s="4">
        <v>0</v>
      </c>
      <c r="I278" s="4">
        <v>0</v>
      </c>
      <c r="J278" s="4">
        <v>366746.84</v>
      </c>
      <c r="K278" s="4">
        <v>135526.91</v>
      </c>
      <c r="L278" s="4">
        <v>0</v>
      </c>
      <c r="M278" s="4">
        <v>156012.32999999999</v>
      </c>
      <c r="N278" s="4">
        <v>98948.96</v>
      </c>
      <c r="O278" s="4">
        <v>144448.18</v>
      </c>
      <c r="P278" s="4">
        <v>396261.55</v>
      </c>
      <c r="Q278" s="4">
        <v>112808.82</v>
      </c>
      <c r="R278" s="4">
        <v>0</v>
      </c>
      <c r="S278" s="4">
        <v>113777.2</v>
      </c>
      <c r="T278" s="4">
        <v>18796.13</v>
      </c>
      <c r="U278" s="4">
        <v>0</v>
      </c>
      <c r="V278" s="4">
        <v>865260.22</v>
      </c>
      <c r="W278" s="4">
        <v>9488658.9199999999</v>
      </c>
      <c r="X278" s="4">
        <v>340237.11</v>
      </c>
      <c r="Y278" s="4">
        <v>27935880.060000002</v>
      </c>
      <c r="Z278" s="4"/>
      <c r="AA278" s="4"/>
      <c r="AB278" s="4">
        <v>279110966.18000001</v>
      </c>
      <c r="AC278" s="4">
        <v>68965.52</v>
      </c>
      <c r="AD278" s="4">
        <v>1383578.98</v>
      </c>
      <c r="AE278" s="4">
        <v>0</v>
      </c>
      <c r="AF278" s="4">
        <v>79360.47</v>
      </c>
      <c r="AG278" s="4">
        <v>0</v>
      </c>
      <c r="AH278" s="4">
        <v>251258.29</v>
      </c>
      <c r="AI278" s="4">
        <v>243509.02</v>
      </c>
      <c r="AJ278" s="4">
        <v>0</v>
      </c>
      <c r="AK278" s="4">
        <v>692513.53</v>
      </c>
      <c r="AL278" s="4">
        <v>0</v>
      </c>
      <c r="AM278" s="4">
        <v>30870.47</v>
      </c>
      <c r="AN278" s="4">
        <v>0</v>
      </c>
      <c r="AO278" s="4">
        <v>362942.71</v>
      </c>
      <c r="AP278" s="4">
        <v>0</v>
      </c>
      <c r="AQ278" s="4">
        <v>34086.07</v>
      </c>
      <c r="AR278" s="4">
        <v>372236.46</v>
      </c>
      <c r="AS278" s="4">
        <v>0</v>
      </c>
      <c r="AT278" s="4">
        <v>11955.72</v>
      </c>
      <c r="AU278" s="4">
        <v>0</v>
      </c>
      <c r="AV278" s="4">
        <v>528067.29</v>
      </c>
      <c r="AW278" s="4">
        <v>3007402.85</v>
      </c>
      <c r="AX278" s="4">
        <v>2394298.73</v>
      </c>
      <c r="AY278" s="4">
        <v>1596125.42</v>
      </c>
      <c r="AZ278" s="4"/>
      <c r="BA278" s="4"/>
      <c r="BB278" s="4">
        <f t="shared" ref="BB278:BB288" si="45">SUM(B278:BA278)</f>
        <v>331087388.48000008</v>
      </c>
    </row>
    <row r="279" spans="1:54" x14ac:dyDescent="0.2">
      <c r="A279" s="3">
        <v>38415</v>
      </c>
      <c r="B279" s="4">
        <v>0</v>
      </c>
      <c r="C279" s="4">
        <v>724318.47</v>
      </c>
      <c r="D279" s="4">
        <v>627.66999999999996</v>
      </c>
      <c r="E279" s="4">
        <v>0</v>
      </c>
      <c r="F279" s="4">
        <v>351241.6</v>
      </c>
      <c r="G279" s="4">
        <v>183842.14</v>
      </c>
      <c r="H279" s="4">
        <v>157.02000000000001</v>
      </c>
      <c r="I279" s="4">
        <v>344.51</v>
      </c>
      <c r="J279" s="4">
        <v>613012.09</v>
      </c>
      <c r="K279" s="4">
        <v>208094.71</v>
      </c>
      <c r="L279" s="4">
        <v>0</v>
      </c>
      <c r="M279" s="4">
        <v>289924.46999999997</v>
      </c>
      <c r="N279" s="4">
        <v>205717.62</v>
      </c>
      <c r="O279" s="4">
        <v>243513.17</v>
      </c>
      <c r="P279" s="4">
        <v>843451.84</v>
      </c>
      <c r="Q279" s="4">
        <v>223652.66</v>
      </c>
      <c r="R279" s="4">
        <v>0</v>
      </c>
      <c r="S279" s="4">
        <v>278907</v>
      </c>
      <c r="T279" s="4">
        <v>149326.45000000001</v>
      </c>
      <c r="U279" s="4">
        <v>436.2</v>
      </c>
      <c r="V279" s="4">
        <v>1515008.29</v>
      </c>
      <c r="W279" s="4">
        <v>23089309.450000003</v>
      </c>
      <c r="X279" s="4">
        <v>528295.14</v>
      </c>
      <c r="Y279" s="4">
        <v>43458909.939999998</v>
      </c>
      <c r="Z279" s="4"/>
      <c r="AA279" s="4"/>
      <c r="AB279" s="4">
        <v>443226435.34000003</v>
      </c>
      <c r="AC279" s="4">
        <v>146716.65</v>
      </c>
      <c r="AD279" s="4">
        <v>1948262.07</v>
      </c>
      <c r="AE279" s="4">
        <v>0</v>
      </c>
      <c r="AF279" s="4">
        <v>83464.13</v>
      </c>
      <c r="AG279" s="4">
        <v>601.98</v>
      </c>
      <c r="AH279" s="4">
        <v>312141.90999999997</v>
      </c>
      <c r="AI279" s="4">
        <v>305096.89</v>
      </c>
      <c r="AJ279" s="4">
        <v>0</v>
      </c>
      <c r="AK279" s="4">
        <v>969641.05</v>
      </c>
      <c r="AL279" s="4">
        <v>1602.97</v>
      </c>
      <c r="AM279" s="4">
        <v>39207.42</v>
      </c>
      <c r="AN279" s="4">
        <v>0</v>
      </c>
      <c r="AO279" s="4">
        <v>603464.68999999994</v>
      </c>
      <c r="AP279" s="4">
        <v>0</v>
      </c>
      <c r="AQ279" s="4">
        <v>56811.13</v>
      </c>
      <c r="AR279" s="4">
        <v>590520.69999999995</v>
      </c>
      <c r="AS279" s="4">
        <v>555.75</v>
      </c>
      <c r="AT279" s="4">
        <v>15302.74</v>
      </c>
      <c r="AU279" s="4">
        <v>0</v>
      </c>
      <c r="AV279" s="4">
        <v>462285.12</v>
      </c>
      <c r="AW279" s="4">
        <v>3500579.44</v>
      </c>
      <c r="AX279" s="4">
        <v>2590325.58</v>
      </c>
      <c r="AY279" s="4">
        <v>1726801.38</v>
      </c>
      <c r="AZ279" s="4"/>
      <c r="BA279" s="4"/>
      <c r="BB279" s="4">
        <f t="shared" si="45"/>
        <v>529487907.38000005</v>
      </c>
    </row>
    <row r="280" spans="1:54" x14ac:dyDescent="0.2">
      <c r="A280" s="3">
        <v>38446</v>
      </c>
      <c r="B280" s="4">
        <v>0</v>
      </c>
      <c r="C280" s="4">
        <v>520342.55</v>
      </c>
      <c r="D280" s="4">
        <v>0</v>
      </c>
      <c r="E280" s="4">
        <v>0</v>
      </c>
      <c r="F280" s="4">
        <v>236019.47</v>
      </c>
      <c r="G280" s="4">
        <v>132204.75</v>
      </c>
      <c r="H280" s="4">
        <v>0</v>
      </c>
      <c r="I280" s="4">
        <v>0</v>
      </c>
      <c r="J280" s="4">
        <v>460567.65</v>
      </c>
      <c r="K280" s="4">
        <v>153202.74</v>
      </c>
      <c r="L280" s="4">
        <v>0</v>
      </c>
      <c r="M280" s="4">
        <v>190732.66</v>
      </c>
      <c r="N280" s="4">
        <v>129890.41</v>
      </c>
      <c r="O280" s="4">
        <v>167327.79999999999</v>
      </c>
      <c r="P280" s="4">
        <v>497104.97</v>
      </c>
      <c r="Q280" s="4">
        <v>139742.85999999999</v>
      </c>
      <c r="R280" s="4">
        <v>0</v>
      </c>
      <c r="S280" s="4">
        <v>140239.09</v>
      </c>
      <c r="T280" s="4">
        <v>32258.54</v>
      </c>
      <c r="U280" s="4">
        <v>0</v>
      </c>
      <c r="V280" s="4">
        <v>1050836.8400000001</v>
      </c>
      <c r="W280" s="4">
        <v>11626791.439999999</v>
      </c>
      <c r="X280" s="4">
        <v>393205.87</v>
      </c>
      <c r="Y280" s="4">
        <v>32894965.259999998</v>
      </c>
      <c r="Z280" s="4"/>
      <c r="AA280" s="4"/>
      <c r="AB280" s="4">
        <v>314881776.28999996</v>
      </c>
      <c r="AC280" s="4">
        <v>89648.91</v>
      </c>
      <c r="AD280" s="4">
        <v>1780149.81</v>
      </c>
      <c r="AE280" s="4">
        <v>0</v>
      </c>
      <c r="AF280" s="4">
        <v>92097.65</v>
      </c>
      <c r="AG280" s="4">
        <v>0</v>
      </c>
      <c r="AH280" s="4">
        <v>275634.21999999997</v>
      </c>
      <c r="AI280" s="4">
        <v>253332.03</v>
      </c>
      <c r="AJ280" s="4">
        <v>0</v>
      </c>
      <c r="AK280" s="4">
        <v>795203.83</v>
      </c>
      <c r="AL280" s="4">
        <v>0</v>
      </c>
      <c r="AM280" s="4">
        <v>27012.75</v>
      </c>
      <c r="AN280" s="4">
        <v>0</v>
      </c>
      <c r="AO280" s="4">
        <v>443473.76</v>
      </c>
      <c r="AP280" s="4">
        <v>0</v>
      </c>
      <c r="AQ280" s="4">
        <v>37362.21</v>
      </c>
      <c r="AR280" s="4">
        <v>497114.12</v>
      </c>
      <c r="AS280" s="4">
        <v>0</v>
      </c>
      <c r="AT280" s="4">
        <v>19221.28</v>
      </c>
      <c r="AU280" s="4">
        <v>0</v>
      </c>
      <c r="AV280" s="4">
        <v>1133974.02</v>
      </c>
      <c r="AW280" s="4">
        <v>2952502.55</v>
      </c>
      <c r="AX280" s="4">
        <v>2544885.92</v>
      </c>
      <c r="AY280" s="4">
        <v>1696562.4</v>
      </c>
      <c r="AZ280" s="4"/>
      <c r="BA280" s="4"/>
      <c r="BB280" s="4">
        <f t="shared" si="45"/>
        <v>376285384.64999986</v>
      </c>
    </row>
    <row r="281" spans="1:54" x14ac:dyDescent="0.2">
      <c r="A281" s="3">
        <v>38476</v>
      </c>
      <c r="B281" s="4">
        <v>0</v>
      </c>
      <c r="C281" s="4">
        <v>529133.62</v>
      </c>
      <c r="D281" s="4">
        <v>0</v>
      </c>
      <c r="E281" s="4">
        <v>0</v>
      </c>
      <c r="F281" s="4">
        <v>238628.19</v>
      </c>
      <c r="G281" s="4">
        <v>131755.68</v>
      </c>
      <c r="H281" s="4">
        <v>0</v>
      </c>
      <c r="I281" s="4">
        <v>0</v>
      </c>
      <c r="J281" s="4">
        <v>477769.21</v>
      </c>
      <c r="K281" s="4">
        <v>151107.51999999999</v>
      </c>
      <c r="L281" s="4">
        <v>0</v>
      </c>
      <c r="M281" s="4">
        <v>186594.15</v>
      </c>
      <c r="N281" s="4">
        <v>148161.81</v>
      </c>
      <c r="O281" s="4">
        <v>162344.67000000001</v>
      </c>
      <c r="P281" s="4">
        <v>505557.31</v>
      </c>
      <c r="Q281" s="4">
        <v>140794.4</v>
      </c>
      <c r="R281" s="4">
        <v>0</v>
      </c>
      <c r="S281" s="4">
        <v>151948.81</v>
      </c>
      <c r="T281" s="4">
        <v>29059.23</v>
      </c>
      <c r="U281" s="4">
        <v>0</v>
      </c>
      <c r="V281" s="4">
        <v>1024350.13</v>
      </c>
      <c r="W281" s="4">
        <v>11261636.319999998</v>
      </c>
      <c r="X281" s="4">
        <v>406565.61</v>
      </c>
      <c r="Y281" s="4">
        <v>33456396.649999999</v>
      </c>
      <c r="Z281" s="4"/>
      <c r="AA281" s="4"/>
      <c r="AB281" s="4">
        <v>321578068.48000002</v>
      </c>
      <c r="AC281" s="4">
        <v>94381.48</v>
      </c>
      <c r="AD281" s="4">
        <v>1742686.78</v>
      </c>
      <c r="AE281" s="4">
        <v>0</v>
      </c>
      <c r="AF281" s="4">
        <v>96252.73</v>
      </c>
      <c r="AG281" s="4">
        <v>0</v>
      </c>
      <c r="AH281" s="4">
        <v>273826.26</v>
      </c>
      <c r="AI281" s="4">
        <v>266404.99</v>
      </c>
      <c r="AJ281" s="4">
        <v>0</v>
      </c>
      <c r="AK281" s="4">
        <v>825787.26</v>
      </c>
      <c r="AL281" s="4">
        <v>0</v>
      </c>
      <c r="AM281" s="4">
        <v>28427.56</v>
      </c>
      <c r="AN281" s="4">
        <v>0</v>
      </c>
      <c r="AO281" s="4">
        <v>439839.54</v>
      </c>
      <c r="AP281" s="4">
        <v>0</v>
      </c>
      <c r="AQ281" s="4">
        <v>39219.03</v>
      </c>
      <c r="AR281" s="4">
        <v>495998.86</v>
      </c>
      <c r="AS281" s="4">
        <v>0</v>
      </c>
      <c r="AT281" s="4">
        <v>18153.84</v>
      </c>
      <c r="AU281" s="4">
        <v>0</v>
      </c>
      <c r="AV281" s="4">
        <v>621103.06999999995</v>
      </c>
      <c r="AW281" s="4">
        <v>3044217.25</v>
      </c>
      <c r="AX281" s="4">
        <v>2735845.39</v>
      </c>
      <c r="AY281" s="4">
        <v>1823850.34</v>
      </c>
      <c r="AZ281" s="4"/>
      <c r="BA281" s="4">
        <v>0</v>
      </c>
      <c r="BB281" s="4">
        <f t="shared" si="45"/>
        <v>383125866.16999996</v>
      </c>
    </row>
    <row r="282" spans="1:54" x14ac:dyDescent="0.2">
      <c r="A282" s="3">
        <v>38507</v>
      </c>
      <c r="B282" s="4">
        <v>109.21</v>
      </c>
      <c r="C282" s="4">
        <v>756678.79</v>
      </c>
      <c r="D282" s="4">
        <v>1804.18</v>
      </c>
      <c r="E282" s="4">
        <v>0</v>
      </c>
      <c r="F282" s="4">
        <v>259912.07</v>
      </c>
      <c r="G282" s="4">
        <v>251783.2</v>
      </c>
      <c r="H282" s="4">
        <v>384.23</v>
      </c>
      <c r="I282" s="4">
        <v>781.97</v>
      </c>
      <c r="J282" s="4">
        <v>569528.73</v>
      </c>
      <c r="K282" s="4">
        <v>213260.79999999999</v>
      </c>
      <c r="L282" s="4">
        <v>0</v>
      </c>
      <c r="M282" s="4">
        <v>298655.59999999998</v>
      </c>
      <c r="N282" s="4">
        <v>205739.13</v>
      </c>
      <c r="O282" s="4">
        <v>210939.34</v>
      </c>
      <c r="P282" s="4">
        <v>892668.25</v>
      </c>
      <c r="Q282" s="4">
        <v>219288.11</v>
      </c>
      <c r="R282" s="4">
        <v>0</v>
      </c>
      <c r="S282" s="4">
        <v>320447.09999999998</v>
      </c>
      <c r="T282" s="4">
        <v>170161.78</v>
      </c>
      <c r="U282" s="4">
        <v>0</v>
      </c>
      <c r="V282" s="4">
        <v>1871705.41</v>
      </c>
      <c r="W282" s="4">
        <v>22523411.32</v>
      </c>
      <c r="X282" s="4">
        <v>541474.97</v>
      </c>
      <c r="Y282" s="4">
        <v>53949767.490000002</v>
      </c>
      <c r="Z282" s="4"/>
      <c r="AA282" s="4"/>
      <c r="AB282" s="4">
        <v>455009231.75999999</v>
      </c>
      <c r="AC282" s="4">
        <v>80641.62</v>
      </c>
      <c r="AD282" s="4">
        <v>2550847.77</v>
      </c>
      <c r="AE282" s="4">
        <v>0</v>
      </c>
      <c r="AF282" s="4">
        <v>129730.21</v>
      </c>
      <c r="AG282" s="4">
        <v>1395.11</v>
      </c>
      <c r="AH282" s="4">
        <v>335196.34000000003</v>
      </c>
      <c r="AI282" s="4">
        <v>394571.03</v>
      </c>
      <c r="AJ282" s="4">
        <v>0</v>
      </c>
      <c r="AK282" s="4">
        <v>1322992.3799999999</v>
      </c>
      <c r="AL282" s="4">
        <v>378.06</v>
      </c>
      <c r="AM282" s="4">
        <v>34252.74</v>
      </c>
      <c r="AN282" s="4">
        <v>0</v>
      </c>
      <c r="AO282" s="4">
        <v>582659.51</v>
      </c>
      <c r="AP282" s="4">
        <v>0</v>
      </c>
      <c r="AQ282" s="4">
        <v>63091.44</v>
      </c>
      <c r="AR282" s="4">
        <v>833887.39</v>
      </c>
      <c r="AS282" s="4">
        <v>854.98</v>
      </c>
      <c r="AT282" s="4">
        <v>16027.09</v>
      </c>
      <c r="AU282" s="4">
        <v>0</v>
      </c>
      <c r="AV282" s="4">
        <v>764672.43</v>
      </c>
      <c r="AW282" s="4">
        <v>3635489.92</v>
      </c>
      <c r="AX282" s="4">
        <v>3329724.6</v>
      </c>
      <c r="AY282" s="4">
        <v>2219730.96</v>
      </c>
      <c r="AZ282" s="4"/>
      <c r="BA282" s="4">
        <v>4643345.7</v>
      </c>
      <c r="BB282" s="4">
        <f t="shared" si="45"/>
        <v>559207222.72000015</v>
      </c>
    </row>
    <row r="283" spans="1:54" x14ac:dyDescent="0.2">
      <c r="A283" s="3">
        <v>38537</v>
      </c>
      <c r="B283" s="4">
        <v>0</v>
      </c>
      <c r="C283" s="4">
        <v>576429.53</v>
      </c>
      <c r="D283" s="4">
        <v>0</v>
      </c>
      <c r="E283" s="4">
        <v>0</v>
      </c>
      <c r="F283" s="4">
        <v>278592.88</v>
      </c>
      <c r="G283" s="4">
        <v>184537.14</v>
      </c>
      <c r="H283" s="4">
        <v>0</v>
      </c>
      <c r="I283" s="4">
        <v>0</v>
      </c>
      <c r="J283" s="4">
        <v>491067.88</v>
      </c>
      <c r="K283" s="4">
        <v>162574.32</v>
      </c>
      <c r="L283" s="4">
        <v>0</v>
      </c>
      <c r="M283" s="4">
        <v>186713.58</v>
      </c>
      <c r="N283" s="4">
        <v>144370.13</v>
      </c>
      <c r="O283" s="4">
        <v>184943.67</v>
      </c>
      <c r="P283" s="4">
        <v>553189.34</v>
      </c>
      <c r="Q283" s="4">
        <v>154245.66</v>
      </c>
      <c r="R283" s="4">
        <v>0</v>
      </c>
      <c r="S283" s="4">
        <v>141749.82</v>
      </c>
      <c r="T283" s="4">
        <v>63340.29</v>
      </c>
      <c r="U283" s="4">
        <v>0</v>
      </c>
      <c r="V283" s="4">
        <v>1021495.94</v>
      </c>
      <c r="W283" s="4">
        <v>11805760.719999999</v>
      </c>
      <c r="X283" s="4">
        <v>477063.9</v>
      </c>
      <c r="Y283" s="4">
        <v>51211300.359999999</v>
      </c>
      <c r="Z283" s="4"/>
      <c r="AA283" s="4"/>
      <c r="AB283" s="4">
        <v>320844080.45000005</v>
      </c>
      <c r="AC283" s="4">
        <v>60706</v>
      </c>
      <c r="AD283" s="4">
        <v>1963911.39</v>
      </c>
      <c r="AE283" s="4">
        <v>0</v>
      </c>
      <c r="AF283" s="4">
        <v>91017.62</v>
      </c>
      <c r="AG283" s="4">
        <v>0</v>
      </c>
      <c r="AH283" s="4">
        <v>320760.03999999998</v>
      </c>
      <c r="AI283" s="4">
        <v>292246.13</v>
      </c>
      <c r="AJ283" s="4">
        <v>0</v>
      </c>
      <c r="AK283" s="4">
        <v>858823.1</v>
      </c>
      <c r="AL283" s="4">
        <v>0</v>
      </c>
      <c r="AM283" s="4">
        <v>22324.04</v>
      </c>
      <c r="AN283" s="4">
        <v>0</v>
      </c>
      <c r="AO283" s="4">
        <v>483415.81</v>
      </c>
      <c r="AP283" s="4">
        <v>0</v>
      </c>
      <c r="AQ283" s="4">
        <v>37428.400000000001</v>
      </c>
      <c r="AR283" s="4">
        <v>735699.13</v>
      </c>
      <c r="AS283" s="4">
        <v>0</v>
      </c>
      <c r="AT283" s="4">
        <v>17420.009999999998</v>
      </c>
      <c r="AU283" s="4">
        <v>0</v>
      </c>
      <c r="AV283" s="4">
        <v>696597.21</v>
      </c>
      <c r="AW283" s="4">
        <v>3111674.8</v>
      </c>
      <c r="AX283" s="4">
        <v>2777525.79</v>
      </c>
      <c r="AY283" s="4">
        <v>1851661.98</v>
      </c>
      <c r="AZ283" s="4"/>
      <c r="BA283" s="4">
        <v>33367.49</v>
      </c>
      <c r="BB283" s="4">
        <f t="shared" si="45"/>
        <v>401836034.55000007</v>
      </c>
    </row>
    <row r="284" spans="1:54" x14ac:dyDescent="0.2">
      <c r="A284" s="3">
        <v>38568</v>
      </c>
      <c r="B284" s="4">
        <v>0</v>
      </c>
      <c r="C284" s="4">
        <v>543766.36</v>
      </c>
      <c r="D284" s="4">
        <v>0</v>
      </c>
      <c r="E284" s="4">
        <v>0</v>
      </c>
      <c r="F284" s="4">
        <v>258154.53</v>
      </c>
      <c r="G284" s="4">
        <v>168623.14</v>
      </c>
      <c r="H284" s="4">
        <v>0</v>
      </c>
      <c r="I284" s="4">
        <v>0</v>
      </c>
      <c r="J284" s="4">
        <v>460377.69</v>
      </c>
      <c r="K284" s="4">
        <v>158673.23000000001</v>
      </c>
      <c r="L284" s="4">
        <v>0</v>
      </c>
      <c r="M284" s="4">
        <v>177284.94</v>
      </c>
      <c r="N284" s="4">
        <v>131735.46</v>
      </c>
      <c r="O284" s="4">
        <v>174304.55</v>
      </c>
      <c r="P284" s="4">
        <v>497560.07</v>
      </c>
      <c r="Q284" s="4">
        <v>136673.72</v>
      </c>
      <c r="R284" s="4">
        <v>0</v>
      </c>
      <c r="S284" s="4">
        <v>129603.68</v>
      </c>
      <c r="T284" s="4">
        <v>41573.089999999997</v>
      </c>
      <c r="U284" s="4">
        <v>0</v>
      </c>
      <c r="V284" s="4">
        <v>916211.7</v>
      </c>
      <c r="W284" s="4">
        <v>10765136.1</v>
      </c>
      <c r="X284" s="4">
        <v>428064.52</v>
      </c>
      <c r="Y284" s="4">
        <v>46899619.200000003</v>
      </c>
      <c r="Z284" s="4"/>
      <c r="AA284" s="4"/>
      <c r="AB284" s="4">
        <v>295562748.57999998</v>
      </c>
      <c r="AC284" s="4">
        <v>57870.13</v>
      </c>
      <c r="AD284" s="4">
        <v>1770403.97</v>
      </c>
      <c r="AE284" s="4">
        <v>0</v>
      </c>
      <c r="AF284" s="4">
        <v>83277.64</v>
      </c>
      <c r="AG284" s="4">
        <v>0</v>
      </c>
      <c r="AH284" s="4">
        <v>272656.57</v>
      </c>
      <c r="AI284" s="4">
        <v>273104.02</v>
      </c>
      <c r="AJ284" s="4">
        <v>0</v>
      </c>
      <c r="AK284" s="4">
        <v>809910.29</v>
      </c>
      <c r="AL284" s="4">
        <v>0</v>
      </c>
      <c r="AM284" s="4">
        <v>21176.03</v>
      </c>
      <c r="AN284" s="4">
        <v>0</v>
      </c>
      <c r="AO284" s="4">
        <v>449000.99</v>
      </c>
      <c r="AP284" s="4">
        <v>0</v>
      </c>
      <c r="AQ284" s="4">
        <v>37033.519999999997</v>
      </c>
      <c r="AR284" s="4">
        <v>669766.94999999995</v>
      </c>
      <c r="AS284" s="4">
        <v>0</v>
      </c>
      <c r="AT284" s="4">
        <v>16999.75</v>
      </c>
      <c r="AU284" s="4">
        <v>0</v>
      </c>
      <c r="AV284" s="4">
        <v>632715.48</v>
      </c>
      <c r="AW284" s="4">
        <v>2950442.12</v>
      </c>
      <c r="AX284" s="4">
        <v>2549229.16</v>
      </c>
      <c r="AY284" s="4">
        <v>1699475.83</v>
      </c>
      <c r="AZ284" s="4"/>
      <c r="BA284" s="4">
        <v>1227.67</v>
      </c>
      <c r="BB284" s="4">
        <f t="shared" si="45"/>
        <v>369744400.68000001</v>
      </c>
    </row>
    <row r="285" spans="1:54" x14ac:dyDescent="0.2">
      <c r="A285" s="3">
        <v>38599</v>
      </c>
      <c r="B285" s="4">
        <v>182.49</v>
      </c>
      <c r="C285" s="4">
        <v>695451.06</v>
      </c>
      <c r="D285" s="4">
        <v>517.85</v>
      </c>
      <c r="E285" s="4">
        <v>0</v>
      </c>
      <c r="F285" s="4">
        <v>334777.75</v>
      </c>
      <c r="G285" s="4">
        <v>237525.94</v>
      </c>
      <c r="H285" s="4">
        <v>309.88</v>
      </c>
      <c r="I285" s="4">
        <v>353.02</v>
      </c>
      <c r="J285" s="4">
        <v>653937.13</v>
      </c>
      <c r="K285" s="4">
        <v>327976.18</v>
      </c>
      <c r="L285" s="4">
        <v>0</v>
      </c>
      <c r="M285" s="4">
        <v>279722.09999999998</v>
      </c>
      <c r="N285" s="4">
        <v>173599.86</v>
      </c>
      <c r="O285" s="4">
        <v>254308.74</v>
      </c>
      <c r="P285" s="4">
        <v>1047035.69</v>
      </c>
      <c r="Q285" s="4">
        <v>231928.18</v>
      </c>
      <c r="R285" s="4">
        <v>0</v>
      </c>
      <c r="S285" s="4">
        <v>187623.81</v>
      </c>
      <c r="T285" s="4">
        <v>177088.86</v>
      </c>
      <c r="U285" s="4">
        <v>0</v>
      </c>
      <c r="V285" s="4">
        <v>2286838.17</v>
      </c>
      <c r="W285" s="4">
        <v>23058140.18</v>
      </c>
      <c r="X285" s="4">
        <v>621208.38</v>
      </c>
      <c r="Y285" s="4">
        <v>72416107.079999998</v>
      </c>
      <c r="Z285" s="4"/>
      <c r="AA285" s="4"/>
      <c r="AB285" s="4">
        <v>441930494.48000002</v>
      </c>
      <c r="AC285" s="4">
        <v>94676.81</v>
      </c>
      <c r="AD285" s="4">
        <v>2452570</v>
      </c>
      <c r="AE285" s="4">
        <v>0</v>
      </c>
      <c r="AF285" s="4">
        <v>158026.28</v>
      </c>
      <c r="AG285" s="4">
        <v>235.8</v>
      </c>
      <c r="AH285" s="4">
        <v>334136.17</v>
      </c>
      <c r="AI285" s="4">
        <v>363689.07</v>
      </c>
      <c r="AJ285" s="4">
        <v>0</v>
      </c>
      <c r="AK285" s="4">
        <v>1396561.96</v>
      </c>
      <c r="AL285" s="4">
        <v>245.39</v>
      </c>
      <c r="AM285" s="4">
        <v>13630.1</v>
      </c>
      <c r="AN285" s="4">
        <v>0</v>
      </c>
      <c r="AO285" s="4">
        <v>703207.4</v>
      </c>
      <c r="AP285" s="4">
        <v>0</v>
      </c>
      <c r="AQ285" s="4">
        <v>71160.350000000006</v>
      </c>
      <c r="AR285" s="4">
        <v>1058831.23</v>
      </c>
      <c r="AS285" s="4">
        <v>742.72</v>
      </c>
      <c r="AT285" s="4">
        <v>16306.87</v>
      </c>
      <c r="AU285" s="4">
        <v>0</v>
      </c>
      <c r="AV285" s="4">
        <v>844620.72</v>
      </c>
      <c r="AW285" s="4">
        <v>4305215.5999999996</v>
      </c>
      <c r="AX285" s="4">
        <v>3339344.3</v>
      </c>
      <c r="AY285" s="4">
        <v>2226069.2400000002</v>
      </c>
      <c r="AZ285" s="4"/>
      <c r="BA285" s="4">
        <v>7603291.6600000001</v>
      </c>
      <c r="BB285" s="4">
        <f t="shared" si="45"/>
        <v>569897688.5</v>
      </c>
    </row>
    <row r="286" spans="1:54" x14ac:dyDescent="0.2">
      <c r="A286" s="3">
        <v>38629</v>
      </c>
      <c r="B286" s="4">
        <v>0</v>
      </c>
      <c r="C286" s="4">
        <v>512595.14</v>
      </c>
      <c r="D286" s="4">
        <v>0</v>
      </c>
      <c r="E286" s="4">
        <v>0</v>
      </c>
      <c r="F286" s="4">
        <v>234925.22</v>
      </c>
      <c r="G286" s="4">
        <v>180463.77</v>
      </c>
      <c r="H286" s="4">
        <v>0</v>
      </c>
      <c r="I286" s="4">
        <v>0</v>
      </c>
      <c r="J286" s="4">
        <v>449667.93</v>
      </c>
      <c r="K286" s="4">
        <v>146387.34</v>
      </c>
      <c r="L286" s="4">
        <v>0</v>
      </c>
      <c r="M286" s="4">
        <v>183195.21</v>
      </c>
      <c r="N286" s="4">
        <v>127339.83</v>
      </c>
      <c r="O286" s="4">
        <v>166744.91</v>
      </c>
      <c r="P286" s="4">
        <v>520576.18</v>
      </c>
      <c r="Q286" s="4">
        <v>136471.04999999999</v>
      </c>
      <c r="R286" s="4">
        <v>0</v>
      </c>
      <c r="S286" s="4">
        <v>115356.53</v>
      </c>
      <c r="T286" s="4">
        <v>49541.02</v>
      </c>
      <c r="U286" s="4">
        <v>0</v>
      </c>
      <c r="V286" s="4">
        <v>1072445.18</v>
      </c>
      <c r="W286" s="4">
        <v>11578075.979999999</v>
      </c>
      <c r="X286" s="4">
        <v>355996.75</v>
      </c>
      <c r="Y286" s="4">
        <v>48089532.149999999</v>
      </c>
      <c r="Z286" s="4"/>
      <c r="AA286" s="4"/>
      <c r="AB286" s="4">
        <v>291329971.48000002</v>
      </c>
      <c r="AC286" s="4">
        <v>63980.94</v>
      </c>
      <c r="AD286" s="4">
        <v>1749421.26</v>
      </c>
      <c r="AE286" s="4">
        <v>0</v>
      </c>
      <c r="AF286" s="4">
        <v>102644.73</v>
      </c>
      <c r="AG286" s="4">
        <v>0</v>
      </c>
      <c r="AH286" s="4">
        <v>278685.78000000003</v>
      </c>
      <c r="AI286" s="4">
        <v>266618.63</v>
      </c>
      <c r="AJ286" s="4">
        <v>0</v>
      </c>
      <c r="AK286" s="4">
        <v>835119.14</v>
      </c>
      <c r="AL286" s="4">
        <v>0</v>
      </c>
      <c r="AM286" s="4">
        <v>22029.81</v>
      </c>
      <c r="AN286" s="4">
        <v>0</v>
      </c>
      <c r="AO286" s="4">
        <v>435283.22</v>
      </c>
      <c r="AP286" s="4">
        <v>0</v>
      </c>
      <c r="AQ286" s="4">
        <v>33959.160000000003</v>
      </c>
      <c r="AR286" s="4">
        <v>550770.98</v>
      </c>
      <c r="AS286" s="4">
        <v>0</v>
      </c>
      <c r="AT286" s="4">
        <v>15188.17</v>
      </c>
      <c r="AU286" s="4">
        <v>0</v>
      </c>
      <c r="AV286" s="4">
        <v>632250.94999999995</v>
      </c>
      <c r="AW286" s="4">
        <v>3337486.76</v>
      </c>
      <c r="AX286" s="4">
        <v>2585696.75</v>
      </c>
      <c r="AY286" s="4">
        <v>1723907.3</v>
      </c>
      <c r="AZ286" s="4"/>
      <c r="BA286" s="4">
        <v>49295.31</v>
      </c>
      <c r="BB286" s="4">
        <f t="shared" si="45"/>
        <v>367931624.56000006</v>
      </c>
    </row>
    <row r="287" spans="1:54" x14ac:dyDescent="0.2">
      <c r="A287" s="3">
        <v>38660</v>
      </c>
      <c r="B287" s="4">
        <v>0</v>
      </c>
      <c r="C287" s="4">
        <v>533247.59</v>
      </c>
      <c r="D287" s="4">
        <v>0</v>
      </c>
      <c r="E287" s="4">
        <v>0</v>
      </c>
      <c r="F287" s="4">
        <v>246986.89</v>
      </c>
      <c r="G287" s="4">
        <v>170313.25</v>
      </c>
      <c r="H287" s="4">
        <v>0</v>
      </c>
      <c r="I287" s="4">
        <v>0</v>
      </c>
      <c r="J287" s="4">
        <v>459752.52</v>
      </c>
      <c r="K287" s="4">
        <v>146731.26</v>
      </c>
      <c r="L287" s="4">
        <v>0</v>
      </c>
      <c r="M287" s="4">
        <v>195874.05</v>
      </c>
      <c r="N287" s="4">
        <v>131129.15</v>
      </c>
      <c r="O287" s="4">
        <v>168792.99</v>
      </c>
      <c r="P287" s="4">
        <v>516910.94</v>
      </c>
      <c r="Q287" s="4">
        <v>136201.46</v>
      </c>
      <c r="R287" s="4">
        <v>0</v>
      </c>
      <c r="S287" s="4">
        <v>116220.48</v>
      </c>
      <c r="T287" s="4">
        <v>30422.02</v>
      </c>
      <c r="U287" s="4">
        <v>0</v>
      </c>
      <c r="V287" s="4">
        <v>1049886.49</v>
      </c>
      <c r="W287" s="4">
        <v>11868483.600000001</v>
      </c>
      <c r="X287" s="4">
        <v>350866</v>
      </c>
      <c r="Y287" s="4">
        <v>48647755.060000002</v>
      </c>
      <c r="Z287" s="4"/>
      <c r="AA287" s="4"/>
      <c r="AB287" s="4">
        <v>296481377.59000003</v>
      </c>
      <c r="AC287" s="4">
        <v>65983.75</v>
      </c>
      <c r="AD287" s="4">
        <v>1767458.23</v>
      </c>
      <c r="AE287" s="4">
        <v>0</v>
      </c>
      <c r="AF287" s="4">
        <v>90498.78</v>
      </c>
      <c r="AG287" s="4">
        <v>0</v>
      </c>
      <c r="AH287" s="4">
        <v>275830.07</v>
      </c>
      <c r="AI287" s="4">
        <v>271535.59999999998</v>
      </c>
      <c r="AJ287" s="4">
        <v>0</v>
      </c>
      <c r="AK287" s="4">
        <v>837080.52</v>
      </c>
      <c r="AL287" s="4">
        <v>0</v>
      </c>
      <c r="AM287" s="4">
        <v>22751.11</v>
      </c>
      <c r="AN287" s="4">
        <v>0</v>
      </c>
      <c r="AO287" s="4">
        <v>441942.97</v>
      </c>
      <c r="AP287" s="4">
        <v>0</v>
      </c>
      <c r="AQ287" s="4">
        <v>40798.339999999997</v>
      </c>
      <c r="AR287" s="4">
        <v>561994.07999999996</v>
      </c>
      <c r="AS287" s="4">
        <v>0</v>
      </c>
      <c r="AT287" s="4">
        <v>17851.240000000002</v>
      </c>
      <c r="AU287" s="4">
        <v>0</v>
      </c>
      <c r="AV287" s="4">
        <v>624973.39</v>
      </c>
      <c r="AW287" s="4">
        <v>3391157.84</v>
      </c>
      <c r="AX287" s="4">
        <v>2607128.06</v>
      </c>
      <c r="AY287" s="4">
        <v>1738070.58</v>
      </c>
      <c r="AZ287" s="4"/>
      <c r="BA287" s="4">
        <v>1893.08</v>
      </c>
      <c r="BB287" s="4">
        <f t="shared" si="45"/>
        <v>374007898.97999996</v>
      </c>
    </row>
    <row r="288" spans="1:54" x14ac:dyDescent="0.2">
      <c r="A288" s="3">
        <v>38690</v>
      </c>
      <c r="B288" s="4">
        <v>67.069999999999993</v>
      </c>
      <c r="C288" s="4">
        <v>752253.3</v>
      </c>
      <c r="D288" s="4">
        <v>311.33</v>
      </c>
      <c r="E288" s="4">
        <v>0</v>
      </c>
      <c r="F288" s="4">
        <v>262282.65000000002</v>
      </c>
      <c r="G288" s="4">
        <v>199106.19</v>
      </c>
      <c r="H288" s="4">
        <v>257.08999999999997</v>
      </c>
      <c r="I288" s="4">
        <v>579.54999999999995</v>
      </c>
      <c r="J288" s="4">
        <v>616594.9</v>
      </c>
      <c r="K288" s="4">
        <v>196337.84</v>
      </c>
      <c r="L288" s="4">
        <v>33.799999999999997</v>
      </c>
      <c r="M288" s="4">
        <v>268559.28999999998</v>
      </c>
      <c r="N288" s="4">
        <v>171868.17</v>
      </c>
      <c r="O288" s="4">
        <v>211017.52</v>
      </c>
      <c r="P288" s="4">
        <v>1018615.59</v>
      </c>
      <c r="Q288" s="4">
        <v>246690.96</v>
      </c>
      <c r="R288" s="4">
        <v>0</v>
      </c>
      <c r="S288" s="4">
        <v>257502.55</v>
      </c>
      <c r="T288" s="4">
        <v>185148.92</v>
      </c>
      <c r="U288" s="4">
        <v>0</v>
      </c>
      <c r="V288" s="4">
        <v>1901384.35</v>
      </c>
      <c r="W288" s="4">
        <v>25552028.109999999</v>
      </c>
      <c r="X288" s="4">
        <v>558916.4</v>
      </c>
      <c r="Y288" s="4">
        <v>72673742.299999997</v>
      </c>
      <c r="Z288" s="4"/>
      <c r="AA288" s="4"/>
      <c r="AB288" s="4">
        <v>469393737.88999999</v>
      </c>
      <c r="AC288" s="4">
        <v>153423.10999999999</v>
      </c>
      <c r="AD288" s="4">
        <v>2265849</v>
      </c>
      <c r="AE288" s="4">
        <v>0</v>
      </c>
      <c r="AF288" s="4">
        <v>149093.26999999999</v>
      </c>
      <c r="AG288" s="4">
        <v>409.14</v>
      </c>
      <c r="AH288" s="4">
        <v>399043.76</v>
      </c>
      <c r="AI288" s="4">
        <v>327821.23</v>
      </c>
      <c r="AJ288" s="4">
        <v>0</v>
      </c>
      <c r="AK288" s="4">
        <v>1315956.52</v>
      </c>
      <c r="AL288" s="4">
        <v>47.73</v>
      </c>
      <c r="AM288" s="4">
        <v>40155.65</v>
      </c>
      <c r="AN288" s="4">
        <v>0</v>
      </c>
      <c r="AO288" s="4">
        <v>559057.68000000005</v>
      </c>
      <c r="AP288" s="4">
        <v>0</v>
      </c>
      <c r="AQ288" s="4">
        <v>61564.18</v>
      </c>
      <c r="AR288" s="4">
        <v>819497.58</v>
      </c>
      <c r="AS288" s="4">
        <v>639.59</v>
      </c>
      <c r="AT288" s="4">
        <v>16411.099999999999</v>
      </c>
      <c r="AU288" s="4">
        <v>0</v>
      </c>
      <c r="AV288" s="4">
        <v>788111.67</v>
      </c>
      <c r="AW288" s="4">
        <v>3627650.95</v>
      </c>
      <c r="AX288" s="4">
        <v>3448055.35</v>
      </c>
      <c r="AY288" s="4">
        <v>2298650.92</v>
      </c>
      <c r="AZ288" s="4"/>
      <c r="BA288" s="4">
        <v>7967378.04</v>
      </c>
      <c r="BB288" s="4">
        <f t="shared" si="45"/>
        <v>598705852.23999989</v>
      </c>
    </row>
    <row r="289" spans="1:54" ht="15.75" thickBot="1" x14ac:dyDescent="0.25">
      <c r="A289" s="1" t="s">
        <v>147</v>
      </c>
      <c r="B289" s="5">
        <f t="shared" ref="B289:AI289" si="46">SUM(B277:B288)</f>
        <v>358.77</v>
      </c>
      <c r="C289" s="5">
        <f t="shared" si="46"/>
        <v>7195188.8399999999</v>
      </c>
      <c r="D289" s="5">
        <f t="shared" si="46"/>
        <v>3261.0299999999997</v>
      </c>
      <c r="E289" s="5">
        <f t="shared" si="46"/>
        <v>0</v>
      </c>
      <c r="F289" s="5">
        <f t="shared" si="46"/>
        <v>3122384.3300000005</v>
      </c>
      <c r="G289" s="5">
        <f t="shared" si="46"/>
        <v>2076221.88</v>
      </c>
      <c r="H289" s="5">
        <f t="shared" si="46"/>
        <v>1108.22</v>
      </c>
      <c r="I289" s="5">
        <f t="shared" si="46"/>
        <v>2059.0500000000002</v>
      </c>
      <c r="J289" s="5">
        <f t="shared" si="46"/>
        <v>6099042.2599999998</v>
      </c>
      <c r="K289" s="5">
        <f t="shared" si="46"/>
        <v>2167794.29</v>
      </c>
      <c r="L289" s="5">
        <f t="shared" si="46"/>
        <v>33.799999999999997</v>
      </c>
      <c r="M289" s="5">
        <f t="shared" si="46"/>
        <v>2616557.19</v>
      </c>
      <c r="N289" s="5">
        <f t="shared" si="46"/>
        <v>1800729.6999999997</v>
      </c>
      <c r="O289" s="5">
        <f t="shared" si="46"/>
        <v>2279483.4499999997</v>
      </c>
      <c r="P289" s="5">
        <f t="shared" si="46"/>
        <v>7808548.0000000009</v>
      </c>
      <c r="Q289" s="5">
        <f t="shared" si="46"/>
        <v>2023209.39</v>
      </c>
      <c r="R289" s="5">
        <f t="shared" si="46"/>
        <v>0</v>
      </c>
      <c r="S289" s="5">
        <f t="shared" si="46"/>
        <v>2097216.85</v>
      </c>
      <c r="T289" s="5">
        <f t="shared" si="46"/>
        <v>984168.22000000009</v>
      </c>
      <c r="U289" s="5">
        <f t="shared" si="46"/>
        <v>436.2</v>
      </c>
      <c r="V289" s="5">
        <f t="shared" si="46"/>
        <v>15678930.039999999</v>
      </c>
      <c r="W289" s="5">
        <f t="shared" si="46"/>
        <v>184798388.37</v>
      </c>
      <c r="X289" s="5">
        <f t="shared" si="46"/>
        <v>5435281.4400000004</v>
      </c>
      <c r="Y289" s="5">
        <f t="shared" si="46"/>
        <v>567492824.83999991</v>
      </c>
      <c r="Z289" s="5"/>
      <c r="AA289" s="5"/>
      <c r="AB289" s="5">
        <f t="shared" si="46"/>
        <v>4285992340.2400002</v>
      </c>
      <c r="AC289" s="5">
        <f t="shared" si="46"/>
        <v>1066244.5</v>
      </c>
      <c r="AD289" s="5">
        <f t="shared" si="46"/>
        <v>23257615.980000004</v>
      </c>
      <c r="AE289" s="5">
        <f t="shared" si="46"/>
        <v>0</v>
      </c>
      <c r="AF289" s="5">
        <f t="shared" si="46"/>
        <v>1254637.6599999999</v>
      </c>
      <c r="AG289" s="5">
        <f t="shared" si="46"/>
        <v>2642.0299999999997</v>
      </c>
      <c r="AH289" s="5">
        <f t="shared" si="46"/>
        <v>3653637.5700000003</v>
      </c>
      <c r="AI289" s="5">
        <f t="shared" si="46"/>
        <v>3570975.8499999996</v>
      </c>
      <c r="AJ289" s="5">
        <f t="shared" ref="AJ289:BB289" si="47">SUM(AJ277:AJ288)</f>
        <v>0</v>
      </c>
      <c r="AK289" s="5">
        <f t="shared" si="47"/>
        <v>11504204.16</v>
      </c>
      <c r="AL289" s="5">
        <f t="shared" si="47"/>
        <v>2274.15</v>
      </c>
      <c r="AM289" s="5">
        <f t="shared" si="47"/>
        <v>341841.82</v>
      </c>
      <c r="AN289" s="5">
        <f t="shared" si="47"/>
        <v>0</v>
      </c>
      <c r="AO289" s="5">
        <f t="shared" si="47"/>
        <v>5958282.8999999994</v>
      </c>
      <c r="AP289" s="5">
        <f t="shared" si="47"/>
        <v>0</v>
      </c>
      <c r="AQ289" s="5">
        <f t="shared" si="47"/>
        <v>555437.28</v>
      </c>
      <c r="AR289" s="5">
        <f t="shared" si="47"/>
        <v>7671649.3100000005</v>
      </c>
      <c r="AS289" s="5">
        <f t="shared" si="47"/>
        <v>2793.04</v>
      </c>
      <c r="AT289" s="5">
        <f t="shared" si="47"/>
        <v>196978.21999999997</v>
      </c>
      <c r="AU289" s="5">
        <f t="shared" si="47"/>
        <v>0</v>
      </c>
      <c r="AV289" s="5">
        <f t="shared" si="47"/>
        <v>8399182.8900000006</v>
      </c>
      <c r="AW289" s="5">
        <f t="shared" si="47"/>
        <v>40775228.25</v>
      </c>
      <c r="AX289" s="5">
        <f t="shared" si="47"/>
        <v>34003409.630000003</v>
      </c>
      <c r="AY289" s="5">
        <f t="shared" si="47"/>
        <v>22668455.330000006</v>
      </c>
      <c r="AZ289" s="5"/>
      <c r="BA289" s="5">
        <f t="shared" si="47"/>
        <v>20299798.949999999</v>
      </c>
      <c r="BB289" s="5">
        <f t="shared" si="47"/>
        <v>5284860855.9200001</v>
      </c>
    </row>
    <row r="290" spans="1:54" ht="15.75" thickTop="1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</row>
    <row r="291" spans="1:54" x14ac:dyDescent="0.2">
      <c r="A291" s="3">
        <v>37990</v>
      </c>
      <c r="B291" s="4">
        <v>0</v>
      </c>
      <c r="C291" s="4">
        <v>528242.78</v>
      </c>
      <c r="D291" s="4">
        <v>0</v>
      </c>
      <c r="E291" s="4">
        <v>0</v>
      </c>
      <c r="F291" s="4">
        <v>244228.6</v>
      </c>
      <c r="G291" s="4">
        <v>177158.3</v>
      </c>
      <c r="H291" s="4">
        <v>0</v>
      </c>
      <c r="I291" s="4">
        <v>0</v>
      </c>
      <c r="J291" s="4">
        <v>479548.53</v>
      </c>
      <c r="K291" s="4">
        <v>161694.66</v>
      </c>
      <c r="L291" s="4">
        <v>0</v>
      </c>
      <c r="M291" s="4">
        <v>204591.6</v>
      </c>
      <c r="N291" s="4">
        <v>114267.42</v>
      </c>
      <c r="O291" s="4">
        <v>185527.38</v>
      </c>
      <c r="P291" s="4">
        <v>545213.35</v>
      </c>
      <c r="Q291" s="4">
        <v>156207.75</v>
      </c>
      <c r="R291" s="4">
        <v>0</v>
      </c>
      <c r="S291" s="4">
        <v>142500.51</v>
      </c>
      <c r="T291" s="4">
        <v>19200.62</v>
      </c>
      <c r="U291" s="4">
        <v>0</v>
      </c>
      <c r="V291" s="4">
        <v>945377.56</v>
      </c>
      <c r="W291" s="4">
        <v>11476411.709999999</v>
      </c>
      <c r="X291" s="4">
        <v>347879.99</v>
      </c>
      <c r="Y291" s="4">
        <v>32611822.59</v>
      </c>
      <c r="Z291" s="4"/>
      <c r="AA291" s="4"/>
      <c r="AB291" s="4">
        <v>326085624.72000003</v>
      </c>
      <c r="AC291" s="4">
        <v>76719.820000000007</v>
      </c>
      <c r="AD291" s="4">
        <v>1665062.35</v>
      </c>
      <c r="AE291" s="4">
        <v>0</v>
      </c>
      <c r="AF291" s="4">
        <v>97888.53</v>
      </c>
      <c r="AG291" s="4">
        <v>0</v>
      </c>
      <c r="AH291" s="4">
        <v>296564.21000000002</v>
      </c>
      <c r="AI291" s="4">
        <v>215973.92</v>
      </c>
      <c r="AJ291" s="4">
        <v>0</v>
      </c>
      <c r="AK291" s="4">
        <v>648144.14</v>
      </c>
      <c r="AL291" s="4">
        <v>0</v>
      </c>
      <c r="AM291" s="4">
        <v>39348.410000000003</v>
      </c>
      <c r="AN291" s="4">
        <v>0</v>
      </c>
      <c r="AO291" s="4">
        <v>402130.81</v>
      </c>
      <c r="AP291" s="4">
        <v>0</v>
      </c>
      <c r="AQ291" s="4">
        <v>36579.839999999997</v>
      </c>
      <c r="AR291" s="4">
        <v>434020.75</v>
      </c>
      <c r="AS291" s="4">
        <v>0</v>
      </c>
      <c r="AT291" s="4">
        <v>14000</v>
      </c>
      <c r="AU291" s="4">
        <v>0</v>
      </c>
      <c r="AV291" s="4">
        <v>616872.17000000004</v>
      </c>
      <c r="AW291" s="4">
        <v>3218960.64</v>
      </c>
      <c r="AX291" s="4">
        <v>2876540.81</v>
      </c>
      <c r="AY291" s="4">
        <v>1918059.13</v>
      </c>
      <c r="AZ291" s="4"/>
      <c r="BA291" s="4"/>
      <c r="BB291" s="4">
        <f>SUM(B291:AY291)</f>
        <v>386982363.60000002</v>
      </c>
    </row>
    <row r="292" spans="1:54" x14ac:dyDescent="0.2">
      <c r="A292" s="3">
        <v>38021</v>
      </c>
      <c r="B292" s="4">
        <v>0</v>
      </c>
      <c r="C292" s="4">
        <v>440667.85</v>
      </c>
      <c r="D292" s="4">
        <v>0</v>
      </c>
      <c r="E292" s="4">
        <v>0</v>
      </c>
      <c r="F292" s="4">
        <v>184328.45</v>
      </c>
      <c r="G292" s="4">
        <v>148695.79999999999</v>
      </c>
      <c r="H292" s="4">
        <v>0</v>
      </c>
      <c r="I292" s="4">
        <v>0</v>
      </c>
      <c r="J292" s="4">
        <v>385820.45</v>
      </c>
      <c r="K292" s="4">
        <v>133888.76</v>
      </c>
      <c r="L292" s="4">
        <v>0</v>
      </c>
      <c r="M292" s="4">
        <v>157123.19</v>
      </c>
      <c r="N292" s="4">
        <v>96284.17</v>
      </c>
      <c r="O292" s="4">
        <v>148055.44</v>
      </c>
      <c r="P292" s="4">
        <v>415812.15</v>
      </c>
      <c r="Q292" s="4">
        <v>124368.45</v>
      </c>
      <c r="R292" s="4">
        <v>0</v>
      </c>
      <c r="S292" s="4">
        <v>119105.61</v>
      </c>
      <c r="T292" s="4">
        <v>14259.83</v>
      </c>
      <c r="U292" s="4">
        <v>0</v>
      </c>
      <c r="V292" s="4">
        <v>783676.99</v>
      </c>
      <c r="W292" s="4">
        <v>9299999.3900000006</v>
      </c>
      <c r="X292" s="4">
        <v>287476.23</v>
      </c>
      <c r="Y292" s="4">
        <v>26767271.579999998</v>
      </c>
      <c r="Z292" s="4"/>
      <c r="AA292" s="4"/>
      <c r="AB292" s="4">
        <v>266956143.01000002</v>
      </c>
      <c r="AC292" s="4">
        <v>72870.960000000006</v>
      </c>
      <c r="AD292" s="4">
        <v>1352545.83</v>
      </c>
      <c r="AE292" s="4">
        <v>0</v>
      </c>
      <c r="AF292" s="4">
        <v>85319.64</v>
      </c>
      <c r="AG292" s="4">
        <v>0</v>
      </c>
      <c r="AH292" s="4">
        <v>260626.98</v>
      </c>
      <c r="AI292" s="4">
        <v>177769.52</v>
      </c>
      <c r="AJ292" s="4">
        <v>0</v>
      </c>
      <c r="AK292" s="4">
        <v>536173.68000000005</v>
      </c>
      <c r="AL292" s="4">
        <v>0</v>
      </c>
      <c r="AM292" s="4">
        <v>32510.36</v>
      </c>
      <c r="AN292" s="4">
        <v>0</v>
      </c>
      <c r="AO292" s="4">
        <v>327889.18</v>
      </c>
      <c r="AP292" s="4">
        <v>0</v>
      </c>
      <c r="AQ292" s="4">
        <v>30364.7</v>
      </c>
      <c r="AR292" s="4">
        <v>352422.82</v>
      </c>
      <c r="AS292" s="4">
        <v>0</v>
      </c>
      <c r="AT292" s="4">
        <v>11178.26</v>
      </c>
      <c r="AU292" s="4">
        <v>0</v>
      </c>
      <c r="AV292" s="4">
        <v>506688.01</v>
      </c>
      <c r="AW292" s="4">
        <v>2615551.63</v>
      </c>
      <c r="AX292" s="4">
        <v>2344998.4</v>
      </c>
      <c r="AY292" s="4">
        <v>1563601.13</v>
      </c>
      <c r="AZ292" s="4"/>
      <c r="BA292" s="4"/>
      <c r="BB292" s="4">
        <f t="shared" ref="BB292:BB302" si="48">SUM(B292:AY292)</f>
        <v>316733488.44999993</v>
      </c>
    </row>
    <row r="293" spans="1:54" x14ac:dyDescent="0.2">
      <c r="A293" s="3">
        <v>38050</v>
      </c>
      <c r="B293" s="4">
        <v>58.07</v>
      </c>
      <c r="C293" s="4">
        <v>663911.36</v>
      </c>
      <c r="D293" s="4">
        <v>976.12</v>
      </c>
      <c r="E293" s="4">
        <v>0</v>
      </c>
      <c r="F293" s="4">
        <v>274537.95</v>
      </c>
      <c r="G293" s="4">
        <v>90233.01</v>
      </c>
      <c r="H293" s="4">
        <v>339.72</v>
      </c>
      <c r="I293" s="4">
        <v>358.01</v>
      </c>
      <c r="J293" s="4">
        <v>607557.93999999994</v>
      </c>
      <c r="K293" s="4">
        <v>199546.88</v>
      </c>
      <c r="L293" s="4">
        <v>325.14</v>
      </c>
      <c r="M293" s="4">
        <v>232147.99</v>
      </c>
      <c r="N293" s="4">
        <v>144411.42000000001</v>
      </c>
      <c r="O293" s="4">
        <v>158559.51999999999</v>
      </c>
      <c r="P293" s="4">
        <v>570858.92000000004</v>
      </c>
      <c r="Q293" s="4">
        <v>185117.38</v>
      </c>
      <c r="R293" s="4">
        <v>0</v>
      </c>
      <c r="S293" s="4">
        <v>223590.54</v>
      </c>
      <c r="T293" s="4">
        <v>135677.76000000001</v>
      </c>
      <c r="U293" s="4">
        <v>393.92</v>
      </c>
      <c r="V293" s="4">
        <v>1146136.8899999999</v>
      </c>
      <c r="W293" s="4">
        <v>22727374.740000002</v>
      </c>
      <c r="X293" s="4">
        <v>593669.31000000006</v>
      </c>
      <c r="Y293" s="4">
        <v>41820606.390000001</v>
      </c>
      <c r="Z293" s="4"/>
      <c r="AA293" s="4"/>
      <c r="AB293" s="4">
        <v>378118638.75</v>
      </c>
      <c r="AC293" s="4">
        <v>139277.76000000001</v>
      </c>
      <c r="AD293" s="4">
        <v>1990479.26</v>
      </c>
      <c r="AE293" s="4">
        <v>0</v>
      </c>
      <c r="AF293" s="4">
        <v>68713.490000000005</v>
      </c>
      <c r="AG293" s="4">
        <v>865.15</v>
      </c>
      <c r="AH293" s="4">
        <v>325280.76</v>
      </c>
      <c r="AI293" s="4">
        <v>261509.69</v>
      </c>
      <c r="AJ293" s="4">
        <v>0</v>
      </c>
      <c r="AK293" s="4">
        <v>733223.23</v>
      </c>
      <c r="AL293" s="4">
        <v>29.03</v>
      </c>
      <c r="AM293" s="4">
        <v>30266.22</v>
      </c>
      <c r="AN293" s="4">
        <v>0</v>
      </c>
      <c r="AO293" s="4">
        <v>517707.16</v>
      </c>
      <c r="AP293" s="4">
        <v>0</v>
      </c>
      <c r="AQ293" s="4">
        <v>57768.959999999999</v>
      </c>
      <c r="AR293" s="4">
        <v>585850.93000000005</v>
      </c>
      <c r="AS293" s="4">
        <v>1265.95</v>
      </c>
      <c r="AT293" s="4">
        <v>26781.63</v>
      </c>
      <c r="AU293" s="4">
        <v>0</v>
      </c>
      <c r="AV293" s="4">
        <v>785688.34</v>
      </c>
      <c r="AW293" s="4">
        <v>3857104.44</v>
      </c>
      <c r="AX293" s="4">
        <v>2915480.32</v>
      </c>
      <c r="AY293" s="4">
        <v>1942481.48</v>
      </c>
      <c r="AZ293" s="4"/>
      <c r="BA293" s="4"/>
      <c r="BB293" s="4">
        <f t="shared" si="48"/>
        <v>462134801.52999997</v>
      </c>
    </row>
    <row r="294" spans="1:54" x14ac:dyDescent="0.2">
      <c r="A294" s="3">
        <v>38081</v>
      </c>
      <c r="B294" s="4">
        <v>0</v>
      </c>
      <c r="C294" s="4">
        <v>542826.16</v>
      </c>
      <c r="D294" s="4">
        <v>0</v>
      </c>
      <c r="E294" s="4">
        <v>0</v>
      </c>
      <c r="F294" s="4">
        <v>223029.44</v>
      </c>
      <c r="G294" s="4">
        <v>143850.23999999999</v>
      </c>
      <c r="H294" s="4">
        <v>0</v>
      </c>
      <c r="I294" s="4">
        <v>0</v>
      </c>
      <c r="J294" s="4">
        <v>501087.63</v>
      </c>
      <c r="K294" s="4">
        <v>172405.47</v>
      </c>
      <c r="L294" s="4">
        <v>0</v>
      </c>
      <c r="M294" s="4">
        <v>196160.84</v>
      </c>
      <c r="N294" s="4">
        <v>123105.24</v>
      </c>
      <c r="O294" s="4">
        <v>193160.27</v>
      </c>
      <c r="P294" s="4">
        <v>479666.5</v>
      </c>
      <c r="Q294" s="4">
        <v>155210.92000000001</v>
      </c>
      <c r="R294" s="4">
        <v>0</v>
      </c>
      <c r="S294" s="4">
        <v>132994.01</v>
      </c>
      <c r="T294" s="4">
        <v>22316.16</v>
      </c>
      <c r="U294" s="4">
        <v>0</v>
      </c>
      <c r="V294" s="4">
        <v>936923.55</v>
      </c>
      <c r="W294" s="4">
        <v>11333837.199999999</v>
      </c>
      <c r="X294" s="4">
        <v>377897.53</v>
      </c>
      <c r="Y294" s="4">
        <v>31278022.149999999</v>
      </c>
      <c r="Z294" s="4"/>
      <c r="AA294" s="4"/>
      <c r="AB294" s="4">
        <v>298774359.85000002</v>
      </c>
      <c r="AC294" s="4">
        <v>67031.539999999994</v>
      </c>
      <c r="AD294" s="4">
        <v>1709675.23</v>
      </c>
      <c r="AE294" s="4">
        <v>0</v>
      </c>
      <c r="AF294" s="4">
        <v>90644.57</v>
      </c>
      <c r="AG294" s="4">
        <v>0</v>
      </c>
      <c r="AH294" s="4">
        <v>269954.15999999997</v>
      </c>
      <c r="AI294" s="4">
        <v>208201.88</v>
      </c>
      <c r="AJ294" s="4">
        <v>0</v>
      </c>
      <c r="AK294" s="4">
        <v>680341.62</v>
      </c>
      <c r="AL294" s="4">
        <v>0</v>
      </c>
      <c r="AM294" s="4">
        <v>27086.9</v>
      </c>
      <c r="AN294" s="4">
        <v>0</v>
      </c>
      <c r="AO294" s="4">
        <v>414711.55</v>
      </c>
      <c r="AP294" s="4">
        <v>0</v>
      </c>
      <c r="AQ294" s="4">
        <v>34860.65</v>
      </c>
      <c r="AR294" s="4">
        <v>473055.63</v>
      </c>
      <c r="AS294" s="4">
        <v>0</v>
      </c>
      <c r="AT294" s="4">
        <v>15308.6</v>
      </c>
      <c r="AU294" s="4">
        <v>0</v>
      </c>
      <c r="AV294" s="4">
        <v>632225.23</v>
      </c>
      <c r="AW294" s="4">
        <v>2892242.11</v>
      </c>
      <c r="AX294" s="4">
        <v>2513661.6</v>
      </c>
      <c r="AY294" s="4">
        <v>1675625.72</v>
      </c>
      <c r="AZ294" s="4"/>
      <c r="BA294" s="4"/>
      <c r="BB294" s="4">
        <f t="shared" si="48"/>
        <v>357291480.15000015</v>
      </c>
    </row>
    <row r="295" spans="1:54" x14ac:dyDescent="0.2">
      <c r="A295" s="3">
        <v>38111</v>
      </c>
      <c r="B295" s="4">
        <v>0</v>
      </c>
      <c r="C295" s="4">
        <v>548534.39</v>
      </c>
      <c r="D295" s="4">
        <v>0</v>
      </c>
      <c r="E295" s="4">
        <v>0</v>
      </c>
      <c r="F295" s="4">
        <v>231697.66</v>
      </c>
      <c r="G295" s="4">
        <v>170913.31</v>
      </c>
      <c r="H295" s="4">
        <v>0</v>
      </c>
      <c r="I295" s="4">
        <v>0</v>
      </c>
      <c r="J295" s="4">
        <v>505090.95</v>
      </c>
      <c r="K295" s="4">
        <v>169779.34</v>
      </c>
      <c r="L295" s="4">
        <v>0</v>
      </c>
      <c r="M295" s="4">
        <v>194816.12</v>
      </c>
      <c r="N295" s="4">
        <v>125120.97</v>
      </c>
      <c r="O295" s="4">
        <v>158079.10999999999</v>
      </c>
      <c r="P295" s="4">
        <v>480189.43</v>
      </c>
      <c r="Q295" s="4">
        <v>157869.6</v>
      </c>
      <c r="R295" s="4">
        <v>0</v>
      </c>
      <c r="S295" s="4">
        <v>137536.35999999999</v>
      </c>
      <c r="T295" s="4">
        <v>20158.509999999998</v>
      </c>
      <c r="U295" s="4">
        <v>0</v>
      </c>
      <c r="V295" s="4">
        <v>938236.84</v>
      </c>
      <c r="W295" s="4">
        <v>11152895.5</v>
      </c>
      <c r="X295" s="4">
        <v>398098.25</v>
      </c>
      <c r="Y295" s="4">
        <v>31300649.640000001</v>
      </c>
      <c r="Z295" s="4"/>
      <c r="AA295" s="4"/>
      <c r="AB295" s="4">
        <v>299883700.41999996</v>
      </c>
      <c r="AC295" s="4">
        <v>68561.94</v>
      </c>
      <c r="AD295" s="4">
        <v>1667129.86</v>
      </c>
      <c r="AE295" s="4">
        <v>0</v>
      </c>
      <c r="AF295" s="4">
        <v>88328.53</v>
      </c>
      <c r="AG295" s="4">
        <v>0</v>
      </c>
      <c r="AH295" s="4">
        <v>275658.51</v>
      </c>
      <c r="AI295" s="4">
        <v>207815.99</v>
      </c>
      <c r="AJ295" s="4">
        <v>0</v>
      </c>
      <c r="AK295" s="4">
        <v>681624.15</v>
      </c>
      <c r="AL295" s="4">
        <v>0</v>
      </c>
      <c r="AM295" s="4">
        <v>27828.41</v>
      </c>
      <c r="AN295" s="4">
        <v>0</v>
      </c>
      <c r="AO295" s="4">
        <v>412191.41</v>
      </c>
      <c r="AP295" s="4">
        <v>0</v>
      </c>
      <c r="AQ295" s="4">
        <v>34153.25</v>
      </c>
      <c r="AR295" s="4">
        <v>474613.93</v>
      </c>
      <c r="AS295" s="4">
        <v>0</v>
      </c>
      <c r="AT295" s="4">
        <v>15994.58</v>
      </c>
      <c r="AU295" s="4">
        <v>0</v>
      </c>
      <c r="AV295" s="4">
        <v>629538.91</v>
      </c>
      <c r="AW295" s="4">
        <v>2693350.49</v>
      </c>
      <c r="AX295" s="4">
        <v>2561674.4</v>
      </c>
      <c r="AY295" s="4">
        <v>1707644.63</v>
      </c>
      <c r="AZ295" s="4"/>
      <c r="BA295" s="4"/>
      <c r="BB295" s="4">
        <f t="shared" si="48"/>
        <v>358119475.38999999</v>
      </c>
    </row>
    <row r="296" spans="1:54" x14ac:dyDescent="0.2">
      <c r="A296" s="3">
        <v>38142</v>
      </c>
      <c r="B296" s="4">
        <v>320.20999999999998</v>
      </c>
      <c r="C296" s="4">
        <v>655310.68999999994</v>
      </c>
      <c r="D296" s="4">
        <v>1471.51</v>
      </c>
      <c r="E296" s="4">
        <v>0</v>
      </c>
      <c r="F296" s="4">
        <v>314696.61</v>
      </c>
      <c r="G296" s="4">
        <v>76753.52</v>
      </c>
      <c r="H296" s="4">
        <v>834.73</v>
      </c>
      <c r="I296" s="4">
        <v>557.45000000000005</v>
      </c>
      <c r="J296" s="4">
        <v>537236.39</v>
      </c>
      <c r="K296" s="4">
        <v>180389.77</v>
      </c>
      <c r="L296" s="4">
        <v>0</v>
      </c>
      <c r="M296" s="4">
        <v>184099.94</v>
      </c>
      <c r="N296" s="4">
        <v>207308.02</v>
      </c>
      <c r="O296" s="4">
        <v>199054.13</v>
      </c>
      <c r="P296" s="4">
        <v>588429.28</v>
      </c>
      <c r="Q296" s="4">
        <v>174480.41</v>
      </c>
      <c r="R296" s="4">
        <v>0</v>
      </c>
      <c r="S296" s="4">
        <v>237536.02</v>
      </c>
      <c r="T296" s="4">
        <v>166791.45000000001</v>
      </c>
      <c r="U296" s="4">
        <v>268.91000000000003</v>
      </c>
      <c r="V296" s="4">
        <v>1340058.92</v>
      </c>
      <c r="W296" s="4">
        <v>22771603.609999999</v>
      </c>
      <c r="X296" s="4">
        <v>526954.75</v>
      </c>
      <c r="Y296" s="4">
        <v>45848571.980000004</v>
      </c>
      <c r="Z296" s="4"/>
      <c r="AA296" s="4"/>
      <c r="AB296" s="4">
        <v>419514344.5</v>
      </c>
      <c r="AC296" s="4">
        <v>138793.96</v>
      </c>
      <c r="AD296" s="4">
        <v>2478859.08</v>
      </c>
      <c r="AE296" s="4">
        <v>0</v>
      </c>
      <c r="AF296" s="4">
        <v>143950.49</v>
      </c>
      <c r="AG296" s="4">
        <v>2359.58</v>
      </c>
      <c r="AH296" s="4">
        <v>321089.15999999997</v>
      </c>
      <c r="AI296" s="4">
        <v>278747.96999999997</v>
      </c>
      <c r="AJ296" s="4">
        <v>0</v>
      </c>
      <c r="AK296" s="4">
        <v>697381.76</v>
      </c>
      <c r="AL296" s="4">
        <v>363.39</v>
      </c>
      <c r="AM296" s="4">
        <v>24607.8</v>
      </c>
      <c r="AN296" s="4">
        <v>0</v>
      </c>
      <c r="AO296" s="4">
        <v>573935.07999999996</v>
      </c>
      <c r="AP296" s="4">
        <v>0</v>
      </c>
      <c r="AQ296" s="4">
        <v>64647.24</v>
      </c>
      <c r="AR296" s="4">
        <v>792696.52</v>
      </c>
      <c r="AS296" s="4">
        <v>1148.81</v>
      </c>
      <c r="AT296" s="4">
        <v>24739.4</v>
      </c>
      <c r="AU296" s="4">
        <v>0</v>
      </c>
      <c r="AV296" s="4">
        <v>856188.77</v>
      </c>
      <c r="AW296" s="4">
        <v>3655346.49</v>
      </c>
      <c r="AX296" s="4">
        <v>2848935.5</v>
      </c>
      <c r="AY296" s="4">
        <v>1899236.84</v>
      </c>
      <c r="AZ296" s="4"/>
      <c r="BA296" s="4"/>
      <c r="BB296" s="4">
        <f t="shared" si="48"/>
        <v>508330100.63999993</v>
      </c>
    </row>
    <row r="297" spans="1:54" x14ac:dyDescent="0.2">
      <c r="A297" s="3">
        <v>38172</v>
      </c>
      <c r="B297" s="4">
        <v>0</v>
      </c>
      <c r="C297" s="4">
        <v>546507.12</v>
      </c>
      <c r="D297" s="4">
        <v>0</v>
      </c>
      <c r="E297" s="4">
        <v>0</v>
      </c>
      <c r="F297" s="4">
        <v>261888</v>
      </c>
      <c r="G297" s="4">
        <v>145699.07999999999</v>
      </c>
      <c r="H297" s="4">
        <v>0</v>
      </c>
      <c r="I297" s="4">
        <v>0</v>
      </c>
      <c r="J297" s="4">
        <v>462794.06</v>
      </c>
      <c r="K297" s="4">
        <v>166833.38</v>
      </c>
      <c r="L297" s="4">
        <v>0</v>
      </c>
      <c r="M297" s="4">
        <v>175140.08</v>
      </c>
      <c r="N297" s="4">
        <v>141549.65</v>
      </c>
      <c r="O297" s="4">
        <v>159372.14000000001</v>
      </c>
      <c r="P297" s="4">
        <v>500556.44</v>
      </c>
      <c r="Q297" s="4">
        <v>166481.63</v>
      </c>
      <c r="R297" s="4">
        <v>0</v>
      </c>
      <c r="S297" s="4">
        <v>116805.01</v>
      </c>
      <c r="T297" s="4">
        <v>33341.550000000003</v>
      </c>
      <c r="U297" s="4">
        <v>0</v>
      </c>
      <c r="V297" s="4">
        <v>1009827.38</v>
      </c>
      <c r="W297" s="4">
        <v>10922663.069999998</v>
      </c>
      <c r="X297" s="4">
        <v>450659.83</v>
      </c>
      <c r="Y297" s="4">
        <v>33201011.189999998</v>
      </c>
      <c r="Z297" s="4"/>
      <c r="AA297" s="4"/>
      <c r="AB297" s="4">
        <v>301738567.75</v>
      </c>
      <c r="AC297" s="4">
        <v>59476.68</v>
      </c>
      <c r="AD297" s="4">
        <v>1878594.22</v>
      </c>
      <c r="AE297" s="4">
        <v>0</v>
      </c>
      <c r="AF297" s="4">
        <v>90375.91</v>
      </c>
      <c r="AG297" s="4">
        <v>0</v>
      </c>
      <c r="AH297" s="4">
        <v>265303.01</v>
      </c>
      <c r="AI297" s="4">
        <v>279557.69</v>
      </c>
      <c r="AJ297" s="4">
        <v>0</v>
      </c>
      <c r="AK297" s="4">
        <v>683206.72</v>
      </c>
      <c r="AL297" s="4">
        <v>0</v>
      </c>
      <c r="AM297" s="4">
        <v>22588.34</v>
      </c>
      <c r="AN297" s="4">
        <v>0</v>
      </c>
      <c r="AO297" s="4">
        <v>437257.57</v>
      </c>
      <c r="AP297" s="4">
        <v>0</v>
      </c>
      <c r="AQ297" s="4">
        <v>32716.3</v>
      </c>
      <c r="AR297" s="4">
        <v>707260.17</v>
      </c>
      <c r="AS297" s="4">
        <v>0</v>
      </c>
      <c r="AT297" s="4">
        <v>17073.75</v>
      </c>
      <c r="AU297" s="4">
        <v>0</v>
      </c>
      <c r="AV297" s="4">
        <v>674228.51</v>
      </c>
      <c r="AW297" s="4">
        <v>2882369.28</v>
      </c>
      <c r="AX297" s="4">
        <v>2691653.39</v>
      </c>
      <c r="AY297" s="4">
        <v>1794413.52</v>
      </c>
      <c r="AZ297" s="4"/>
      <c r="BA297" s="4"/>
      <c r="BB297" s="4">
        <f t="shared" si="48"/>
        <v>362715772.42000002</v>
      </c>
    </row>
    <row r="298" spans="1:54" x14ac:dyDescent="0.2">
      <c r="A298" s="3">
        <v>38203</v>
      </c>
      <c r="B298" s="4">
        <v>0</v>
      </c>
      <c r="C298" s="4">
        <v>527729.56999999995</v>
      </c>
      <c r="D298" s="4">
        <v>0</v>
      </c>
      <c r="E298" s="4">
        <v>0</v>
      </c>
      <c r="F298" s="4">
        <v>263836.77</v>
      </c>
      <c r="G298" s="4">
        <v>148681.04999999999</v>
      </c>
      <c r="H298" s="4">
        <v>0</v>
      </c>
      <c r="I298" s="4">
        <v>0</v>
      </c>
      <c r="J298" s="4">
        <v>433743.47</v>
      </c>
      <c r="K298" s="4">
        <v>159202.71</v>
      </c>
      <c r="L298" s="4">
        <v>0</v>
      </c>
      <c r="M298" s="4">
        <v>168800.61</v>
      </c>
      <c r="N298" s="4">
        <v>136981.51</v>
      </c>
      <c r="O298" s="4">
        <v>155172.71</v>
      </c>
      <c r="P298" s="4">
        <v>467368.52</v>
      </c>
      <c r="Q298" s="4">
        <v>167251.76</v>
      </c>
      <c r="R298" s="4">
        <v>0</v>
      </c>
      <c r="S298" s="4">
        <v>116489.73</v>
      </c>
      <c r="T298" s="4">
        <v>32869.15</v>
      </c>
      <c r="U298" s="4">
        <v>0</v>
      </c>
      <c r="V298" s="4">
        <v>937921.38</v>
      </c>
      <c r="W298" s="4">
        <v>10389015.43</v>
      </c>
      <c r="X298" s="4">
        <v>440637.6</v>
      </c>
      <c r="Y298" s="4">
        <v>31488076.93</v>
      </c>
      <c r="Z298" s="4"/>
      <c r="AA298" s="4"/>
      <c r="AB298" s="4">
        <v>286605640.00999999</v>
      </c>
      <c r="AC298" s="4">
        <v>59496.76</v>
      </c>
      <c r="AD298" s="4">
        <v>1843150.89</v>
      </c>
      <c r="AE298" s="4">
        <v>0</v>
      </c>
      <c r="AF298" s="4">
        <v>78434.990000000005</v>
      </c>
      <c r="AG298" s="4">
        <v>0</v>
      </c>
      <c r="AH298" s="4">
        <v>272599.07</v>
      </c>
      <c r="AI298" s="4">
        <v>268041.90999999997</v>
      </c>
      <c r="AJ298" s="4">
        <v>0</v>
      </c>
      <c r="AK298" s="4">
        <v>644404.39</v>
      </c>
      <c r="AL298" s="4">
        <v>0</v>
      </c>
      <c r="AM298" s="4">
        <v>22080.69</v>
      </c>
      <c r="AN298" s="4">
        <v>0</v>
      </c>
      <c r="AO298" s="4">
        <v>431618.94</v>
      </c>
      <c r="AP298" s="4">
        <v>0</v>
      </c>
      <c r="AQ298" s="4">
        <v>33770.67</v>
      </c>
      <c r="AR298" s="4">
        <v>657722.11</v>
      </c>
      <c r="AS298" s="4">
        <v>0</v>
      </c>
      <c r="AT298" s="4">
        <v>16049.74</v>
      </c>
      <c r="AU298" s="4">
        <v>0</v>
      </c>
      <c r="AV298" s="4">
        <v>623616.86</v>
      </c>
      <c r="AW298" s="4">
        <v>2754281.6</v>
      </c>
      <c r="AX298" s="4">
        <v>2567995.41</v>
      </c>
      <c r="AY298" s="4">
        <v>1711975.4</v>
      </c>
      <c r="AZ298" s="4"/>
      <c r="BA298" s="4"/>
      <c r="BB298" s="4">
        <f t="shared" si="48"/>
        <v>344624658.34000003</v>
      </c>
    </row>
    <row r="299" spans="1:54" x14ac:dyDescent="0.2">
      <c r="A299" s="3">
        <v>38234</v>
      </c>
      <c r="B299" s="4">
        <v>6.23</v>
      </c>
      <c r="C299" s="4">
        <v>732137.91</v>
      </c>
      <c r="D299" s="4">
        <v>2480.31</v>
      </c>
      <c r="E299" s="4">
        <v>0</v>
      </c>
      <c r="F299" s="4">
        <v>375915.2</v>
      </c>
      <c r="G299" s="4">
        <v>316290.34999999998</v>
      </c>
      <c r="H299" s="4">
        <v>212.87</v>
      </c>
      <c r="I299" s="4">
        <v>533.01</v>
      </c>
      <c r="J299" s="4">
        <v>654921.46</v>
      </c>
      <c r="K299" s="4">
        <v>193889.03</v>
      </c>
      <c r="L299" s="4">
        <v>0</v>
      </c>
      <c r="M299" s="4">
        <v>353611.48</v>
      </c>
      <c r="N299" s="4">
        <v>229395.22</v>
      </c>
      <c r="O299" s="4">
        <v>179130.01</v>
      </c>
      <c r="P299" s="4">
        <v>834390.79</v>
      </c>
      <c r="Q299" s="4">
        <v>133467.53</v>
      </c>
      <c r="R299" s="4">
        <v>0</v>
      </c>
      <c r="S299" s="4">
        <v>223732.06</v>
      </c>
      <c r="T299" s="4">
        <v>191494.26</v>
      </c>
      <c r="U299" s="4">
        <v>0</v>
      </c>
      <c r="V299" s="4">
        <v>1675318.97</v>
      </c>
      <c r="W299" s="4">
        <v>18838834.43</v>
      </c>
      <c r="X299" s="4">
        <v>547271.56000000006</v>
      </c>
      <c r="Y299" s="4">
        <v>44286360.260000005</v>
      </c>
      <c r="Z299" s="4"/>
      <c r="AA299" s="4"/>
      <c r="AB299" s="4">
        <v>428085130.51999998</v>
      </c>
      <c r="AC299" s="4">
        <v>43462.720000000001</v>
      </c>
      <c r="AD299" s="4">
        <v>2243024.12</v>
      </c>
      <c r="AE299" s="4">
        <v>0</v>
      </c>
      <c r="AF299" s="4">
        <v>194550.2</v>
      </c>
      <c r="AG299" s="4">
        <v>976.1</v>
      </c>
      <c r="AH299" s="4">
        <v>324963.12</v>
      </c>
      <c r="AI299" s="4">
        <v>330376.62</v>
      </c>
      <c r="AJ299" s="4">
        <v>0</v>
      </c>
      <c r="AK299" s="4">
        <v>800732.3</v>
      </c>
      <c r="AL299" s="4">
        <v>0</v>
      </c>
      <c r="AM299" s="4">
        <v>14899.45</v>
      </c>
      <c r="AN299" s="4">
        <v>0</v>
      </c>
      <c r="AO299" s="4">
        <v>725552.96</v>
      </c>
      <c r="AP299" s="4">
        <v>0</v>
      </c>
      <c r="AQ299" s="4">
        <v>62267.02</v>
      </c>
      <c r="AR299" s="4">
        <v>1196660.75</v>
      </c>
      <c r="AS299" s="4">
        <v>478.83</v>
      </c>
      <c r="AT299" s="4">
        <v>22956.81</v>
      </c>
      <c r="AU299" s="4">
        <v>1053.44</v>
      </c>
      <c r="AV299" s="4">
        <v>872098.15</v>
      </c>
      <c r="AW299" s="4">
        <v>4481043.9800000004</v>
      </c>
      <c r="AX299" s="4">
        <v>2731564.12</v>
      </c>
      <c r="AY299" s="4">
        <v>1820987.33</v>
      </c>
      <c r="AZ299" s="4"/>
      <c r="BA299" s="4"/>
      <c r="BB299" s="4">
        <f t="shared" si="48"/>
        <v>513722171.47999996</v>
      </c>
    </row>
    <row r="300" spans="1:54" x14ac:dyDescent="0.2">
      <c r="A300" s="3">
        <v>38264</v>
      </c>
      <c r="B300" s="4">
        <v>0</v>
      </c>
      <c r="C300" s="4">
        <v>511532.93</v>
      </c>
      <c r="D300" s="4">
        <v>0</v>
      </c>
      <c r="E300" s="4">
        <v>0</v>
      </c>
      <c r="F300" s="4">
        <v>233575.76</v>
      </c>
      <c r="G300" s="4">
        <v>162924.20000000001</v>
      </c>
      <c r="H300" s="4">
        <v>0</v>
      </c>
      <c r="I300" s="4">
        <v>0</v>
      </c>
      <c r="J300" s="4">
        <v>459752.64</v>
      </c>
      <c r="K300" s="4">
        <v>144045.14000000001</v>
      </c>
      <c r="L300" s="4">
        <v>0</v>
      </c>
      <c r="M300" s="4">
        <v>176434.29</v>
      </c>
      <c r="N300" s="4">
        <v>116786.72</v>
      </c>
      <c r="O300" s="4">
        <v>155937.26999999999</v>
      </c>
      <c r="P300" s="4">
        <v>503197.84</v>
      </c>
      <c r="Q300" s="4">
        <v>144032.32999999999</v>
      </c>
      <c r="R300" s="4">
        <v>0</v>
      </c>
      <c r="S300" s="4">
        <v>112023.8</v>
      </c>
      <c r="T300" s="4">
        <v>28156.68</v>
      </c>
      <c r="U300" s="4">
        <v>0</v>
      </c>
      <c r="V300" s="4">
        <v>938322.67</v>
      </c>
      <c r="W300" s="4">
        <v>10697246.359999999</v>
      </c>
      <c r="X300" s="4">
        <v>337808.63</v>
      </c>
      <c r="Y300" s="4">
        <v>31686684.890000001</v>
      </c>
      <c r="Z300" s="4"/>
      <c r="AA300" s="4"/>
      <c r="AB300" s="4">
        <v>297265006.07999998</v>
      </c>
      <c r="AC300" s="4">
        <v>56775.19</v>
      </c>
      <c r="AD300" s="4">
        <v>1712081.12</v>
      </c>
      <c r="AE300" s="4">
        <v>0</v>
      </c>
      <c r="AF300" s="4">
        <v>81403.03</v>
      </c>
      <c r="AG300" s="4">
        <v>0</v>
      </c>
      <c r="AH300" s="4">
        <v>271389.57</v>
      </c>
      <c r="AI300" s="4">
        <v>259979.65</v>
      </c>
      <c r="AJ300" s="4">
        <v>0</v>
      </c>
      <c r="AK300" s="4">
        <v>782377.08</v>
      </c>
      <c r="AL300" s="4">
        <v>0</v>
      </c>
      <c r="AM300" s="4">
        <v>20985.33</v>
      </c>
      <c r="AN300" s="4">
        <v>0</v>
      </c>
      <c r="AO300" s="4">
        <v>417778.13</v>
      </c>
      <c r="AP300" s="4">
        <v>0</v>
      </c>
      <c r="AQ300" s="4">
        <v>33600.82</v>
      </c>
      <c r="AR300" s="4">
        <v>485742.37</v>
      </c>
      <c r="AS300" s="4">
        <v>0</v>
      </c>
      <c r="AT300" s="4">
        <v>14089.79</v>
      </c>
      <c r="AU300" s="4">
        <v>0</v>
      </c>
      <c r="AV300" s="4">
        <v>599769.04</v>
      </c>
      <c r="AW300" s="4">
        <v>3163103.29</v>
      </c>
      <c r="AX300" s="4">
        <v>2521676.23</v>
      </c>
      <c r="AY300" s="4">
        <v>1681217.12</v>
      </c>
      <c r="AZ300" s="4"/>
      <c r="BA300" s="4"/>
      <c r="BB300" s="4">
        <f t="shared" si="48"/>
        <v>355775435.98999995</v>
      </c>
    </row>
    <row r="301" spans="1:54" x14ac:dyDescent="0.2">
      <c r="A301" s="3">
        <v>38295</v>
      </c>
      <c r="B301" s="4">
        <v>0</v>
      </c>
      <c r="C301" s="4">
        <v>497691.85</v>
      </c>
      <c r="D301" s="4">
        <v>0</v>
      </c>
      <c r="E301" s="4">
        <v>0</v>
      </c>
      <c r="F301" s="4">
        <v>230893.51</v>
      </c>
      <c r="G301" s="4">
        <v>133600.18</v>
      </c>
      <c r="H301" s="4">
        <v>0</v>
      </c>
      <c r="I301" s="4">
        <v>0</v>
      </c>
      <c r="J301" s="4">
        <v>451992.24</v>
      </c>
      <c r="K301" s="4">
        <v>144386.04</v>
      </c>
      <c r="L301" s="4">
        <v>0</v>
      </c>
      <c r="M301" s="4">
        <v>172211.51</v>
      </c>
      <c r="N301" s="4">
        <v>116177.63</v>
      </c>
      <c r="O301" s="4">
        <v>156022.98000000001</v>
      </c>
      <c r="P301" s="4">
        <v>470967.99</v>
      </c>
      <c r="Q301" s="4">
        <v>133984.87</v>
      </c>
      <c r="R301" s="4">
        <v>0</v>
      </c>
      <c r="S301" s="4">
        <v>107735.82</v>
      </c>
      <c r="T301" s="4">
        <v>19699.830000000002</v>
      </c>
      <c r="U301" s="4">
        <v>0</v>
      </c>
      <c r="V301" s="4">
        <v>952549.72</v>
      </c>
      <c r="W301" s="4">
        <v>10745309.27</v>
      </c>
      <c r="X301" s="4">
        <v>355217.95</v>
      </c>
      <c r="Y301" s="4">
        <v>31783111.07</v>
      </c>
      <c r="Z301" s="4"/>
      <c r="AA301" s="4"/>
      <c r="AB301" s="4">
        <v>298190751.73000002</v>
      </c>
      <c r="AC301" s="4">
        <v>57315.88</v>
      </c>
      <c r="AD301" s="4">
        <v>1711714.44</v>
      </c>
      <c r="AE301" s="4">
        <v>0</v>
      </c>
      <c r="AF301" s="4">
        <v>82798.509999999995</v>
      </c>
      <c r="AG301" s="4">
        <v>0</v>
      </c>
      <c r="AH301" s="4">
        <v>268284.90999999997</v>
      </c>
      <c r="AI301" s="4">
        <v>263984.68</v>
      </c>
      <c r="AJ301" s="4">
        <v>0</v>
      </c>
      <c r="AK301" s="4">
        <v>801400.26</v>
      </c>
      <c r="AL301" s="4">
        <v>0</v>
      </c>
      <c r="AM301" s="4">
        <v>21258.62</v>
      </c>
      <c r="AN301" s="4">
        <v>0</v>
      </c>
      <c r="AO301" s="4">
        <v>408396.89</v>
      </c>
      <c r="AP301" s="4">
        <v>0</v>
      </c>
      <c r="AQ301" s="4">
        <v>35942.68</v>
      </c>
      <c r="AR301" s="4">
        <v>491801.73</v>
      </c>
      <c r="AS301" s="4">
        <v>0</v>
      </c>
      <c r="AT301" s="4">
        <v>14671.4</v>
      </c>
      <c r="AU301" s="4">
        <v>0</v>
      </c>
      <c r="AV301" s="4">
        <v>602529.37</v>
      </c>
      <c r="AW301" s="4">
        <v>3147165.26</v>
      </c>
      <c r="AX301" s="4">
        <v>2515707.5</v>
      </c>
      <c r="AY301" s="4">
        <v>1677117.29</v>
      </c>
      <c r="AZ301" s="4"/>
      <c r="BA301" s="4"/>
      <c r="BB301" s="4">
        <f t="shared" si="48"/>
        <v>356762393.61000001</v>
      </c>
    </row>
    <row r="302" spans="1:54" x14ac:dyDescent="0.2">
      <c r="A302" s="3">
        <v>38325</v>
      </c>
      <c r="B302" s="4">
        <v>0</v>
      </c>
      <c r="C302" s="4">
        <v>791343.18</v>
      </c>
      <c r="D302" s="4">
        <v>981.22</v>
      </c>
      <c r="E302" s="4">
        <v>0</v>
      </c>
      <c r="F302" s="4">
        <v>381578.23</v>
      </c>
      <c r="G302" s="4">
        <v>289328.7</v>
      </c>
      <c r="H302" s="4">
        <v>267.93</v>
      </c>
      <c r="I302" s="4">
        <v>766.16</v>
      </c>
      <c r="J302" s="4">
        <v>747475.74</v>
      </c>
      <c r="K302" s="4">
        <v>238237.76</v>
      </c>
      <c r="L302" s="4">
        <v>0</v>
      </c>
      <c r="M302" s="4">
        <v>268908.28000000003</v>
      </c>
      <c r="N302" s="4">
        <v>250462.01</v>
      </c>
      <c r="O302" s="4">
        <v>272677.7</v>
      </c>
      <c r="P302" s="4">
        <v>982768.48</v>
      </c>
      <c r="Q302" s="4">
        <v>207061.43</v>
      </c>
      <c r="R302" s="4">
        <v>0</v>
      </c>
      <c r="S302" s="4">
        <v>223535</v>
      </c>
      <c r="T302" s="4">
        <v>203735.4</v>
      </c>
      <c r="U302" s="4">
        <v>0</v>
      </c>
      <c r="V302" s="4">
        <v>1799035.71</v>
      </c>
      <c r="W302" s="4">
        <v>24320984.960000001</v>
      </c>
      <c r="X302" s="4">
        <v>487265.84</v>
      </c>
      <c r="Y302" s="4">
        <v>45242839.370000005</v>
      </c>
      <c r="Z302" s="4"/>
      <c r="AA302" s="4"/>
      <c r="AB302" s="4">
        <v>433824194.95999992</v>
      </c>
      <c r="AC302" s="4">
        <v>128611.24</v>
      </c>
      <c r="AD302" s="4">
        <v>2197181.9700000002</v>
      </c>
      <c r="AE302" s="4">
        <v>0</v>
      </c>
      <c r="AF302" s="4">
        <v>142606.44</v>
      </c>
      <c r="AG302" s="4">
        <v>317.73</v>
      </c>
      <c r="AH302" s="4">
        <v>397827.92</v>
      </c>
      <c r="AI302" s="4">
        <v>368388.73</v>
      </c>
      <c r="AJ302" s="4">
        <v>0</v>
      </c>
      <c r="AK302" s="4">
        <v>1203282.48</v>
      </c>
      <c r="AL302" s="4">
        <v>0</v>
      </c>
      <c r="AM302" s="4">
        <v>33739.15</v>
      </c>
      <c r="AN302" s="4">
        <v>0</v>
      </c>
      <c r="AO302" s="4">
        <v>724162.56000000006</v>
      </c>
      <c r="AP302" s="4">
        <v>0</v>
      </c>
      <c r="AQ302" s="4">
        <v>55795.55</v>
      </c>
      <c r="AR302" s="4">
        <v>900328.88</v>
      </c>
      <c r="AS302" s="4">
        <v>475.19</v>
      </c>
      <c r="AT302" s="4">
        <v>24838.67</v>
      </c>
      <c r="AU302" s="4">
        <v>0</v>
      </c>
      <c r="AV302" s="4">
        <v>988694.98</v>
      </c>
      <c r="AW302" s="4">
        <v>4450217.49</v>
      </c>
      <c r="AX302" s="4">
        <v>3267682</v>
      </c>
      <c r="AY302" s="4">
        <v>2178400.39</v>
      </c>
      <c r="AZ302" s="4"/>
      <c r="BA302" s="4"/>
      <c r="BB302" s="4">
        <f t="shared" si="48"/>
        <v>527595999.43000007</v>
      </c>
    </row>
    <row r="303" spans="1:54" ht="15.75" thickBot="1" x14ac:dyDescent="0.25">
      <c r="A303" s="1" t="s">
        <v>145</v>
      </c>
      <c r="B303" s="5">
        <f>SUM(B291:B302)</f>
        <v>384.51</v>
      </c>
      <c r="C303" s="5">
        <f t="shared" ref="C303:BB303" si="49">SUM(C291:C302)</f>
        <v>6986435.7899999991</v>
      </c>
      <c r="D303" s="5">
        <f t="shared" si="49"/>
        <v>5909.1600000000008</v>
      </c>
      <c r="E303" s="5">
        <f t="shared" si="49"/>
        <v>0</v>
      </c>
      <c r="F303" s="5">
        <f t="shared" si="49"/>
        <v>3220206.18</v>
      </c>
      <c r="G303" s="5">
        <f t="shared" si="49"/>
        <v>2004127.7399999995</v>
      </c>
      <c r="H303" s="5">
        <f t="shared" si="49"/>
        <v>1655.2500000000002</v>
      </c>
      <c r="I303" s="5">
        <f t="shared" si="49"/>
        <v>2214.63</v>
      </c>
      <c r="J303" s="5">
        <f t="shared" si="49"/>
        <v>6227021.5</v>
      </c>
      <c r="K303" s="5">
        <f t="shared" si="49"/>
        <v>2064298.9400000002</v>
      </c>
      <c r="L303" s="5">
        <f t="shared" si="49"/>
        <v>325.14</v>
      </c>
      <c r="M303" s="5">
        <f t="shared" si="49"/>
        <v>2484045.9300000006</v>
      </c>
      <c r="N303" s="5">
        <f t="shared" si="49"/>
        <v>1801849.9799999997</v>
      </c>
      <c r="O303" s="5">
        <f t="shared" si="49"/>
        <v>2120748.66</v>
      </c>
      <c r="P303" s="5">
        <f t="shared" si="49"/>
        <v>6839419.6899999995</v>
      </c>
      <c r="Q303" s="5">
        <f t="shared" si="49"/>
        <v>1905534.0600000003</v>
      </c>
      <c r="R303" s="5">
        <f t="shared" si="49"/>
        <v>0</v>
      </c>
      <c r="S303" s="5">
        <f t="shared" si="49"/>
        <v>1893584.4700000002</v>
      </c>
      <c r="T303" s="5">
        <f t="shared" si="49"/>
        <v>887701.20000000007</v>
      </c>
      <c r="U303" s="5">
        <f t="shared" si="49"/>
        <v>662.83</v>
      </c>
      <c r="V303" s="5">
        <f t="shared" si="49"/>
        <v>13403386.580000002</v>
      </c>
      <c r="W303" s="5">
        <f t="shared" si="49"/>
        <v>174676175.67000002</v>
      </c>
      <c r="X303" s="5">
        <f t="shared" si="49"/>
        <v>5150837.4700000007</v>
      </c>
      <c r="Y303" s="5">
        <f t="shared" si="49"/>
        <v>427315028.04000002</v>
      </c>
      <c r="Z303" s="5"/>
      <c r="AA303" s="5"/>
      <c r="AB303" s="5">
        <f t="shared" si="49"/>
        <v>4035042102.3000002</v>
      </c>
      <c r="AC303" s="5">
        <f t="shared" si="49"/>
        <v>968394.45000000007</v>
      </c>
      <c r="AD303" s="5">
        <f t="shared" si="49"/>
        <v>22449498.370000001</v>
      </c>
      <c r="AE303" s="5">
        <f t="shared" si="49"/>
        <v>0</v>
      </c>
      <c r="AF303" s="5">
        <f t="shared" si="49"/>
        <v>1245014.33</v>
      </c>
      <c r="AG303" s="5">
        <f t="shared" si="49"/>
        <v>4518.5599999999995</v>
      </c>
      <c r="AH303" s="5">
        <f t="shared" si="49"/>
        <v>3549541.38</v>
      </c>
      <c r="AI303" s="5">
        <f t="shared" si="49"/>
        <v>3120348.25</v>
      </c>
      <c r="AJ303" s="5">
        <f t="shared" si="49"/>
        <v>0</v>
      </c>
      <c r="AK303" s="5">
        <f t="shared" si="49"/>
        <v>8892291.8099999987</v>
      </c>
      <c r="AL303" s="5">
        <f t="shared" si="49"/>
        <v>392.41999999999996</v>
      </c>
      <c r="AM303" s="5">
        <f t="shared" si="49"/>
        <v>317199.68000000005</v>
      </c>
      <c r="AN303" s="5">
        <f t="shared" si="49"/>
        <v>0</v>
      </c>
      <c r="AO303" s="5">
        <f t="shared" si="49"/>
        <v>5793332.2400000002</v>
      </c>
      <c r="AP303" s="5">
        <f t="shared" si="49"/>
        <v>0</v>
      </c>
      <c r="AQ303" s="5">
        <f t="shared" si="49"/>
        <v>512467.68</v>
      </c>
      <c r="AR303" s="5">
        <f t="shared" si="49"/>
        <v>7552176.5900000008</v>
      </c>
      <c r="AS303" s="5">
        <f t="shared" si="49"/>
        <v>3368.78</v>
      </c>
      <c r="AT303" s="5">
        <f t="shared" si="49"/>
        <v>217682.63</v>
      </c>
      <c r="AU303" s="5">
        <f t="shared" si="49"/>
        <v>1053.44</v>
      </c>
      <c r="AV303" s="5">
        <f t="shared" si="49"/>
        <v>8388138.3400000017</v>
      </c>
      <c r="AW303" s="5">
        <f t="shared" si="49"/>
        <v>39810736.700000003</v>
      </c>
      <c r="AX303" s="5">
        <f t="shared" si="49"/>
        <v>32357569.68</v>
      </c>
      <c r="AY303" s="5">
        <f t="shared" si="49"/>
        <v>21570759.98</v>
      </c>
      <c r="AZ303" s="5"/>
      <c r="BA303" s="5"/>
      <c r="BB303" s="5">
        <f t="shared" si="49"/>
        <v>4850788141.0299997</v>
      </c>
    </row>
    <row r="304" spans="1:54" ht="15.75" thickTop="1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</row>
    <row r="305" spans="1:54" x14ac:dyDescent="0.2">
      <c r="A305" s="3">
        <v>37622</v>
      </c>
      <c r="B305" s="4">
        <v>0</v>
      </c>
      <c r="C305" s="4">
        <v>521422.09</v>
      </c>
      <c r="D305" s="4">
        <v>0</v>
      </c>
      <c r="E305" s="4">
        <v>0</v>
      </c>
      <c r="F305" s="4">
        <v>216006.49</v>
      </c>
      <c r="G305" s="4">
        <v>154082.04999999999</v>
      </c>
      <c r="H305" s="4">
        <v>0</v>
      </c>
      <c r="I305" s="4">
        <v>0</v>
      </c>
      <c r="J305" s="4">
        <v>340500.05</v>
      </c>
      <c r="K305" s="4">
        <v>149703.97</v>
      </c>
      <c r="L305" s="4">
        <v>0</v>
      </c>
      <c r="M305" s="4">
        <v>174540.91</v>
      </c>
      <c r="N305" s="4">
        <v>100398.82</v>
      </c>
      <c r="O305" s="4">
        <v>165800.09</v>
      </c>
      <c r="P305" s="4">
        <v>457915.8</v>
      </c>
      <c r="Q305" s="4">
        <v>144073.87</v>
      </c>
      <c r="R305" s="4">
        <v>0</v>
      </c>
      <c r="S305" s="4">
        <v>134810.06</v>
      </c>
      <c r="T305" s="4">
        <v>20564.21</v>
      </c>
      <c r="U305" s="4">
        <v>0</v>
      </c>
      <c r="V305" s="4">
        <v>871285.25</v>
      </c>
      <c r="W305" s="4">
        <v>10665411.609999999</v>
      </c>
      <c r="X305" s="4">
        <v>671829.8</v>
      </c>
      <c r="Y305" s="4">
        <v>30826095.370000001</v>
      </c>
      <c r="Z305" s="4"/>
      <c r="AA305" s="4"/>
      <c r="AB305" s="4">
        <v>292507846.06999999</v>
      </c>
      <c r="AC305" s="4">
        <v>73846.39</v>
      </c>
      <c r="AD305" s="4">
        <v>1744957.58</v>
      </c>
      <c r="AE305" s="4">
        <v>0</v>
      </c>
      <c r="AF305" s="4">
        <v>101448.83</v>
      </c>
      <c r="AG305" s="4">
        <v>0</v>
      </c>
      <c r="AH305" s="4">
        <v>316829.65000000002</v>
      </c>
      <c r="AI305" s="4">
        <v>218826.55</v>
      </c>
      <c r="AJ305" s="4">
        <v>0</v>
      </c>
      <c r="AK305" s="4">
        <v>625821.31999999995</v>
      </c>
      <c r="AL305" s="4">
        <v>0</v>
      </c>
      <c r="AM305" s="4">
        <v>37647.11</v>
      </c>
      <c r="AN305" s="4">
        <v>0</v>
      </c>
      <c r="AO305" s="4">
        <v>388729.11</v>
      </c>
      <c r="AP305" s="4">
        <v>0</v>
      </c>
      <c r="AQ305" s="4">
        <v>34485.589999999997</v>
      </c>
      <c r="AR305" s="4">
        <v>603489.4</v>
      </c>
      <c r="AS305" s="4">
        <v>0</v>
      </c>
      <c r="AT305" s="4">
        <v>13581.01</v>
      </c>
      <c r="AU305" s="4">
        <v>0</v>
      </c>
      <c r="AV305" s="4">
        <v>612377.62</v>
      </c>
      <c r="AW305" s="4">
        <v>3506297.23</v>
      </c>
      <c r="AX305" s="4">
        <v>2592195.12</v>
      </c>
      <c r="AY305" s="4">
        <v>1728118.24</v>
      </c>
      <c r="AZ305" s="4"/>
      <c r="BA305" s="4"/>
      <c r="BB305" s="4">
        <f t="shared" ref="BB305:BB316" si="50">SUM(B305:AY305)</f>
        <v>350720937.25999993</v>
      </c>
    </row>
    <row r="306" spans="1:54" x14ac:dyDescent="0.2">
      <c r="A306" s="3">
        <v>37653</v>
      </c>
      <c r="B306" s="4">
        <v>0</v>
      </c>
      <c r="C306" s="4">
        <v>425087.96</v>
      </c>
      <c r="D306" s="4">
        <v>0</v>
      </c>
      <c r="E306" s="4">
        <v>0</v>
      </c>
      <c r="F306" s="4">
        <v>191031.8</v>
      </c>
      <c r="G306" s="4">
        <v>128551.72</v>
      </c>
      <c r="H306" s="4">
        <v>0</v>
      </c>
      <c r="I306" s="4">
        <v>0</v>
      </c>
      <c r="J306" s="4">
        <v>276876.2</v>
      </c>
      <c r="K306" s="4">
        <v>120796.21</v>
      </c>
      <c r="L306" s="4">
        <v>0</v>
      </c>
      <c r="M306" s="4">
        <v>138719.63</v>
      </c>
      <c r="N306" s="4">
        <v>82799.14</v>
      </c>
      <c r="O306" s="4">
        <v>129046.94</v>
      </c>
      <c r="P306" s="4">
        <v>379450.49</v>
      </c>
      <c r="Q306" s="4">
        <v>114681.17</v>
      </c>
      <c r="R306" s="4">
        <v>0</v>
      </c>
      <c r="S306" s="4">
        <v>109882.54</v>
      </c>
      <c r="T306" s="4">
        <v>19057.47</v>
      </c>
      <c r="U306" s="4">
        <v>0</v>
      </c>
      <c r="V306" s="4">
        <v>695153.98</v>
      </c>
      <c r="W306" s="4">
        <v>8508166.4000000004</v>
      </c>
      <c r="X306" s="4">
        <v>270792.78999999998</v>
      </c>
      <c r="Y306" s="4">
        <v>24832042.100000001</v>
      </c>
      <c r="Z306" s="4"/>
      <c r="AA306" s="4"/>
      <c r="AB306" s="4">
        <v>232717394.88</v>
      </c>
      <c r="AC306" s="4">
        <v>60689.56</v>
      </c>
      <c r="AD306" s="4">
        <v>1397611.99</v>
      </c>
      <c r="AE306" s="4">
        <v>0</v>
      </c>
      <c r="AF306" s="4">
        <v>88187.8</v>
      </c>
      <c r="AG306" s="4">
        <v>0</v>
      </c>
      <c r="AH306" s="4">
        <v>256875.94</v>
      </c>
      <c r="AI306" s="4">
        <v>178712.08</v>
      </c>
      <c r="AJ306" s="4">
        <v>0</v>
      </c>
      <c r="AK306" s="4">
        <v>507235.55</v>
      </c>
      <c r="AL306" s="4">
        <v>0</v>
      </c>
      <c r="AM306" s="4">
        <v>30822.79</v>
      </c>
      <c r="AN306" s="4">
        <v>0</v>
      </c>
      <c r="AO306" s="4">
        <v>314750.73</v>
      </c>
      <c r="AP306" s="4">
        <v>0</v>
      </c>
      <c r="AQ306" s="4">
        <v>29784.12</v>
      </c>
      <c r="AR306" s="4">
        <v>480518.63</v>
      </c>
      <c r="AS306" s="4">
        <v>0</v>
      </c>
      <c r="AT306" s="4">
        <v>14280.07</v>
      </c>
      <c r="AU306" s="4">
        <v>0</v>
      </c>
      <c r="AV306" s="4">
        <v>499133.57</v>
      </c>
      <c r="AW306" s="4">
        <v>2808605.96</v>
      </c>
      <c r="AX306" s="4">
        <v>2090673.59</v>
      </c>
      <c r="AY306" s="4">
        <v>1393765.25</v>
      </c>
      <c r="AZ306" s="4"/>
      <c r="BA306" s="4"/>
      <c r="BB306" s="4">
        <f t="shared" si="50"/>
        <v>279291179.05000001</v>
      </c>
    </row>
    <row r="307" spans="1:54" x14ac:dyDescent="0.2">
      <c r="A307" s="3">
        <v>37681</v>
      </c>
      <c r="B307" s="4">
        <v>1006.75</v>
      </c>
      <c r="C307" s="4">
        <v>555784.36</v>
      </c>
      <c r="D307" s="4">
        <v>13199</v>
      </c>
      <c r="E307" s="4">
        <v>0</v>
      </c>
      <c r="F307" s="4">
        <v>269146.25</v>
      </c>
      <c r="G307" s="4">
        <v>192912.86</v>
      </c>
      <c r="H307" s="4">
        <v>308.31</v>
      </c>
      <c r="I307" s="4">
        <v>328.83</v>
      </c>
      <c r="J307" s="4">
        <v>538606.03</v>
      </c>
      <c r="K307" s="4">
        <v>219583.16</v>
      </c>
      <c r="L307" s="4">
        <v>5263.06</v>
      </c>
      <c r="M307" s="4">
        <v>267196.69</v>
      </c>
      <c r="N307" s="4">
        <v>187755.53</v>
      </c>
      <c r="O307" s="4">
        <v>182820.59</v>
      </c>
      <c r="P307" s="4">
        <v>603729.6</v>
      </c>
      <c r="Q307" s="4">
        <v>199372.95</v>
      </c>
      <c r="R307" s="4">
        <v>0</v>
      </c>
      <c r="S307" s="4">
        <v>215937.18</v>
      </c>
      <c r="T307" s="4">
        <v>108514.28</v>
      </c>
      <c r="U307" s="4">
        <v>0</v>
      </c>
      <c r="V307" s="4">
        <v>1163710.6399999999</v>
      </c>
      <c r="W307" s="4">
        <v>21976557.550000001</v>
      </c>
      <c r="X307" s="4">
        <v>508489.1</v>
      </c>
      <c r="Y307" s="4">
        <v>43626117</v>
      </c>
      <c r="Z307" s="4"/>
      <c r="AA307" s="4"/>
      <c r="AB307" s="4">
        <v>330366943.79000002</v>
      </c>
      <c r="AC307" s="4">
        <v>74595.34</v>
      </c>
      <c r="AD307" s="4">
        <v>1798794.05</v>
      </c>
      <c r="AE307" s="4">
        <v>0</v>
      </c>
      <c r="AF307" s="4">
        <v>132436.13</v>
      </c>
      <c r="AG307" s="4">
        <v>0</v>
      </c>
      <c r="AH307" s="4">
        <v>365480.52</v>
      </c>
      <c r="AI307" s="4">
        <v>262882.90000000002</v>
      </c>
      <c r="AJ307" s="4">
        <v>0</v>
      </c>
      <c r="AK307" s="4">
        <v>779061.54</v>
      </c>
      <c r="AL307" s="4">
        <v>1825.43</v>
      </c>
      <c r="AM307" s="4">
        <v>26176.83</v>
      </c>
      <c r="AN307" s="4">
        <v>0</v>
      </c>
      <c r="AO307" s="4">
        <v>536879.5</v>
      </c>
      <c r="AP307" s="4">
        <v>0</v>
      </c>
      <c r="AQ307" s="4">
        <v>49241.33</v>
      </c>
      <c r="AR307" s="4">
        <v>281339.28000000003</v>
      </c>
      <c r="AS307" s="4">
        <v>1140.79</v>
      </c>
      <c r="AT307" s="4">
        <v>57545.86</v>
      </c>
      <c r="AU307" s="4">
        <v>0</v>
      </c>
      <c r="AV307" s="4">
        <v>913003.82</v>
      </c>
      <c r="AW307" s="4">
        <v>2464374.75</v>
      </c>
      <c r="AX307" s="4">
        <v>3064730.78</v>
      </c>
      <c r="AY307" s="4">
        <v>2046073.4</v>
      </c>
      <c r="AZ307" s="4"/>
      <c r="BA307" s="4"/>
      <c r="BB307" s="4">
        <f t="shared" si="50"/>
        <v>414058865.75999987</v>
      </c>
    </row>
    <row r="308" spans="1:54" x14ac:dyDescent="0.2">
      <c r="A308" s="3">
        <v>37712</v>
      </c>
      <c r="B308" s="4">
        <v>0</v>
      </c>
      <c r="C308" s="4">
        <v>467784.84</v>
      </c>
      <c r="D308" s="4">
        <v>0</v>
      </c>
      <c r="E308" s="4">
        <v>0</v>
      </c>
      <c r="F308" s="4">
        <v>200636.53</v>
      </c>
      <c r="G308" s="4">
        <v>148499.54999999999</v>
      </c>
      <c r="H308" s="4">
        <v>0</v>
      </c>
      <c r="I308" s="4">
        <v>0</v>
      </c>
      <c r="J308" s="4">
        <v>326951.90000000002</v>
      </c>
      <c r="K308" s="4">
        <v>147940</v>
      </c>
      <c r="L308" s="4">
        <v>0</v>
      </c>
      <c r="M308" s="4">
        <v>180907.34</v>
      </c>
      <c r="N308" s="4">
        <v>106285.75999999999</v>
      </c>
      <c r="O308" s="4">
        <v>136414.93</v>
      </c>
      <c r="P308" s="4">
        <v>468297.27</v>
      </c>
      <c r="Q308" s="4">
        <v>133986.03</v>
      </c>
      <c r="R308" s="4">
        <v>0</v>
      </c>
      <c r="S308" s="4">
        <v>127310.69</v>
      </c>
      <c r="T308" s="4">
        <v>28123.07</v>
      </c>
      <c r="U308" s="4">
        <v>0</v>
      </c>
      <c r="V308" s="4">
        <v>786511.19</v>
      </c>
      <c r="W308" s="4">
        <v>10151400.58</v>
      </c>
      <c r="X308" s="4">
        <v>353738.95</v>
      </c>
      <c r="Y308" s="4">
        <v>27374054.050000001</v>
      </c>
      <c r="Z308" s="4"/>
      <c r="AA308" s="4"/>
      <c r="AB308" s="4">
        <v>253066249.30000001</v>
      </c>
      <c r="AC308" s="4">
        <v>62570.75</v>
      </c>
      <c r="AD308" s="4">
        <v>1639892.18</v>
      </c>
      <c r="AE308" s="4">
        <v>0</v>
      </c>
      <c r="AF308" s="4">
        <v>83323.77</v>
      </c>
      <c r="AG308" s="4">
        <v>0</v>
      </c>
      <c r="AH308" s="4">
        <v>254819.8</v>
      </c>
      <c r="AI308" s="4">
        <v>193790.59</v>
      </c>
      <c r="AJ308" s="4">
        <v>0</v>
      </c>
      <c r="AK308" s="4">
        <v>602566.71</v>
      </c>
      <c r="AL308" s="4">
        <v>0</v>
      </c>
      <c r="AM308" s="4">
        <v>26439.23</v>
      </c>
      <c r="AN308" s="4">
        <v>0</v>
      </c>
      <c r="AO308" s="4">
        <v>378929.1</v>
      </c>
      <c r="AP308" s="4">
        <v>0</v>
      </c>
      <c r="AQ308" s="4">
        <v>30453.16</v>
      </c>
      <c r="AR308" s="4">
        <v>562288.57999999996</v>
      </c>
      <c r="AS308" s="4">
        <v>0</v>
      </c>
      <c r="AT308" s="4">
        <v>13128.68</v>
      </c>
      <c r="AU308" s="4">
        <v>0</v>
      </c>
      <c r="AV308" s="4">
        <v>618930.13</v>
      </c>
      <c r="AW308" s="4">
        <v>2513972.17</v>
      </c>
      <c r="AX308" s="4">
        <v>2154206.4300000002</v>
      </c>
      <c r="AY308" s="4">
        <v>1438490.13</v>
      </c>
      <c r="AZ308" s="4"/>
      <c r="BA308" s="4"/>
      <c r="BB308" s="4">
        <f t="shared" si="50"/>
        <v>304778893.39000005</v>
      </c>
    </row>
    <row r="309" spans="1:54" x14ac:dyDescent="0.2">
      <c r="A309" s="3">
        <v>37742</v>
      </c>
      <c r="B309" s="4">
        <v>0</v>
      </c>
      <c r="C309" s="4">
        <v>476538.29</v>
      </c>
      <c r="D309" s="4">
        <v>0</v>
      </c>
      <c r="E309" s="4">
        <v>0</v>
      </c>
      <c r="F309" s="4">
        <v>216427.58</v>
      </c>
      <c r="G309" s="4">
        <v>153592.24</v>
      </c>
      <c r="H309" s="4">
        <v>0</v>
      </c>
      <c r="I309" s="4">
        <v>0</v>
      </c>
      <c r="J309" s="4">
        <v>344646.54</v>
      </c>
      <c r="K309" s="4">
        <v>146011.46</v>
      </c>
      <c r="L309" s="4">
        <v>0</v>
      </c>
      <c r="M309" s="4">
        <v>180082.99</v>
      </c>
      <c r="N309" s="4">
        <v>109102.46</v>
      </c>
      <c r="O309" s="4">
        <v>142256.01</v>
      </c>
      <c r="P309" s="4">
        <v>473974.39</v>
      </c>
      <c r="Q309" s="4">
        <v>139151.43</v>
      </c>
      <c r="R309" s="4">
        <v>0</v>
      </c>
      <c r="S309" s="4">
        <v>129721.1</v>
      </c>
      <c r="T309" s="4">
        <v>15866.52</v>
      </c>
      <c r="U309" s="4">
        <v>0</v>
      </c>
      <c r="V309" s="4">
        <v>813346.63</v>
      </c>
      <c r="W309" s="4">
        <v>10328836.02</v>
      </c>
      <c r="X309" s="4">
        <v>365877.1</v>
      </c>
      <c r="Y309" s="4">
        <v>27425689.760000002</v>
      </c>
      <c r="Z309" s="4"/>
      <c r="AA309" s="4"/>
      <c r="AB309" s="4">
        <v>257580371.53</v>
      </c>
      <c r="AC309" s="4">
        <v>66423.44</v>
      </c>
      <c r="AD309" s="4">
        <v>1674083.14</v>
      </c>
      <c r="AE309" s="4">
        <v>0</v>
      </c>
      <c r="AF309" s="4">
        <v>88426.39</v>
      </c>
      <c r="AG309" s="4">
        <v>0</v>
      </c>
      <c r="AH309" s="4">
        <v>277808.15000000002</v>
      </c>
      <c r="AI309" s="4">
        <v>197639.34</v>
      </c>
      <c r="AJ309" s="4">
        <v>0</v>
      </c>
      <c r="AK309" s="4">
        <v>608816.73</v>
      </c>
      <c r="AL309" s="4">
        <v>0</v>
      </c>
      <c r="AM309" s="4">
        <v>28071.65</v>
      </c>
      <c r="AN309" s="4">
        <v>0</v>
      </c>
      <c r="AO309" s="4">
        <v>485257.18</v>
      </c>
      <c r="AP309" s="4">
        <v>0</v>
      </c>
      <c r="AQ309" s="4">
        <v>34701.29</v>
      </c>
      <c r="AR309" s="4">
        <v>589017.56999999995</v>
      </c>
      <c r="AS309" s="4">
        <v>0</v>
      </c>
      <c r="AT309" s="4">
        <v>12914.02</v>
      </c>
      <c r="AU309" s="4">
        <v>0</v>
      </c>
      <c r="AV309" s="4">
        <v>630663.79</v>
      </c>
      <c r="AW309" s="4">
        <v>2621482.4500000002</v>
      </c>
      <c r="AX309" s="4">
        <v>2186262.92</v>
      </c>
      <c r="AY309" s="4">
        <v>1460123.14</v>
      </c>
      <c r="AZ309" s="4"/>
      <c r="BA309" s="4"/>
      <c r="BB309" s="4">
        <f t="shared" si="50"/>
        <v>310003183.24999994</v>
      </c>
    </row>
    <row r="310" spans="1:54" x14ac:dyDescent="0.2">
      <c r="A310" s="3">
        <v>37773</v>
      </c>
      <c r="B310" s="4">
        <v>4131.08</v>
      </c>
      <c r="C310" s="4">
        <v>809961.49</v>
      </c>
      <c r="D310" s="4">
        <v>11847.23</v>
      </c>
      <c r="E310" s="4">
        <v>0</v>
      </c>
      <c r="F310" s="4">
        <v>317363.39</v>
      </c>
      <c r="G310" s="4">
        <v>162333.07</v>
      </c>
      <c r="H310" s="4">
        <v>335.02</v>
      </c>
      <c r="I310" s="4">
        <v>1838.48</v>
      </c>
      <c r="J310" s="4">
        <v>618807.06999999995</v>
      </c>
      <c r="K310" s="4">
        <v>245753.75</v>
      </c>
      <c r="L310" s="4">
        <v>10.19</v>
      </c>
      <c r="M310" s="4">
        <v>210644.83</v>
      </c>
      <c r="N310" s="4">
        <v>163403.04</v>
      </c>
      <c r="O310" s="4">
        <v>241029.53</v>
      </c>
      <c r="P310" s="4">
        <v>611864.16</v>
      </c>
      <c r="Q310" s="4">
        <v>239407.69</v>
      </c>
      <c r="R310" s="4">
        <v>0</v>
      </c>
      <c r="S310" s="4">
        <v>226362.61</v>
      </c>
      <c r="T310" s="4">
        <v>154777.87</v>
      </c>
      <c r="U310" s="4">
        <v>0</v>
      </c>
      <c r="V310" s="4">
        <v>1335482.81</v>
      </c>
      <c r="W310" s="4">
        <v>21861399.09</v>
      </c>
      <c r="X310" s="4">
        <v>692983.42</v>
      </c>
      <c r="Y310" s="4">
        <v>41802792.289999999</v>
      </c>
      <c r="Z310" s="4"/>
      <c r="AA310" s="4"/>
      <c r="AB310" s="4">
        <v>340884795.82999998</v>
      </c>
      <c r="AC310" s="4">
        <v>110779.19</v>
      </c>
      <c r="AD310" s="4">
        <v>1436819.35</v>
      </c>
      <c r="AE310" s="4">
        <v>0</v>
      </c>
      <c r="AF310" s="4">
        <v>151508.4</v>
      </c>
      <c r="AG310" s="4">
        <v>1097.4000000000001</v>
      </c>
      <c r="AH310" s="4">
        <v>365391.14</v>
      </c>
      <c r="AI310" s="4">
        <v>304808.28000000003</v>
      </c>
      <c r="AJ310" s="4">
        <v>0</v>
      </c>
      <c r="AK310" s="4">
        <v>882615.35</v>
      </c>
      <c r="AL310" s="4">
        <v>660.93</v>
      </c>
      <c r="AM310" s="4">
        <v>21287.759999999998</v>
      </c>
      <c r="AN310" s="4">
        <v>0</v>
      </c>
      <c r="AO310" s="4">
        <v>591960.79</v>
      </c>
      <c r="AP310" s="4">
        <v>0</v>
      </c>
      <c r="AQ310" s="4">
        <v>63298.29</v>
      </c>
      <c r="AR310" s="4">
        <v>371409.49</v>
      </c>
      <c r="AS310" s="4">
        <v>9461.7099999999991</v>
      </c>
      <c r="AT310" s="4">
        <v>30668.16</v>
      </c>
      <c r="AU310" s="4">
        <v>61.6</v>
      </c>
      <c r="AV310" s="4">
        <v>811792.75</v>
      </c>
      <c r="AW310" s="4">
        <v>2999712.04</v>
      </c>
      <c r="AX310" s="4">
        <v>3522202.78</v>
      </c>
      <c r="AY310" s="4">
        <v>2345496.0299999998</v>
      </c>
      <c r="AZ310" s="4"/>
      <c r="BA310" s="4"/>
      <c r="BB310" s="4">
        <f t="shared" si="50"/>
        <v>424618355.38</v>
      </c>
    </row>
    <row r="311" spans="1:54" x14ac:dyDescent="0.2">
      <c r="A311" s="3">
        <v>37803</v>
      </c>
      <c r="B311" s="4">
        <v>0</v>
      </c>
      <c r="C311" s="4">
        <v>541344.43000000005</v>
      </c>
      <c r="D311" s="4">
        <v>0</v>
      </c>
      <c r="E311" s="4">
        <v>0</v>
      </c>
      <c r="F311" s="4">
        <v>264637.71000000002</v>
      </c>
      <c r="G311" s="4">
        <v>182456.07</v>
      </c>
      <c r="H311" s="4">
        <v>0</v>
      </c>
      <c r="I311" s="4">
        <v>0</v>
      </c>
      <c r="J311" s="4">
        <v>487355.97</v>
      </c>
      <c r="K311" s="4">
        <v>168274.81</v>
      </c>
      <c r="L311" s="4">
        <v>0</v>
      </c>
      <c r="M311" s="4">
        <v>194030.2</v>
      </c>
      <c r="N311" s="4">
        <v>123848.84</v>
      </c>
      <c r="O311" s="4">
        <v>161615.51999999999</v>
      </c>
      <c r="P311" s="4">
        <v>461766.07</v>
      </c>
      <c r="Q311" s="4">
        <v>158324.65</v>
      </c>
      <c r="R311" s="4">
        <v>0</v>
      </c>
      <c r="S311" s="4">
        <v>121419.8</v>
      </c>
      <c r="T311" s="4">
        <v>29576.1</v>
      </c>
      <c r="U311" s="4">
        <v>0</v>
      </c>
      <c r="V311" s="4">
        <v>856844.19</v>
      </c>
      <c r="W311" s="4">
        <v>10364218.470000001</v>
      </c>
      <c r="X311" s="4">
        <v>482562.35</v>
      </c>
      <c r="Y311" s="4">
        <v>29834089.259999998</v>
      </c>
      <c r="Z311" s="4"/>
      <c r="AA311" s="4"/>
      <c r="AB311" s="4">
        <v>273271099.12</v>
      </c>
      <c r="AC311" s="4">
        <v>58852.84</v>
      </c>
      <c r="AD311" s="4">
        <v>1846141.06</v>
      </c>
      <c r="AE311" s="4">
        <v>0</v>
      </c>
      <c r="AF311" s="4">
        <v>82836.800000000003</v>
      </c>
      <c r="AG311" s="4">
        <v>0</v>
      </c>
      <c r="AH311" s="4">
        <v>306926.03000000003</v>
      </c>
      <c r="AI311" s="4">
        <v>228058.25</v>
      </c>
      <c r="AJ311" s="4">
        <v>0</v>
      </c>
      <c r="AK311" s="4">
        <v>701465.58</v>
      </c>
      <c r="AL311" s="4">
        <v>0</v>
      </c>
      <c r="AM311" s="4">
        <v>23449.95</v>
      </c>
      <c r="AN311" s="4">
        <v>0</v>
      </c>
      <c r="AO311" s="4">
        <v>412249.14</v>
      </c>
      <c r="AP311" s="4">
        <v>0</v>
      </c>
      <c r="AQ311" s="4">
        <v>33203.99</v>
      </c>
      <c r="AR311" s="4">
        <v>616122.04</v>
      </c>
      <c r="AS311" s="4">
        <v>0</v>
      </c>
      <c r="AT311" s="4">
        <v>15696.36</v>
      </c>
      <c r="AU311" s="4">
        <v>0</v>
      </c>
      <c r="AV311" s="4">
        <v>676486.55</v>
      </c>
      <c r="AW311" s="4">
        <v>2861691.62</v>
      </c>
      <c r="AX311" s="4">
        <v>2434041.9900000002</v>
      </c>
      <c r="AY311" s="4">
        <v>1622573.67</v>
      </c>
      <c r="AZ311" s="4"/>
      <c r="BA311" s="4"/>
      <c r="BB311" s="4">
        <f t="shared" si="50"/>
        <v>329623259.43000001</v>
      </c>
    </row>
    <row r="312" spans="1:54" x14ac:dyDescent="0.2">
      <c r="A312" s="3">
        <v>37834</v>
      </c>
      <c r="B312" s="4">
        <v>0</v>
      </c>
      <c r="C312" s="4">
        <v>523082.75</v>
      </c>
      <c r="D312" s="4">
        <v>0</v>
      </c>
      <c r="E312" s="4">
        <v>0</v>
      </c>
      <c r="F312" s="4">
        <v>248766.56</v>
      </c>
      <c r="G312" s="4">
        <v>164306.99</v>
      </c>
      <c r="H312" s="4">
        <v>0</v>
      </c>
      <c r="I312" s="4">
        <v>0</v>
      </c>
      <c r="J312" s="4">
        <v>465996.19</v>
      </c>
      <c r="K312" s="4">
        <v>196874.5</v>
      </c>
      <c r="L312" s="4">
        <v>0</v>
      </c>
      <c r="M312" s="4">
        <v>180566.55</v>
      </c>
      <c r="N312" s="4">
        <v>112628.17</v>
      </c>
      <c r="O312" s="4">
        <v>169590.88</v>
      </c>
      <c r="P312" s="4">
        <v>505670.16</v>
      </c>
      <c r="Q312" s="4">
        <v>149154.15</v>
      </c>
      <c r="R312" s="4">
        <v>0</v>
      </c>
      <c r="S312" s="4">
        <v>112216.36</v>
      </c>
      <c r="T312" s="4">
        <v>28040.79</v>
      </c>
      <c r="U312" s="4">
        <v>0</v>
      </c>
      <c r="V312" s="4">
        <v>831959.94</v>
      </c>
      <c r="W312" s="4">
        <v>9895947.3599999994</v>
      </c>
      <c r="X312" s="4">
        <v>451913.33</v>
      </c>
      <c r="Y312" s="4">
        <v>29874280.369999997</v>
      </c>
      <c r="Z312" s="4"/>
      <c r="AA312" s="4"/>
      <c r="AB312" s="4">
        <v>279982457.92000002</v>
      </c>
      <c r="AC312" s="4">
        <v>56157.17</v>
      </c>
      <c r="AD312" s="4">
        <v>1744275.53</v>
      </c>
      <c r="AE312" s="4">
        <v>0</v>
      </c>
      <c r="AF312" s="4">
        <v>84280.7</v>
      </c>
      <c r="AG312" s="4">
        <v>0</v>
      </c>
      <c r="AH312" s="4">
        <v>294961.13</v>
      </c>
      <c r="AI312" s="4">
        <v>219848.45</v>
      </c>
      <c r="AJ312" s="4">
        <v>0</v>
      </c>
      <c r="AK312" s="4">
        <v>690745.17</v>
      </c>
      <c r="AL312" s="4">
        <v>0</v>
      </c>
      <c r="AM312" s="4">
        <v>22372.720000000001</v>
      </c>
      <c r="AN312" s="4">
        <v>0</v>
      </c>
      <c r="AO312" s="4">
        <v>398020.41</v>
      </c>
      <c r="AP312" s="4">
        <v>0</v>
      </c>
      <c r="AQ312" s="4">
        <v>33065.56</v>
      </c>
      <c r="AR312" s="4">
        <v>594578.91</v>
      </c>
      <c r="AS312" s="4">
        <v>0</v>
      </c>
      <c r="AT312" s="4">
        <v>14603.48</v>
      </c>
      <c r="AU312" s="4">
        <v>0</v>
      </c>
      <c r="AV312" s="4">
        <v>634234.34</v>
      </c>
      <c r="AW312" s="4">
        <v>2715225.53</v>
      </c>
      <c r="AX312" s="4">
        <v>2359505.56</v>
      </c>
      <c r="AY312" s="4">
        <v>1572953.02</v>
      </c>
      <c r="AZ312" s="4"/>
      <c r="BA312" s="4"/>
      <c r="BB312" s="4">
        <f t="shared" si="50"/>
        <v>335328280.65000004</v>
      </c>
    </row>
    <row r="313" spans="1:54" x14ac:dyDescent="0.2">
      <c r="A313" s="3">
        <v>37865</v>
      </c>
      <c r="B313" s="4">
        <v>167.79</v>
      </c>
      <c r="C313" s="4">
        <v>714822.99</v>
      </c>
      <c r="D313" s="4">
        <v>10507.15</v>
      </c>
      <c r="E313" s="4">
        <v>0</v>
      </c>
      <c r="F313" s="4">
        <v>350835.79</v>
      </c>
      <c r="G313" s="4">
        <v>215307.31</v>
      </c>
      <c r="H313" s="4">
        <v>135.85</v>
      </c>
      <c r="I313" s="4">
        <v>337.52</v>
      </c>
      <c r="J313" s="4">
        <v>547918.65</v>
      </c>
      <c r="K313" s="4">
        <v>225879.99</v>
      </c>
      <c r="L313" s="4">
        <v>0</v>
      </c>
      <c r="M313" s="4">
        <v>332924.17</v>
      </c>
      <c r="N313" s="4">
        <v>267021.93</v>
      </c>
      <c r="O313" s="4">
        <v>246946.39</v>
      </c>
      <c r="P313" s="4">
        <v>749523.09</v>
      </c>
      <c r="Q313" s="4">
        <v>243687.03</v>
      </c>
      <c r="R313" s="4">
        <v>0</v>
      </c>
      <c r="S313" s="4">
        <v>239115.16</v>
      </c>
      <c r="T313" s="4">
        <v>180566.63</v>
      </c>
      <c r="U313" s="4">
        <v>0</v>
      </c>
      <c r="V313" s="4">
        <v>1388798.99</v>
      </c>
      <c r="W313" s="4">
        <v>20392993.310000002</v>
      </c>
      <c r="X313" s="4">
        <v>545924.81000000006</v>
      </c>
      <c r="Y313" s="4">
        <v>43179110.829999998</v>
      </c>
      <c r="Z313" s="4"/>
      <c r="AA313" s="4"/>
      <c r="AB313" s="4">
        <v>351765653.47999996</v>
      </c>
      <c r="AC313" s="4">
        <v>50378.68</v>
      </c>
      <c r="AD313" s="4">
        <v>2106466.27</v>
      </c>
      <c r="AE313" s="4">
        <v>0</v>
      </c>
      <c r="AF313" s="4">
        <v>100807.18</v>
      </c>
      <c r="AG313" s="4">
        <v>939.99</v>
      </c>
      <c r="AH313" s="4">
        <v>342330.6</v>
      </c>
      <c r="AI313" s="4">
        <v>224347.22</v>
      </c>
      <c r="AJ313" s="4">
        <v>0</v>
      </c>
      <c r="AK313" s="4">
        <v>861126.66</v>
      </c>
      <c r="AL313" s="4">
        <v>229.1</v>
      </c>
      <c r="AM313" s="4">
        <v>15490.65</v>
      </c>
      <c r="AN313" s="4">
        <v>0</v>
      </c>
      <c r="AO313" s="4">
        <v>651432.18999999994</v>
      </c>
      <c r="AP313" s="4">
        <v>0</v>
      </c>
      <c r="AQ313" s="4">
        <v>58024.86</v>
      </c>
      <c r="AR313" s="4">
        <v>949403.89</v>
      </c>
      <c r="AS313" s="4">
        <v>469.17</v>
      </c>
      <c r="AT313" s="4">
        <v>27917.34</v>
      </c>
      <c r="AU313" s="4">
        <v>0</v>
      </c>
      <c r="AV313" s="4">
        <v>958115.54</v>
      </c>
      <c r="AW313" s="4">
        <v>3175566.77</v>
      </c>
      <c r="AX313" s="4">
        <v>3243984.48</v>
      </c>
      <c r="AY313" s="4">
        <v>2162157.7200000002</v>
      </c>
      <c r="AZ313" s="4"/>
      <c r="BA313" s="4"/>
      <c r="BB313" s="4">
        <f t="shared" si="50"/>
        <v>436527367.17000008</v>
      </c>
    </row>
    <row r="314" spans="1:54" x14ac:dyDescent="0.2">
      <c r="A314" s="3">
        <v>37895</v>
      </c>
      <c r="B314" s="4">
        <v>0</v>
      </c>
      <c r="C314" s="4">
        <v>497703.47</v>
      </c>
      <c r="D314" s="4">
        <v>0</v>
      </c>
      <c r="E314" s="4">
        <v>0</v>
      </c>
      <c r="F314" s="4">
        <v>215639.51</v>
      </c>
      <c r="G314" s="4">
        <v>180482.04</v>
      </c>
      <c r="H314" s="4">
        <v>0</v>
      </c>
      <c r="I314" s="4">
        <v>0</v>
      </c>
      <c r="J314" s="4">
        <v>445082.36</v>
      </c>
      <c r="K314" s="4">
        <v>148362.41</v>
      </c>
      <c r="L314" s="4">
        <v>0</v>
      </c>
      <c r="M314" s="4">
        <v>173967.26</v>
      </c>
      <c r="N314" s="4">
        <v>103969.59</v>
      </c>
      <c r="O314" s="4">
        <v>151143.79999999999</v>
      </c>
      <c r="P314" s="4">
        <v>481440.56</v>
      </c>
      <c r="Q314" s="4">
        <v>141227.95000000001</v>
      </c>
      <c r="R314" s="4">
        <v>0</v>
      </c>
      <c r="S314" s="4">
        <v>110362.14</v>
      </c>
      <c r="T314" s="4">
        <v>32892.21</v>
      </c>
      <c r="U314" s="4">
        <v>0</v>
      </c>
      <c r="V314" s="4">
        <v>825371.34</v>
      </c>
      <c r="W314" s="4">
        <v>10512389.58</v>
      </c>
      <c r="X314" s="4">
        <v>340283.36</v>
      </c>
      <c r="Y314" s="4">
        <v>30638551.539999999</v>
      </c>
      <c r="Z314" s="4"/>
      <c r="AA314" s="4"/>
      <c r="AB314" s="4">
        <v>291821090.19999999</v>
      </c>
      <c r="AC314" s="4">
        <v>57660.959999999999</v>
      </c>
      <c r="AD314" s="4">
        <v>1609714.95</v>
      </c>
      <c r="AE314" s="4">
        <v>0</v>
      </c>
      <c r="AF314" s="4">
        <v>87867.57</v>
      </c>
      <c r="AG314" s="4">
        <v>0</v>
      </c>
      <c r="AH314" s="4">
        <v>298261.13</v>
      </c>
      <c r="AI314" s="4">
        <v>202442.77</v>
      </c>
      <c r="AJ314" s="4">
        <v>0</v>
      </c>
      <c r="AK314" s="4">
        <v>620826.16</v>
      </c>
      <c r="AL314" s="4">
        <v>0</v>
      </c>
      <c r="AM314" s="4">
        <v>21191.48</v>
      </c>
      <c r="AN314" s="4">
        <v>0</v>
      </c>
      <c r="AO314" s="4">
        <v>382131.91</v>
      </c>
      <c r="AP314" s="4">
        <v>0</v>
      </c>
      <c r="AQ314" s="4">
        <v>28110.17</v>
      </c>
      <c r="AR314" s="4">
        <v>466888.19</v>
      </c>
      <c r="AS314" s="4">
        <v>0</v>
      </c>
      <c r="AT314" s="4">
        <v>17142.47</v>
      </c>
      <c r="AU314" s="4">
        <v>0</v>
      </c>
      <c r="AV314" s="4">
        <v>582376.94999999995</v>
      </c>
      <c r="AW314" s="4">
        <v>2797543.12</v>
      </c>
      <c r="AX314" s="4">
        <v>2347505.5</v>
      </c>
      <c r="AY314" s="4">
        <v>1565124.05</v>
      </c>
      <c r="AZ314" s="4"/>
      <c r="BA314" s="4"/>
      <c r="BB314" s="4">
        <f t="shared" si="50"/>
        <v>347904746.70000005</v>
      </c>
    </row>
    <row r="315" spans="1:54" x14ac:dyDescent="0.2">
      <c r="A315" s="3">
        <v>37926</v>
      </c>
      <c r="B315" s="4">
        <v>0</v>
      </c>
      <c r="C315" s="4">
        <v>491378.23</v>
      </c>
      <c r="D315" s="4">
        <v>0</v>
      </c>
      <c r="E315" s="4">
        <v>0</v>
      </c>
      <c r="F315" s="4">
        <v>213924.59</v>
      </c>
      <c r="G315" s="4">
        <v>169636.03</v>
      </c>
      <c r="H315" s="4">
        <v>0</v>
      </c>
      <c r="I315" s="4">
        <v>0</v>
      </c>
      <c r="J315" s="4">
        <v>443060.8</v>
      </c>
      <c r="K315" s="4">
        <v>150239.29999999999</v>
      </c>
      <c r="L315" s="4">
        <v>0</v>
      </c>
      <c r="M315" s="4">
        <v>172833.03</v>
      </c>
      <c r="N315" s="4">
        <v>105877.81</v>
      </c>
      <c r="O315" s="4">
        <v>153062.09</v>
      </c>
      <c r="P315" s="4">
        <v>463744.33</v>
      </c>
      <c r="Q315" s="4">
        <v>149609.49</v>
      </c>
      <c r="R315" s="4">
        <v>0</v>
      </c>
      <c r="S315" s="4">
        <v>100441.55</v>
      </c>
      <c r="T315" s="4">
        <v>23284.45</v>
      </c>
      <c r="U315" s="4">
        <v>0</v>
      </c>
      <c r="V315" s="4">
        <v>820478.39</v>
      </c>
      <c r="W315" s="4">
        <v>10040931.24</v>
      </c>
      <c r="X315" s="4">
        <v>324317.21999999997</v>
      </c>
      <c r="Y315" s="4">
        <v>29899779.079999998</v>
      </c>
      <c r="Z315" s="4"/>
      <c r="AA315" s="4"/>
      <c r="AB315" s="4">
        <v>284081370.22000003</v>
      </c>
      <c r="AC315" s="4">
        <v>56964.25</v>
      </c>
      <c r="AD315" s="4">
        <v>1540157.88</v>
      </c>
      <c r="AE315" s="4">
        <v>0</v>
      </c>
      <c r="AF315" s="4">
        <v>89273.8</v>
      </c>
      <c r="AG315" s="4">
        <v>0</v>
      </c>
      <c r="AH315" s="4">
        <v>292804.96999999997</v>
      </c>
      <c r="AI315" s="4">
        <v>199566.78</v>
      </c>
      <c r="AJ315" s="4">
        <v>0</v>
      </c>
      <c r="AK315" s="4">
        <v>591953.88</v>
      </c>
      <c r="AL315" s="4">
        <v>0</v>
      </c>
      <c r="AM315" s="4">
        <v>20826.599999999999</v>
      </c>
      <c r="AN315" s="4">
        <v>0</v>
      </c>
      <c r="AO315" s="4">
        <v>374641.42</v>
      </c>
      <c r="AP315" s="4">
        <v>0</v>
      </c>
      <c r="AQ315" s="4">
        <v>32298.97</v>
      </c>
      <c r="AR315" s="4">
        <v>444034.94</v>
      </c>
      <c r="AS315" s="4">
        <v>0</v>
      </c>
      <c r="AT315" s="4">
        <v>14897.25</v>
      </c>
      <c r="AU315" s="4">
        <v>0</v>
      </c>
      <c r="AV315" s="4">
        <v>580010.65</v>
      </c>
      <c r="AW315" s="4">
        <v>2696722.96</v>
      </c>
      <c r="AX315" s="4">
        <v>2305418.59</v>
      </c>
      <c r="AY315" s="4">
        <v>1537071.1</v>
      </c>
      <c r="AZ315" s="4"/>
      <c r="BA315" s="4"/>
      <c r="BB315" s="4">
        <f t="shared" si="50"/>
        <v>338580611.89000005</v>
      </c>
    </row>
    <row r="316" spans="1:54" x14ac:dyDescent="0.2">
      <c r="A316" s="3">
        <v>37956</v>
      </c>
      <c r="B316" s="4">
        <v>24.82</v>
      </c>
      <c r="C316" s="4">
        <v>681237.58</v>
      </c>
      <c r="D316" s="4">
        <v>5012.59</v>
      </c>
      <c r="E316" s="4">
        <v>0</v>
      </c>
      <c r="F316" s="4">
        <v>277445.59000000003</v>
      </c>
      <c r="G316" s="4">
        <v>158392.99</v>
      </c>
      <c r="H316" s="4">
        <v>857.49</v>
      </c>
      <c r="I316" s="4">
        <v>284.45</v>
      </c>
      <c r="J316" s="4">
        <v>647082.13</v>
      </c>
      <c r="K316" s="4">
        <v>216834.07</v>
      </c>
      <c r="L316" s="4">
        <v>146.62</v>
      </c>
      <c r="M316" s="4">
        <v>306278.28999999998</v>
      </c>
      <c r="N316" s="4">
        <v>233062.64</v>
      </c>
      <c r="O316" s="4">
        <v>206690.1</v>
      </c>
      <c r="P316" s="4">
        <v>764540.79</v>
      </c>
      <c r="Q316" s="4">
        <v>191410.77</v>
      </c>
      <c r="R316" s="4">
        <v>0</v>
      </c>
      <c r="S316" s="4">
        <v>269636.84999999998</v>
      </c>
      <c r="T316" s="4">
        <v>121750.99</v>
      </c>
      <c r="U316" s="4">
        <v>0</v>
      </c>
      <c r="V316" s="4">
        <v>1529088.7</v>
      </c>
      <c r="W316" s="4">
        <v>21853105.07</v>
      </c>
      <c r="X316" s="4">
        <v>561644.91</v>
      </c>
      <c r="Y316" s="4">
        <v>44083489.350000001</v>
      </c>
      <c r="Z316" s="4"/>
      <c r="AA316" s="4"/>
      <c r="AB316" s="4">
        <v>390214147.58000004</v>
      </c>
      <c r="AC316" s="4">
        <v>80220.61</v>
      </c>
      <c r="AD316" s="4">
        <v>2439668.81</v>
      </c>
      <c r="AE316" s="4">
        <v>0</v>
      </c>
      <c r="AF316" s="4">
        <v>80512.639999999999</v>
      </c>
      <c r="AG316" s="4">
        <v>2635.03</v>
      </c>
      <c r="AH316" s="4">
        <v>266915.52</v>
      </c>
      <c r="AI316" s="4">
        <v>228334.79</v>
      </c>
      <c r="AJ316" s="4">
        <v>0</v>
      </c>
      <c r="AK316" s="4">
        <v>774420.31</v>
      </c>
      <c r="AL316" s="4">
        <v>0</v>
      </c>
      <c r="AM316" s="4">
        <v>29028.32</v>
      </c>
      <c r="AN316" s="4">
        <v>0</v>
      </c>
      <c r="AO316" s="4">
        <v>569359.76</v>
      </c>
      <c r="AP316" s="4">
        <v>0</v>
      </c>
      <c r="AQ316" s="4">
        <v>63685.04</v>
      </c>
      <c r="AR316" s="4">
        <v>810279.59</v>
      </c>
      <c r="AS316" s="4">
        <v>928.45</v>
      </c>
      <c r="AT316" s="4">
        <v>23562</v>
      </c>
      <c r="AU316" s="4">
        <v>0</v>
      </c>
      <c r="AV316" s="4">
        <v>777549.18</v>
      </c>
      <c r="AW316" s="4">
        <v>4519408.17</v>
      </c>
      <c r="AX316" s="4">
        <v>3560493.11</v>
      </c>
      <c r="AY316" s="4">
        <v>2368085.14</v>
      </c>
      <c r="AZ316" s="4"/>
      <c r="BA316" s="4"/>
      <c r="BB316" s="4">
        <f t="shared" si="50"/>
        <v>478917250.84000003</v>
      </c>
    </row>
    <row r="317" spans="1:54" ht="15.75" thickBot="1" x14ac:dyDescent="0.25">
      <c r="A317" s="1" t="s">
        <v>143</v>
      </c>
      <c r="B317" s="5">
        <f>SUM(B305:B316)</f>
        <v>5330.44</v>
      </c>
      <c r="C317" s="5">
        <f>SUM(C305:C316)</f>
        <v>6706148.4800000004</v>
      </c>
      <c r="D317" s="5">
        <f>SUM(D305:D316)</f>
        <v>40565.97</v>
      </c>
      <c r="E317" s="5">
        <f t="shared" ref="E317:AY317" si="51">SUM(E305:E316)</f>
        <v>0</v>
      </c>
      <c r="F317" s="5">
        <f t="shared" si="51"/>
        <v>2981861.79</v>
      </c>
      <c r="G317" s="5">
        <f t="shared" si="51"/>
        <v>2010552.9200000002</v>
      </c>
      <c r="H317" s="5">
        <f t="shared" si="51"/>
        <v>1636.67</v>
      </c>
      <c r="I317" s="5">
        <f t="shared" si="51"/>
        <v>2789.2799999999997</v>
      </c>
      <c r="J317" s="5">
        <f t="shared" si="51"/>
        <v>5482883.8899999997</v>
      </c>
      <c r="K317" s="5">
        <f t="shared" si="51"/>
        <v>2136253.63</v>
      </c>
      <c r="L317" s="5">
        <f t="shared" si="51"/>
        <v>5419.87</v>
      </c>
      <c r="M317" s="5">
        <f t="shared" si="51"/>
        <v>2512691.8899999997</v>
      </c>
      <c r="N317" s="5">
        <f t="shared" si="51"/>
        <v>1696153.73</v>
      </c>
      <c r="O317" s="5">
        <f t="shared" si="51"/>
        <v>2086416.8700000006</v>
      </c>
      <c r="P317" s="5">
        <f t="shared" si="51"/>
        <v>6421916.71</v>
      </c>
      <c r="Q317" s="5">
        <f t="shared" si="51"/>
        <v>2004087.1799999997</v>
      </c>
      <c r="R317" s="5">
        <f t="shared" si="51"/>
        <v>0</v>
      </c>
      <c r="S317" s="5">
        <f t="shared" si="51"/>
        <v>1897216.04</v>
      </c>
      <c r="T317" s="5">
        <f t="shared" si="51"/>
        <v>763014.58999999985</v>
      </c>
      <c r="U317" s="5">
        <f t="shared" si="51"/>
        <v>0</v>
      </c>
      <c r="V317" s="5">
        <f t="shared" si="51"/>
        <v>11918032.049999999</v>
      </c>
      <c r="W317" s="5">
        <f t="shared" si="51"/>
        <v>166551356.28</v>
      </c>
      <c r="X317" s="5">
        <f t="shared" si="51"/>
        <v>5570357.1400000006</v>
      </c>
      <c r="Y317" s="5">
        <f t="shared" si="51"/>
        <v>403396091</v>
      </c>
      <c r="Z317" s="5"/>
      <c r="AA317" s="5"/>
      <c r="AB317" s="5">
        <f t="shared" si="51"/>
        <v>3578259419.9200001</v>
      </c>
      <c r="AC317" s="5">
        <f t="shared" si="51"/>
        <v>809139.18</v>
      </c>
      <c r="AD317" s="5">
        <f t="shared" si="51"/>
        <v>20978582.789999995</v>
      </c>
      <c r="AE317" s="5">
        <f t="shared" si="51"/>
        <v>0</v>
      </c>
      <c r="AF317" s="5">
        <f t="shared" si="51"/>
        <v>1170910.01</v>
      </c>
      <c r="AG317" s="5">
        <f t="shared" si="51"/>
        <v>4672.42</v>
      </c>
      <c r="AH317" s="5">
        <f t="shared" si="51"/>
        <v>3639404.5800000005</v>
      </c>
      <c r="AI317" s="5">
        <f t="shared" si="51"/>
        <v>2659257.9999999995</v>
      </c>
      <c r="AJ317" s="5">
        <f t="shared" si="51"/>
        <v>0</v>
      </c>
      <c r="AK317" s="5">
        <f t="shared" si="51"/>
        <v>8246654.9600000009</v>
      </c>
      <c r="AL317" s="5">
        <f t="shared" si="51"/>
        <v>2715.46</v>
      </c>
      <c r="AM317" s="5">
        <f t="shared" si="51"/>
        <v>302805.09000000003</v>
      </c>
      <c r="AN317" s="5">
        <f t="shared" si="51"/>
        <v>0</v>
      </c>
      <c r="AO317" s="5">
        <f t="shared" si="51"/>
        <v>5484341.2400000002</v>
      </c>
      <c r="AP317" s="5">
        <f t="shared" si="51"/>
        <v>0</v>
      </c>
      <c r="AQ317" s="5">
        <f t="shared" si="51"/>
        <v>490352.36999999994</v>
      </c>
      <c r="AR317" s="5">
        <f t="shared" si="51"/>
        <v>6769370.5100000007</v>
      </c>
      <c r="AS317" s="5">
        <f t="shared" si="51"/>
        <v>12000.12</v>
      </c>
      <c r="AT317" s="5">
        <f t="shared" si="51"/>
        <v>255936.69999999998</v>
      </c>
      <c r="AU317" s="5">
        <f t="shared" si="51"/>
        <v>61.6</v>
      </c>
      <c r="AV317" s="5">
        <f t="shared" si="51"/>
        <v>8294674.8899999997</v>
      </c>
      <c r="AW317" s="5">
        <f t="shared" si="51"/>
        <v>35680602.770000003</v>
      </c>
      <c r="AX317" s="5">
        <f t="shared" si="51"/>
        <v>31861220.849999998</v>
      </c>
      <c r="AY317" s="5">
        <f t="shared" si="51"/>
        <v>21240030.890000001</v>
      </c>
      <c r="AZ317" s="5"/>
      <c r="BA317" s="5"/>
      <c r="BB317" s="5">
        <f>SUM(B317:AY317)</f>
        <v>4350352930.7700005</v>
      </c>
    </row>
    <row r="318" spans="1:54" ht="15.75" thickTop="1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</row>
    <row r="319" spans="1:54" x14ac:dyDescent="0.2">
      <c r="A319" s="3">
        <v>37257</v>
      </c>
      <c r="B319" s="4">
        <v>0</v>
      </c>
      <c r="C319" s="4">
        <v>518819.18</v>
      </c>
      <c r="D319" s="4">
        <v>0</v>
      </c>
      <c r="E319" s="4">
        <v>0</v>
      </c>
      <c r="F319" s="4">
        <v>211258.19</v>
      </c>
      <c r="G319" s="4">
        <v>224492.96</v>
      </c>
      <c r="H319" s="4">
        <v>0</v>
      </c>
      <c r="I319" s="4">
        <v>0</v>
      </c>
      <c r="J319" s="4">
        <v>361921.33</v>
      </c>
      <c r="K319" s="4">
        <v>163836.25</v>
      </c>
      <c r="L319" s="4">
        <v>0</v>
      </c>
      <c r="M319" s="4">
        <v>200808.2</v>
      </c>
      <c r="N319" s="4">
        <v>123769.28</v>
      </c>
      <c r="O319" s="4">
        <v>176582.11</v>
      </c>
      <c r="P319" s="4">
        <v>520928.31</v>
      </c>
      <c r="Q319" s="4">
        <v>153663.07</v>
      </c>
      <c r="R319" s="4">
        <v>0</v>
      </c>
      <c r="S319" s="4">
        <v>167740.70000000001</v>
      </c>
      <c r="T319" s="4">
        <v>75584.06</v>
      </c>
      <c r="U319" s="4">
        <v>0</v>
      </c>
      <c r="V319" s="4">
        <v>935275.87</v>
      </c>
      <c r="W319" s="4">
        <v>17047562.969999999</v>
      </c>
      <c r="X319" s="4">
        <v>424892.29</v>
      </c>
      <c r="Y319" s="4">
        <v>32768394.59</v>
      </c>
      <c r="Z319" s="4"/>
      <c r="AA319" s="4"/>
      <c r="AB319" s="4">
        <v>325279204.83999997</v>
      </c>
      <c r="AC319" s="4">
        <v>90548.26</v>
      </c>
      <c r="AD319" s="4">
        <v>1837824.88</v>
      </c>
      <c r="AE319" s="4">
        <v>0</v>
      </c>
      <c r="AF319" s="4">
        <v>91859.63</v>
      </c>
      <c r="AG319" s="4">
        <v>0</v>
      </c>
      <c r="AH319" s="4">
        <v>351551.2</v>
      </c>
      <c r="AI319" s="4">
        <v>215852.08</v>
      </c>
      <c r="AJ319" s="4">
        <v>0</v>
      </c>
      <c r="AK319" s="4">
        <v>605325.47</v>
      </c>
      <c r="AL319" s="4">
        <v>0</v>
      </c>
      <c r="AM319" s="4">
        <v>32321.49</v>
      </c>
      <c r="AN319" s="4">
        <v>0</v>
      </c>
      <c r="AO319" s="4">
        <v>406419.81</v>
      </c>
      <c r="AP319" s="4">
        <v>0</v>
      </c>
      <c r="AQ319" s="4">
        <v>43979.79</v>
      </c>
      <c r="AR319" s="4">
        <v>0</v>
      </c>
      <c r="AS319" s="4">
        <v>0</v>
      </c>
      <c r="AT319" s="4">
        <v>20885.900000000001</v>
      </c>
      <c r="AU319" s="4">
        <v>0</v>
      </c>
      <c r="AV319" s="4">
        <v>671514.97</v>
      </c>
      <c r="AW319" s="4">
        <v>3505009.01</v>
      </c>
      <c r="AX319" s="4">
        <v>2416307.66</v>
      </c>
      <c r="AY319" s="4">
        <v>1610864.44</v>
      </c>
      <c r="AZ319" s="4"/>
      <c r="BA319" s="4"/>
      <c r="BB319" s="4">
        <f t="shared" ref="BB319:BB331" si="52">SUM(B319:AY319)</f>
        <v>391254998.79000002</v>
      </c>
    </row>
    <row r="320" spans="1:54" x14ac:dyDescent="0.2">
      <c r="A320" s="3">
        <v>37288</v>
      </c>
      <c r="B320" s="4">
        <v>0</v>
      </c>
      <c r="C320" s="4">
        <v>391673.54</v>
      </c>
      <c r="D320" s="4">
        <v>0</v>
      </c>
      <c r="E320" s="4">
        <v>0</v>
      </c>
      <c r="F320" s="4">
        <v>167347.88</v>
      </c>
      <c r="G320" s="4">
        <v>160086</v>
      </c>
      <c r="H320" s="4">
        <v>0</v>
      </c>
      <c r="I320" s="4">
        <v>0</v>
      </c>
      <c r="J320" s="4">
        <v>273335.15000000002</v>
      </c>
      <c r="K320" s="4">
        <v>124405.71</v>
      </c>
      <c r="L320" s="4">
        <v>0</v>
      </c>
      <c r="M320" s="4">
        <v>138127.9</v>
      </c>
      <c r="N320" s="4">
        <v>87153.02</v>
      </c>
      <c r="O320" s="4">
        <v>119755.54</v>
      </c>
      <c r="P320" s="4">
        <v>350149.46</v>
      </c>
      <c r="Q320" s="4">
        <v>109286.86</v>
      </c>
      <c r="R320" s="4">
        <v>0</v>
      </c>
      <c r="S320" s="4">
        <v>107666.43</v>
      </c>
      <c r="T320" s="4">
        <v>22346.54</v>
      </c>
      <c r="U320" s="4">
        <v>0</v>
      </c>
      <c r="V320" s="4">
        <v>723289.43</v>
      </c>
      <c r="W320" s="4">
        <v>8096249.6899999995</v>
      </c>
      <c r="X320" s="4">
        <v>272480.05</v>
      </c>
      <c r="Y320" s="4">
        <v>23474452.620000001</v>
      </c>
      <c r="Z320" s="4"/>
      <c r="AA320" s="4"/>
      <c r="AB320" s="4">
        <v>234948349.04000002</v>
      </c>
      <c r="AC320" s="4">
        <v>65072.47</v>
      </c>
      <c r="AD320" s="4">
        <v>1288559.72</v>
      </c>
      <c r="AE320" s="4">
        <v>0</v>
      </c>
      <c r="AF320" s="4">
        <v>60543.61</v>
      </c>
      <c r="AG320" s="4">
        <v>0</v>
      </c>
      <c r="AH320" s="4">
        <v>247181.73</v>
      </c>
      <c r="AI320" s="4">
        <v>164141.29</v>
      </c>
      <c r="AJ320" s="4">
        <v>0</v>
      </c>
      <c r="AK320" s="4">
        <v>455230.07</v>
      </c>
      <c r="AL320" s="4">
        <v>0</v>
      </c>
      <c r="AM320" s="4">
        <v>23542.44</v>
      </c>
      <c r="AN320" s="4">
        <v>0</v>
      </c>
      <c r="AO320" s="4">
        <v>306129.63</v>
      </c>
      <c r="AP320" s="4">
        <v>0</v>
      </c>
      <c r="AQ320" s="4">
        <v>27150.09</v>
      </c>
      <c r="AR320" s="4">
        <v>0</v>
      </c>
      <c r="AS320" s="4">
        <v>0</v>
      </c>
      <c r="AT320" s="4">
        <v>12679.72</v>
      </c>
      <c r="AU320" s="4">
        <v>0</v>
      </c>
      <c r="AV320" s="4">
        <v>484808.62</v>
      </c>
      <c r="AW320" s="4">
        <v>2582114.5299999998</v>
      </c>
      <c r="AX320" s="4">
        <v>1803230.74</v>
      </c>
      <c r="AY320" s="4">
        <v>1202048.77</v>
      </c>
      <c r="AZ320" s="4"/>
      <c r="BA320" s="4"/>
      <c r="BB320" s="4">
        <f t="shared" si="52"/>
        <v>278288588.29000008</v>
      </c>
    </row>
    <row r="321" spans="1:54" x14ac:dyDescent="0.2">
      <c r="A321" s="3">
        <v>37316</v>
      </c>
      <c r="B321" s="4">
        <v>424.22</v>
      </c>
      <c r="C321" s="4">
        <v>709625.48</v>
      </c>
      <c r="D321" s="4">
        <v>0</v>
      </c>
      <c r="E321" s="4">
        <v>0</v>
      </c>
      <c r="F321" s="4">
        <v>321047.56</v>
      </c>
      <c r="G321" s="4">
        <v>168807.51</v>
      </c>
      <c r="H321" s="4">
        <v>298.14999999999998</v>
      </c>
      <c r="I321" s="4">
        <v>1365.67</v>
      </c>
      <c r="J321" s="4">
        <v>427580.15999999997</v>
      </c>
      <c r="K321" s="4">
        <v>135510.87</v>
      </c>
      <c r="L321" s="4">
        <v>0</v>
      </c>
      <c r="M321" s="4">
        <v>290054.13</v>
      </c>
      <c r="N321" s="4">
        <v>140879.67000000001</v>
      </c>
      <c r="O321" s="4">
        <v>231439.11</v>
      </c>
      <c r="P321" s="4">
        <v>861811.3</v>
      </c>
      <c r="Q321" s="4">
        <v>280502.69</v>
      </c>
      <c r="R321" s="4">
        <v>0</v>
      </c>
      <c r="S321" s="4">
        <v>269239.43</v>
      </c>
      <c r="T321" s="4">
        <v>165622.39999999999</v>
      </c>
      <c r="U321" s="4">
        <v>0</v>
      </c>
      <c r="V321" s="4">
        <v>1213318.42</v>
      </c>
      <c r="W321" s="4">
        <v>12838795.870000001</v>
      </c>
      <c r="X321" s="4">
        <v>502670.46</v>
      </c>
      <c r="Y321" s="4">
        <v>40078575.75</v>
      </c>
      <c r="Z321" s="4"/>
      <c r="AA321" s="4"/>
      <c r="AB321" s="4">
        <v>244229937.00999999</v>
      </c>
      <c r="AC321" s="4">
        <v>47753.97</v>
      </c>
      <c r="AD321" s="4">
        <v>2219647.75</v>
      </c>
      <c r="AE321" s="4">
        <v>0</v>
      </c>
      <c r="AF321" s="4">
        <v>179347.34</v>
      </c>
      <c r="AG321" s="4">
        <v>0</v>
      </c>
      <c r="AH321" s="4">
        <v>448280.64</v>
      </c>
      <c r="AI321" s="4">
        <v>236615.34</v>
      </c>
      <c r="AJ321" s="4">
        <v>0</v>
      </c>
      <c r="AK321" s="4">
        <v>645810.69999999995</v>
      </c>
      <c r="AL321" s="4">
        <v>436.02</v>
      </c>
      <c r="AM321" s="4">
        <v>19830.48</v>
      </c>
      <c r="AN321" s="4">
        <v>0</v>
      </c>
      <c r="AO321" s="4">
        <v>559087.19999999995</v>
      </c>
      <c r="AP321" s="4">
        <v>0</v>
      </c>
      <c r="AQ321" s="4">
        <v>58899.16</v>
      </c>
      <c r="AR321" s="4">
        <v>394.34</v>
      </c>
      <c r="AS321" s="4">
        <v>180.21</v>
      </c>
      <c r="AT321" s="4">
        <v>15251.55</v>
      </c>
      <c r="AU321" s="4">
        <v>31.94</v>
      </c>
      <c r="AV321" s="4">
        <v>793316.22</v>
      </c>
      <c r="AW321" s="4">
        <v>2926241.31</v>
      </c>
      <c r="AX321" s="4">
        <v>3437442.37</v>
      </c>
      <c r="AY321" s="4">
        <v>2291825.88</v>
      </c>
      <c r="AZ321" s="4"/>
      <c r="BA321" s="4"/>
      <c r="BB321" s="4">
        <f t="shared" si="52"/>
        <v>316747898.27999997</v>
      </c>
    </row>
    <row r="322" spans="1:54" x14ac:dyDescent="0.2">
      <c r="A322" s="3">
        <v>37347</v>
      </c>
      <c r="B322" s="4">
        <v>0</v>
      </c>
      <c r="C322" s="4">
        <v>498915.66</v>
      </c>
      <c r="D322" s="4">
        <v>0</v>
      </c>
      <c r="E322" s="4">
        <v>0</v>
      </c>
      <c r="F322" s="4">
        <v>227379.13</v>
      </c>
      <c r="G322" s="4">
        <v>134209.46</v>
      </c>
      <c r="H322" s="4">
        <v>0</v>
      </c>
      <c r="I322" s="4">
        <v>0</v>
      </c>
      <c r="J322" s="4">
        <v>354778.75</v>
      </c>
      <c r="K322" s="4">
        <v>142298.72</v>
      </c>
      <c r="L322" s="4">
        <v>0</v>
      </c>
      <c r="M322" s="4">
        <v>206015.39</v>
      </c>
      <c r="N322" s="4">
        <v>106928.9</v>
      </c>
      <c r="O322" s="4">
        <v>135010.74</v>
      </c>
      <c r="P322" s="4">
        <v>452959.43</v>
      </c>
      <c r="Q322" s="4">
        <v>151501.4</v>
      </c>
      <c r="R322" s="4">
        <v>0</v>
      </c>
      <c r="S322" s="4">
        <v>132403.48000000001</v>
      </c>
      <c r="T322" s="4">
        <v>36153.99</v>
      </c>
      <c r="U322" s="4">
        <v>0</v>
      </c>
      <c r="V322" s="4">
        <v>812218.64</v>
      </c>
      <c r="W322" s="4">
        <v>10184920.67</v>
      </c>
      <c r="X322" s="4">
        <v>349357.14</v>
      </c>
      <c r="Y322" s="4">
        <v>27417656.16</v>
      </c>
      <c r="Z322" s="4"/>
      <c r="AA322" s="4"/>
      <c r="AB322" s="4">
        <v>255809055.85000002</v>
      </c>
      <c r="AC322" s="4">
        <v>57934.67</v>
      </c>
      <c r="AD322" s="4">
        <v>1625466.02</v>
      </c>
      <c r="AE322" s="4">
        <v>0</v>
      </c>
      <c r="AF322" s="4">
        <v>82387.360000000001</v>
      </c>
      <c r="AG322" s="4">
        <v>0</v>
      </c>
      <c r="AH322" s="4">
        <v>282360.53000000003</v>
      </c>
      <c r="AI322" s="4">
        <v>195355.35</v>
      </c>
      <c r="AJ322" s="4">
        <v>0</v>
      </c>
      <c r="AK322" s="4">
        <v>586869.68999999994</v>
      </c>
      <c r="AL322" s="4">
        <v>0</v>
      </c>
      <c r="AM322" s="4">
        <v>0</v>
      </c>
      <c r="AN322" s="4">
        <v>0</v>
      </c>
      <c r="AO322" s="4">
        <v>353969.33</v>
      </c>
      <c r="AP322" s="4">
        <v>0</v>
      </c>
      <c r="AQ322" s="4">
        <v>35480.44</v>
      </c>
      <c r="AR322" s="4">
        <v>0</v>
      </c>
      <c r="AS322" s="4">
        <v>0</v>
      </c>
      <c r="AT322" s="4">
        <v>12201.26</v>
      </c>
      <c r="AU322" s="4">
        <v>0</v>
      </c>
      <c r="AV322" s="4">
        <v>592480.43000000005</v>
      </c>
      <c r="AW322" s="4">
        <v>2860206.75</v>
      </c>
      <c r="AX322" s="4">
        <v>2126488.2200000002</v>
      </c>
      <c r="AY322" s="4">
        <v>1417645.64</v>
      </c>
      <c r="AZ322" s="4"/>
      <c r="BA322" s="4"/>
      <c r="BB322" s="4">
        <f t="shared" si="52"/>
        <v>307380609.19999999</v>
      </c>
    </row>
    <row r="323" spans="1:54" x14ac:dyDescent="0.2">
      <c r="A323" s="3">
        <v>37377</v>
      </c>
      <c r="B323" s="4">
        <v>0</v>
      </c>
      <c r="C323" s="4">
        <v>463130.6</v>
      </c>
      <c r="D323" s="4">
        <v>0</v>
      </c>
      <c r="E323" s="4">
        <v>0</v>
      </c>
      <c r="F323" s="4">
        <v>198955.15</v>
      </c>
      <c r="G323" s="4">
        <v>171169.73</v>
      </c>
      <c r="H323" s="4">
        <v>0</v>
      </c>
      <c r="I323" s="4">
        <v>0</v>
      </c>
      <c r="J323" s="4">
        <v>312233.73</v>
      </c>
      <c r="K323" s="4">
        <v>131376.4</v>
      </c>
      <c r="L323" s="4">
        <v>0</v>
      </c>
      <c r="M323" s="4">
        <v>175400.87</v>
      </c>
      <c r="N323" s="4">
        <v>100323.79</v>
      </c>
      <c r="O323" s="4">
        <v>129329.7</v>
      </c>
      <c r="P323" s="4">
        <v>405801.53</v>
      </c>
      <c r="Q323" s="4">
        <v>135678.37</v>
      </c>
      <c r="R323" s="4">
        <v>0</v>
      </c>
      <c r="S323" s="4">
        <v>113439.11</v>
      </c>
      <c r="T323" s="4">
        <v>15780.14</v>
      </c>
      <c r="U323" s="4">
        <v>0</v>
      </c>
      <c r="V323" s="4">
        <v>855482.04</v>
      </c>
      <c r="W323" s="4">
        <v>8947347.2100000009</v>
      </c>
      <c r="X323" s="4">
        <v>328699.02</v>
      </c>
      <c r="Y323" s="4">
        <v>26418955.98</v>
      </c>
      <c r="Z323" s="4"/>
      <c r="AA323" s="4"/>
      <c r="AB323" s="4">
        <v>242828523.38999999</v>
      </c>
      <c r="AC323" s="4">
        <v>65095</v>
      </c>
      <c r="AD323" s="4">
        <v>1545391.53</v>
      </c>
      <c r="AE323" s="4">
        <v>0</v>
      </c>
      <c r="AF323" s="4">
        <v>77259.88</v>
      </c>
      <c r="AG323" s="4">
        <v>0</v>
      </c>
      <c r="AH323" s="4">
        <v>254939.4</v>
      </c>
      <c r="AI323" s="4">
        <v>188111.3</v>
      </c>
      <c r="AJ323" s="4">
        <v>0</v>
      </c>
      <c r="AK323" s="4">
        <v>556351.75</v>
      </c>
      <c r="AL323" s="4">
        <v>0</v>
      </c>
      <c r="AM323" s="4">
        <v>19958.43</v>
      </c>
      <c r="AN323" s="4">
        <v>0</v>
      </c>
      <c r="AO323" s="4">
        <v>344458.94</v>
      </c>
      <c r="AP323" s="4">
        <v>0</v>
      </c>
      <c r="AQ323" s="4">
        <v>33686.01</v>
      </c>
      <c r="AR323" s="4">
        <v>0</v>
      </c>
      <c r="AS323" s="4">
        <v>0</v>
      </c>
      <c r="AT323" s="4">
        <v>11966.94</v>
      </c>
      <c r="AU323" s="4">
        <v>0</v>
      </c>
      <c r="AV323" s="4">
        <v>554460.02</v>
      </c>
      <c r="AW323" s="4">
        <v>2793343.39</v>
      </c>
      <c r="AX323" s="4">
        <v>2113504.3199999998</v>
      </c>
      <c r="AY323" s="4">
        <v>1409015.08</v>
      </c>
      <c r="AZ323" s="4"/>
      <c r="BA323" s="4"/>
      <c r="BB323" s="4">
        <f t="shared" si="52"/>
        <v>291699168.74999988</v>
      </c>
    </row>
    <row r="324" spans="1:54" x14ac:dyDescent="0.2">
      <c r="A324" s="3">
        <v>37408</v>
      </c>
      <c r="B324" s="4">
        <v>1648.31</v>
      </c>
      <c r="C324" s="4">
        <v>820761.57</v>
      </c>
      <c r="D324" s="4">
        <v>44979.45</v>
      </c>
      <c r="E324" s="4">
        <v>0</v>
      </c>
      <c r="F324" s="4">
        <v>256017.95</v>
      </c>
      <c r="G324" s="4">
        <v>103340.47</v>
      </c>
      <c r="H324" s="4">
        <v>482.14</v>
      </c>
      <c r="I324" s="4">
        <v>1579.64</v>
      </c>
      <c r="J324" s="4">
        <v>446396.63</v>
      </c>
      <c r="K324" s="4">
        <v>160234.66</v>
      </c>
      <c r="L324" s="4">
        <v>79.489999999999995</v>
      </c>
      <c r="M324" s="4">
        <v>243459.1</v>
      </c>
      <c r="N324" s="4">
        <v>166902.26999999999</v>
      </c>
      <c r="O324" s="4">
        <v>357895.12</v>
      </c>
      <c r="P324" s="4">
        <v>822942.17</v>
      </c>
      <c r="Q324" s="4">
        <v>267140.93</v>
      </c>
      <c r="R324" s="4">
        <v>0</v>
      </c>
      <c r="S324" s="4">
        <v>160819.15</v>
      </c>
      <c r="T324" s="4">
        <v>96555.5</v>
      </c>
      <c r="U324" s="4">
        <v>719.11</v>
      </c>
      <c r="V324" s="4">
        <v>1096464.06</v>
      </c>
      <c r="W324" s="4">
        <v>12710678.039999999</v>
      </c>
      <c r="X324" s="4">
        <v>577489.97</v>
      </c>
      <c r="Y324" s="4">
        <v>39961980.369999997</v>
      </c>
      <c r="Z324" s="4"/>
      <c r="AA324" s="4"/>
      <c r="AB324" s="4">
        <v>312853300.69</v>
      </c>
      <c r="AC324" s="4">
        <v>78627.539999999994</v>
      </c>
      <c r="AD324" s="4">
        <v>2615006.42</v>
      </c>
      <c r="AE324" s="4">
        <v>0</v>
      </c>
      <c r="AF324" s="4">
        <v>142638.59</v>
      </c>
      <c r="AG324" s="4">
        <v>0</v>
      </c>
      <c r="AH324" s="4">
        <v>420654.36</v>
      </c>
      <c r="AI324" s="4">
        <v>232409.34</v>
      </c>
      <c r="AJ324" s="4">
        <v>0</v>
      </c>
      <c r="AK324" s="4">
        <v>909090.87</v>
      </c>
      <c r="AL324" s="4">
        <v>694.87</v>
      </c>
      <c r="AM324" s="4">
        <v>36098.22</v>
      </c>
      <c r="AN324" s="4">
        <v>0</v>
      </c>
      <c r="AO324" s="4">
        <v>620587.14</v>
      </c>
      <c r="AP324" s="4">
        <v>0</v>
      </c>
      <c r="AQ324" s="4">
        <v>41514.6</v>
      </c>
      <c r="AR324" s="4">
        <v>252411.33</v>
      </c>
      <c r="AS324" s="4">
        <v>1065.03</v>
      </c>
      <c r="AT324" s="4">
        <v>25026.09</v>
      </c>
      <c r="AU324" s="4">
        <v>31.95</v>
      </c>
      <c r="AV324" s="4">
        <v>823044.13</v>
      </c>
      <c r="AW324" s="4">
        <v>1634624.35</v>
      </c>
      <c r="AX324" s="4">
        <v>2987153.63</v>
      </c>
      <c r="AY324" s="4">
        <v>1991131.18</v>
      </c>
      <c r="AZ324" s="4"/>
      <c r="BA324" s="4"/>
      <c r="BB324" s="4">
        <f t="shared" si="52"/>
        <v>383963676.42999995</v>
      </c>
    </row>
    <row r="325" spans="1:54" x14ac:dyDescent="0.2">
      <c r="A325" s="3">
        <v>37438</v>
      </c>
      <c r="B325" s="4">
        <v>0</v>
      </c>
      <c r="C325" s="4">
        <v>525387.56000000006</v>
      </c>
      <c r="D325" s="4">
        <v>0</v>
      </c>
      <c r="E325" s="4">
        <v>0</v>
      </c>
      <c r="F325" s="4">
        <v>285046.87</v>
      </c>
      <c r="G325" s="4">
        <v>210319.92</v>
      </c>
      <c r="H325" s="4">
        <v>0</v>
      </c>
      <c r="I325" s="4">
        <v>0</v>
      </c>
      <c r="J325" s="4">
        <v>358689.92</v>
      </c>
      <c r="K325" s="4">
        <v>174712.17</v>
      </c>
      <c r="L325" s="4">
        <v>0</v>
      </c>
      <c r="M325" s="4">
        <v>205264.89</v>
      </c>
      <c r="N325" s="4">
        <v>110778.82</v>
      </c>
      <c r="O325" s="4">
        <v>156692.72</v>
      </c>
      <c r="P325" s="4">
        <v>499016.27</v>
      </c>
      <c r="Q325" s="4">
        <v>143855.4</v>
      </c>
      <c r="R325" s="4">
        <v>0</v>
      </c>
      <c r="S325" s="4">
        <v>116841.35</v>
      </c>
      <c r="T325" s="4">
        <v>61722.43</v>
      </c>
      <c r="U325" s="4">
        <v>0</v>
      </c>
      <c r="V325" s="4">
        <v>835508.38</v>
      </c>
      <c r="W325" s="4">
        <v>14895724.109999999</v>
      </c>
      <c r="X325" s="4">
        <v>461345.29</v>
      </c>
      <c r="Y325" s="4">
        <v>29568715.84</v>
      </c>
      <c r="Z325" s="4"/>
      <c r="AA325" s="4"/>
      <c r="AB325" s="4">
        <v>268565086.51999998</v>
      </c>
      <c r="AC325" s="4">
        <v>55723.53</v>
      </c>
      <c r="AD325" s="4">
        <v>1748390.47</v>
      </c>
      <c r="AE325" s="4">
        <v>0</v>
      </c>
      <c r="AF325" s="4">
        <v>79001.399999999994</v>
      </c>
      <c r="AG325" s="4">
        <v>0</v>
      </c>
      <c r="AH325" s="4">
        <v>306151.74</v>
      </c>
      <c r="AI325" s="4">
        <v>211150.3</v>
      </c>
      <c r="AJ325" s="4">
        <v>0</v>
      </c>
      <c r="AK325" s="4">
        <v>607757.32999999996</v>
      </c>
      <c r="AL325" s="4">
        <v>0</v>
      </c>
      <c r="AM325" s="4">
        <v>16556.259999999998</v>
      </c>
      <c r="AN325" s="4">
        <v>0</v>
      </c>
      <c r="AO325" s="4">
        <v>424185.81</v>
      </c>
      <c r="AP325" s="4">
        <v>0</v>
      </c>
      <c r="AQ325" s="4">
        <v>36633.410000000003</v>
      </c>
      <c r="AR325" s="4">
        <v>623845.32999999996</v>
      </c>
      <c r="AS325" s="4">
        <v>0</v>
      </c>
      <c r="AT325" s="4">
        <v>16454.22</v>
      </c>
      <c r="AU325" s="4">
        <v>0</v>
      </c>
      <c r="AV325" s="4">
        <v>623076.9</v>
      </c>
      <c r="AW325" s="4">
        <v>2661235.63</v>
      </c>
      <c r="AX325" s="4">
        <v>2226603.56</v>
      </c>
      <c r="AY325" s="4">
        <v>1484372.1</v>
      </c>
      <c r="AZ325" s="4"/>
      <c r="BA325" s="4"/>
      <c r="BB325" s="4">
        <f t="shared" si="52"/>
        <v>328295846.44999999</v>
      </c>
    </row>
    <row r="326" spans="1:54" x14ac:dyDescent="0.2">
      <c r="A326" s="3">
        <v>37469</v>
      </c>
      <c r="B326" s="4">
        <v>0</v>
      </c>
      <c r="C326" s="4">
        <v>504507.75</v>
      </c>
      <c r="D326" s="4">
        <v>0</v>
      </c>
      <c r="E326" s="4">
        <v>0</v>
      </c>
      <c r="F326" s="4">
        <v>250321.37</v>
      </c>
      <c r="G326" s="4">
        <v>196570.1</v>
      </c>
      <c r="H326" s="4">
        <v>0</v>
      </c>
      <c r="I326" s="4">
        <v>0</v>
      </c>
      <c r="J326" s="4">
        <v>316060.09999999998</v>
      </c>
      <c r="K326" s="4">
        <v>151642.26</v>
      </c>
      <c r="L326" s="4">
        <v>0</v>
      </c>
      <c r="M326" s="4">
        <v>189168.94</v>
      </c>
      <c r="N326" s="4">
        <v>101707.16</v>
      </c>
      <c r="O326" s="4">
        <v>149003.03</v>
      </c>
      <c r="P326" s="4">
        <v>472417.03</v>
      </c>
      <c r="Q326" s="4">
        <v>137391.46</v>
      </c>
      <c r="R326" s="4">
        <v>0</v>
      </c>
      <c r="S326" s="4">
        <v>98641.98</v>
      </c>
      <c r="T326" s="4">
        <v>21380.720000000001</v>
      </c>
      <c r="U326" s="4">
        <v>0</v>
      </c>
      <c r="V326" s="4">
        <v>802113.71</v>
      </c>
      <c r="W326" s="4">
        <v>9039229.9100000001</v>
      </c>
      <c r="X326" s="4">
        <v>429614.37</v>
      </c>
      <c r="Y326" s="4">
        <v>27964946.48</v>
      </c>
      <c r="Z326" s="4"/>
      <c r="AA326" s="4"/>
      <c r="AB326" s="4">
        <v>254949500.41</v>
      </c>
      <c r="AC326" s="4">
        <v>55943.1</v>
      </c>
      <c r="AD326" s="4">
        <v>1670261.03</v>
      </c>
      <c r="AE326" s="4">
        <v>0</v>
      </c>
      <c r="AF326" s="4">
        <v>77506.91</v>
      </c>
      <c r="AG326" s="4">
        <v>0</v>
      </c>
      <c r="AH326" s="4">
        <v>289941.51</v>
      </c>
      <c r="AI326" s="4">
        <v>200007.14</v>
      </c>
      <c r="AJ326" s="4">
        <v>0</v>
      </c>
      <c r="AK326" s="4">
        <v>576587.55000000005</v>
      </c>
      <c r="AL326" s="4">
        <v>0</v>
      </c>
      <c r="AM326" s="4">
        <v>16828.259999999998</v>
      </c>
      <c r="AN326" s="4">
        <v>0</v>
      </c>
      <c r="AO326" s="4">
        <v>386678.95</v>
      </c>
      <c r="AP326" s="4">
        <v>0</v>
      </c>
      <c r="AQ326" s="4">
        <v>38132.44</v>
      </c>
      <c r="AR326" s="4">
        <v>625818.65</v>
      </c>
      <c r="AS326" s="4">
        <v>0</v>
      </c>
      <c r="AT326" s="4">
        <v>13069.34</v>
      </c>
      <c r="AU326" s="4">
        <v>0</v>
      </c>
      <c r="AV326" s="4">
        <v>566154.02</v>
      </c>
      <c r="AW326" s="4">
        <v>2560809.75</v>
      </c>
      <c r="AX326" s="4">
        <v>2131480.09</v>
      </c>
      <c r="AY326" s="4">
        <v>1420970.42</v>
      </c>
      <c r="AZ326" s="4"/>
      <c r="BA326" s="4"/>
      <c r="BB326" s="4">
        <f t="shared" si="52"/>
        <v>306404405.93999988</v>
      </c>
    </row>
    <row r="327" spans="1:54" x14ac:dyDescent="0.2">
      <c r="A327" s="3">
        <v>37500</v>
      </c>
      <c r="B327" s="4">
        <v>5.58</v>
      </c>
      <c r="C327" s="4">
        <v>908157.33</v>
      </c>
      <c r="D327" s="4">
        <v>60622.25</v>
      </c>
      <c r="E327" s="4">
        <v>0</v>
      </c>
      <c r="F327" s="4">
        <v>330634.32</v>
      </c>
      <c r="G327" s="4">
        <v>146725.97</v>
      </c>
      <c r="H327" s="4">
        <v>473.53</v>
      </c>
      <c r="I327" s="4">
        <v>1080.6400000000001</v>
      </c>
      <c r="J327" s="4">
        <v>593664.1</v>
      </c>
      <c r="K327" s="4">
        <v>189512.84</v>
      </c>
      <c r="L327" s="4">
        <v>0</v>
      </c>
      <c r="M327" s="4">
        <v>281557.61</v>
      </c>
      <c r="N327" s="4">
        <v>201176.84</v>
      </c>
      <c r="O327" s="4">
        <v>230832.22</v>
      </c>
      <c r="P327" s="4">
        <v>493251.9</v>
      </c>
      <c r="Q327" s="4">
        <v>281958.07</v>
      </c>
      <c r="R327" s="4">
        <v>0</v>
      </c>
      <c r="S327" s="4">
        <v>194383.33</v>
      </c>
      <c r="T327" s="4">
        <v>152733.41</v>
      </c>
      <c r="U327" s="4">
        <v>368.57</v>
      </c>
      <c r="V327" s="4">
        <v>1162532.3600000001</v>
      </c>
      <c r="W327" s="4">
        <v>23497946.23</v>
      </c>
      <c r="X327" s="4">
        <v>682040.74</v>
      </c>
      <c r="Y327" s="4">
        <v>47082063.439999998</v>
      </c>
      <c r="Z327" s="4"/>
      <c r="AA327" s="4"/>
      <c r="AB327" s="4">
        <v>322894948.10000002</v>
      </c>
      <c r="AC327" s="4">
        <v>47808.4</v>
      </c>
      <c r="AD327" s="4">
        <v>2413892.39</v>
      </c>
      <c r="AE327" s="4">
        <v>0</v>
      </c>
      <c r="AF327" s="4">
        <v>158857.67000000001</v>
      </c>
      <c r="AG327" s="4">
        <v>0</v>
      </c>
      <c r="AH327" s="4">
        <v>329769.61</v>
      </c>
      <c r="AI327" s="4">
        <v>309223.06</v>
      </c>
      <c r="AJ327" s="4">
        <v>0</v>
      </c>
      <c r="AK327" s="4">
        <v>1068474.01</v>
      </c>
      <c r="AL327" s="4">
        <v>874.41</v>
      </c>
      <c r="AM327" s="4">
        <v>84366.95</v>
      </c>
      <c r="AN327" s="4">
        <v>0</v>
      </c>
      <c r="AO327" s="4">
        <v>521869.42</v>
      </c>
      <c r="AP327" s="4">
        <v>0</v>
      </c>
      <c r="AQ327" s="4">
        <v>40622.99</v>
      </c>
      <c r="AR327" s="4">
        <v>810960.98</v>
      </c>
      <c r="AS327" s="4">
        <v>450.02</v>
      </c>
      <c r="AT327" s="4">
        <v>30691.52</v>
      </c>
      <c r="AU327" s="4">
        <v>1089.0899999999999</v>
      </c>
      <c r="AV327" s="4">
        <v>984449</v>
      </c>
      <c r="AW327" s="4">
        <v>3326249.06</v>
      </c>
      <c r="AX327" s="4">
        <v>3618139.71</v>
      </c>
      <c r="AY327" s="4">
        <v>2412517.42</v>
      </c>
      <c r="AZ327" s="4"/>
      <c r="BA327" s="4"/>
      <c r="BB327" s="4">
        <f t="shared" si="52"/>
        <v>415546975.08999997</v>
      </c>
    </row>
    <row r="328" spans="1:54" x14ac:dyDescent="0.2">
      <c r="A328" s="3">
        <v>37530</v>
      </c>
      <c r="B328" s="4">
        <v>0</v>
      </c>
      <c r="C328" s="4">
        <v>491641.59</v>
      </c>
      <c r="D328" s="4">
        <v>0</v>
      </c>
      <c r="E328" s="4">
        <v>0</v>
      </c>
      <c r="F328" s="4">
        <v>202514.32</v>
      </c>
      <c r="G328" s="4">
        <v>173621.05</v>
      </c>
      <c r="H328" s="4">
        <v>0</v>
      </c>
      <c r="I328" s="4">
        <v>0</v>
      </c>
      <c r="J328" s="4">
        <v>326540.48</v>
      </c>
      <c r="K328" s="4">
        <v>142103.16</v>
      </c>
      <c r="L328" s="4">
        <v>0</v>
      </c>
      <c r="M328" s="4">
        <v>185214.95</v>
      </c>
      <c r="N328" s="4">
        <v>99901.91</v>
      </c>
      <c r="O328" s="4">
        <v>150255.04000000001</v>
      </c>
      <c r="P328" s="4">
        <v>474227.7</v>
      </c>
      <c r="Q328" s="4">
        <v>162669.56</v>
      </c>
      <c r="R328" s="4">
        <v>0</v>
      </c>
      <c r="S328" s="4">
        <v>113100.82</v>
      </c>
      <c r="T328" s="4">
        <v>19635.150000000001</v>
      </c>
      <c r="U328" s="4">
        <v>0</v>
      </c>
      <c r="V328" s="4">
        <v>789141.74</v>
      </c>
      <c r="W328" s="4">
        <v>9150057.5399999991</v>
      </c>
      <c r="X328" s="4">
        <v>327424.7</v>
      </c>
      <c r="Y328" s="4">
        <v>27344559.760000002</v>
      </c>
      <c r="Z328" s="4"/>
      <c r="AA328" s="4"/>
      <c r="AB328" s="4">
        <v>236443337.81</v>
      </c>
      <c r="AC328" s="4">
        <v>52966.57</v>
      </c>
      <c r="AD328" s="4">
        <v>1644363.58</v>
      </c>
      <c r="AE328" s="4">
        <v>0</v>
      </c>
      <c r="AF328" s="4">
        <v>87259.38</v>
      </c>
      <c r="AG328" s="4">
        <v>0</v>
      </c>
      <c r="AH328" s="4">
        <v>289605.76000000001</v>
      </c>
      <c r="AI328" s="4">
        <v>199992.56</v>
      </c>
      <c r="AJ328" s="4">
        <v>0</v>
      </c>
      <c r="AK328" s="4">
        <v>616350.84</v>
      </c>
      <c r="AL328" s="4">
        <v>0</v>
      </c>
      <c r="AM328" s="4">
        <v>20291.28</v>
      </c>
      <c r="AN328" s="4">
        <v>0</v>
      </c>
      <c r="AO328" s="4">
        <v>375074.93</v>
      </c>
      <c r="AP328" s="4">
        <v>0</v>
      </c>
      <c r="AQ328" s="4">
        <v>32286.92</v>
      </c>
      <c r="AR328" s="4">
        <v>579045.81000000006</v>
      </c>
      <c r="AS328" s="4">
        <v>0</v>
      </c>
      <c r="AT328" s="4">
        <v>14060.65</v>
      </c>
      <c r="AU328" s="4">
        <v>0</v>
      </c>
      <c r="AV328" s="4">
        <v>584451.32999999996</v>
      </c>
      <c r="AW328" s="4">
        <v>2750303.49</v>
      </c>
      <c r="AX328" s="4">
        <v>2190195.16</v>
      </c>
      <c r="AY328" s="4">
        <v>1460100.96</v>
      </c>
      <c r="AZ328" s="4"/>
      <c r="BA328" s="4"/>
      <c r="BB328" s="4">
        <f t="shared" si="52"/>
        <v>287492296.49999988</v>
      </c>
    </row>
    <row r="329" spans="1:54" x14ac:dyDescent="0.2">
      <c r="A329" s="3">
        <v>37561</v>
      </c>
      <c r="B329" s="4">
        <v>0</v>
      </c>
      <c r="C329" s="4">
        <v>485819.66</v>
      </c>
      <c r="D329" s="4">
        <v>0</v>
      </c>
      <c r="E329" s="4">
        <v>0</v>
      </c>
      <c r="F329" s="4">
        <v>206493.9</v>
      </c>
      <c r="G329" s="4">
        <v>176604.78</v>
      </c>
      <c r="H329" s="4">
        <v>0</v>
      </c>
      <c r="I329" s="4">
        <v>0</v>
      </c>
      <c r="J329" s="4">
        <v>316705.46999999997</v>
      </c>
      <c r="K329" s="4">
        <v>143212.38</v>
      </c>
      <c r="L329" s="4">
        <v>0</v>
      </c>
      <c r="M329" s="4">
        <v>181079.98</v>
      </c>
      <c r="N329" s="4">
        <v>98955.87</v>
      </c>
      <c r="O329" s="4">
        <v>142813.04</v>
      </c>
      <c r="P329" s="4">
        <v>462660.33</v>
      </c>
      <c r="Q329" s="4">
        <v>140935.22</v>
      </c>
      <c r="R329" s="4">
        <v>0</v>
      </c>
      <c r="S329" s="4">
        <v>119542.03</v>
      </c>
      <c r="T329" s="4">
        <v>17629.8</v>
      </c>
      <c r="U329" s="4">
        <v>0</v>
      </c>
      <c r="V329" s="4">
        <v>751465.13</v>
      </c>
      <c r="W329" s="4">
        <v>9116227.3699999992</v>
      </c>
      <c r="X329" s="4">
        <v>326794.49</v>
      </c>
      <c r="Y329" s="4">
        <v>26732123.050000001</v>
      </c>
      <c r="Z329" s="4"/>
      <c r="AA329" s="4"/>
      <c r="AB329" s="4">
        <v>232763832.22999999</v>
      </c>
      <c r="AC329" s="4">
        <v>53736.98</v>
      </c>
      <c r="AD329" s="4">
        <v>1648830.49</v>
      </c>
      <c r="AE329" s="4">
        <v>0</v>
      </c>
      <c r="AF329" s="4">
        <v>83545.789999999994</v>
      </c>
      <c r="AG329" s="4">
        <v>0</v>
      </c>
      <c r="AH329" s="4">
        <v>288979.01</v>
      </c>
      <c r="AI329" s="4">
        <v>203776.47</v>
      </c>
      <c r="AJ329" s="4">
        <v>0</v>
      </c>
      <c r="AK329" s="4">
        <v>601589.84</v>
      </c>
      <c r="AL329" s="4">
        <v>0</v>
      </c>
      <c r="AM329" s="4">
        <v>20429.3</v>
      </c>
      <c r="AN329" s="4">
        <v>0</v>
      </c>
      <c r="AO329" s="4">
        <v>375516.48</v>
      </c>
      <c r="AP329" s="4">
        <v>0</v>
      </c>
      <c r="AQ329" s="4">
        <v>33837.949999999997</v>
      </c>
      <c r="AR329" s="4">
        <v>592517.44999999995</v>
      </c>
      <c r="AS329" s="4">
        <v>0</v>
      </c>
      <c r="AT329" s="4">
        <v>14085.28</v>
      </c>
      <c r="AU329" s="4">
        <v>0</v>
      </c>
      <c r="AV329" s="4">
        <v>583945.36</v>
      </c>
      <c r="AW329" s="4">
        <v>2709222.24</v>
      </c>
      <c r="AX329" s="4">
        <v>2178903.5499999998</v>
      </c>
      <c r="AY329" s="4">
        <v>1452582.79</v>
      </c>
      <c r="AZ329" s="4"/>
      <c r="BA329" s="4"/>
      <c r="BB329" s="4">
        <f t="shared" si="52"/>
        <v>283024393.7100001</v>
      </c>
    </row>
    <row r="330" spans="1:54" x14ac:dyDescent="0.2">
      <c r="A330" s="3">
        <v>37591</v>
      </c>
      <c r="B330" s="4">
        <v>0</v>
      </c>
      <c r="C330" s="4">
        <v>614030.17000000004</v>
      </c>
      <c r="D330" s="4">
        <v>13763.23</v>
      </c>
      <c r="E330" s="4">
        <v>0</v>
      </c>
      <c r="F330" s="4">
        <v>309474.82</v>
      </c>
      <c r="G330" s="4">
        <v>142398.49</v>
      </c>
      <c r="H330" s="4">
        <v>291.14999999999998</v>
      </c>
      <c r="I330" s="4">
        <v>934.22</v>
      </c>
      <c r="J330" s="4">
        <v>468036.91</v>
      </c>
      <c r="K330" s="4">
        <v>182811.68</v>
      </c>
      <c r="L330" s="4">
        <v>190.94</v>
      </c>
      <c r="M330" s="4">
        <v>251157.87</v>
      </c>
      <c r="N330" s="4">
        <v>186907.68</v>
      </c>
      <c r="O330" s="4">
        <v>225251.92</v>
      </c>
      <c r="P330" s="4">
        <v>711382.19</v>
      </c>
      <c r="Q330" s="4">
        <v>234324.39</v>
      </c>
      <c r="R330" s="4">
        <v>0</v>
      </c>
      <c r="S330" s="4">
        <v>157358.98000000001</v>
      </c>
      <c r="T330" s="4">
        <v>162936.41</v>
      </c>
      <c r="U330" s="4">
        <v>96.46</v>
      </c>
      <c r="V330" s="4">
        <v>1110446.45</v>
      </c>
      <c r="W330" s="4">
        <v>23350003.420000002</v>
      </c>
      <c r="X330" s="4">
        <v>687331.02</v>
      </c>
      <c r="Y330" s="4">
        <v>46012101.189999998</v>
      </c>
      <c r="Z330" s="4"/>
      <c r="AA330" s="4"/>
      <c r="AB330" s="4">
        <v>376655268.55000001</v>
      </c>
      <c r="AC330" s="4">
        <v>63942.31</v>
      </c>
      <c r="AD330" s="4">
        <v>2362156.5299999998</v>
      </c>
      <c r="AE330" s="4">
        <v>0</v>
      </c>
      <c r="AF330" s="4">
        <v>81721.08</v>
      </c>
      <c r="AG330" s="4">
        <v>18073.599999999999</v>
      </c>
      <c r="AH330" s="4">
        <v>310037.03999999998</v>
      </c>
      <c r="AI330" s="4">
        <v>260632.88</v>
      </c>
      <c r="AJ330" s="4">
        <v>0</v>
      </c>
      <c r="AK330" s="4">
        <v>751018.45</v>
      </c>
      <c r="AL330" s="4">
        <v>134.1</v>
      </c>
      <c r="AM330" s="4">
        <v>41022.14</v>
      </c>
      <c r="AN330" s="4">
        <v>0</v>
      </c>
      <c r="AO330" s="4">
        <v>487944.36</v>
      </c>
      <c r="AP330" s="4">
        <v>0</v>
      </c>
      <c r="AQ330" s="4">
        <v>34172.99</v>
      </c>
      <c r="AR330" s="4">
        <v>355736.04</v>
      </c>
      <c r="AS330" s="4">
        <v>797.63</v>
      </c>
      <c r="AT330" s="4">
        <v>29456.53</v>
      </c>
      <c r="AU330" s="4">
        <v>0</v>
      </c>
      <c r="AV330" s="4">
        <v>800054.66</v>
      </c>
      <c r="AW330" s="4">
        <v>3416177.56</v>
      </c>
      <c r="AX330" s="4">
        <v>3051563.63</v>
      </c>
      <c r="AY330" s="4">
        <v>2033555.68</v>
      </c>
      <c r="AZ330" s="4"/>
      <c r="BA330" s="4"/>
      <c r="BB330" s="4">
        <f t="shared" si="52"/>
        <v>465574695.35000002</v>
      </c>
    </row>
    <row r="331" spans="1:54" ht="15.75" thickBot="1" x14ac:dyDescent="0.25">
      <c r="A331" s="1" t="s">
        <v>3</v>
      </c>
      <c r="B331" s="5">
        <f>SUM(B319:B330)</f>
        <v>2078.1099999999997</v>
      </c>
      <c r="C331" s="5">
        <f t="shared" ref="C331:AY331" si="53">SUM(C319:C330)</f>
        <v>6932470.0899999999</v>
      </c>
      <c r="D331" s="5">
        <f>SUM(D319:D330)</f>
        <v>119364.93</v>
      </c>
      <c r="E331" s="5">
        <f t="shared" si="53"/>
        <v>0</v>
      </c>
      <c r="F331" s="5">
        <f t="shared" si="53"/>
        <v>2966491.4599999995</v>
      </c>
      <c r="G331" s="5">
        <f t="shared" si="53"/>
        <v>2008346.44</v>
      </c>
      <c r="H331" s="5">
        <f t="shared" si="53"/>
        <v>1544.9699999999998</v>
      </c>
      <c r="I331" s="5">
        <f t="shared" si="53"/>
        <v>4960.170000000001</v>
      </c>
      <c r="J331" s="5">
        <f t="shared" si="53"/>
        <v>4555942.7300000004</v>
      </c>
      <c r="K331" s="5">
        <f t="shared" si="53"/>
        <v>1841657.0999999999</v>
      </c>
      <c r="L331" s="5">
        <f t="shared" si="53"/>
        <v>270.43</v>
      </c>
      <c r="M331" s="5">
        <f t="shared" si="53"/>
        <v>2547309.83</v>
      </c>
      <c r="N331" s="5">
        <f t="shared" si="53"/>
        <v>1525385.2099999997</v>
      </c>
      <c r="O331" s="5">
        <f t="shared" si="53"/>
        <v>2204860.29</v>
      </c>
      <c r="P331" s="5">
        <f t="shared" si="53"/>
        <v>6527547.620000001</v>
      </c>
      <c r="Q331" s="5">
        <f t="shared" si="53"/>
        <v>2198907.42</v>
      </c>
      <c r="R331" s="5">
        <f t="shared" si="53"/>
        <v>0</v>
      </c>
      <c r="S331" s="5">
        <f t="shared" si="53"/>
        <v>1751176.7900000003</v>
      </c>
      <c r="T331" s="5">
        <f t="shared" si="53"/>
        <v>848080.55000000016</v>
      </c>
      <c r="U331" s="5">
        <f t="shared" si="53"/>
        <v>1184.1400000000001</v>
      </c>
      <c r="V331" s="5">
        <f t="shared" si="53"/>
        <v>11087256.23</v>
      </c>
      <c r="W331" s="5">
        <f t="shared" si="53"/>
        <v>158874743.03000003</v>
      </c>
      <c r="X331" s="5">
        <f t="shared" si="53"/>
        <v>5370139.540000001</v>
      </c>
      <c r="Y331" s="5">
        <f t="shared" si="53"/>
        <v>394824525.23000002</v>
      </c>
      <c r="Z331" s="5"/>
      <c r="AA331" s="5"/>
      <c r="AB331" s="5">
        <f t="shared" si="53"/>
        <v>3308220344.4400005</v>
      </c>
      <c r="AC331" s="5">
        <f t="shared" si="53"/>
        <v>735152.79999999981</v>
      </c>
      <c r="AD331" s="5">
        <f t="shared" si="53"/>
        <v>22619790.809999999</v>
      </c>
      <c r="AE331" s="5">
        <f t="shared" si="53"/>
        <v>0</v>
      </c>
      <c r="AF331" s="5">
        <f t="shared" si="53"/>
        <v>1201928.6400000001</v>
      </c>
      <c r="AG331" s="5">
        <f t="shared" si="53"/>
        <v>18073.599999999999</v>
      </c>
      <c r="AH331" s="5">
        <f t="shared" si="53"/>
        <v>3819452.5299999993</v>
      </c>
      <c r="AI331" s="5">
        <f t="shared" si="53"/>
        <v>2617267.1100000003</v>
      </c>
      <c r="AJ331" s="5">
        <f t="shared" si="53"/>
        <v>0</v>
      </c>
      <c r="AK331" s="5">
        <f t="shared" si="53"/>
        <v>7980456.5699999994</v>
      </c>
      <c r="AL331" s="5">
        <f t="shared" si="53"/>
        <v>2139.3999999999996</v>
      </c>
      <c r="AM331" s="5">
        <f t="shared" si="53"/>
        <v>331245.25000000006</v>
      </c>
      <c r="AN331" s="5">
        <f t="shared" si="53"/>
        <v>0</v>
      </c>
      <c r="AO331" s="5">
        <f t="shared" si="53"/>
        <v>5161922.0000000009</v>
      </c>
      <c r="AP331" s="5">
        <f t="shared" si="53"/>
        <v>0</v>
      </c>
      <c r="AQ331" s="5">
        <f t="shared" si="53"/>
        <v>456396.79</v>
      </c>
      <c r="AR331" s="5">
        <f t="shared" si="53"/>
        <v>3840729.9299999997</v>
      </c>
      <c r="AS331" s="5">
        <f t="shared" si="53"/>
        <v>2492.89</v>
      </c>
      <c r="AT331" s="5">
        <f t="shared" si="53"/>
        <v>215828.99999999997</v>
      </c>
      <c r="AU331" s="5">
        <f t="shared" si="53"/>
        <v>1152.98</v>
      </c>
      <c r="AV331" s="5">
        <f t="shared" si="53"/>
        <v>8061755.6600000011</v>
      </c>
      <c r="AW331" s="5">
        <f t="shared" si="53"/>
        <v>33725537.07</v>
      </c>
      <c r="AX331" s="5">
        <f t="shared" si="53"/>
        <v>30281012.640000001</v>
      </c>
      <c r="AY331" s="5">
        <f t="shared" si="53"/>
        <v>20186630.359999999</v>
      </c>
      <c r="AZ331" s="5"/>
      <c r="BA331" s="5"/>
      <c r="BB331" s="5">
        <f t="shared" si="52"/>
        <v>4055673552.7800007</v>
      </c>
    </row>
    <row r="332" spans="1:54" ht="15.75" thickTop="1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</row>
    <row r="333" spans="1:54" x14ac:dyDescent="0.2">
      <c r="A333" s="3">
        <v>36892</v>
      </c>
      <c r="B333" s="4">
        <v>0</v>
      </c>
      <c r="C333" s="4">
        <v>477783.72</v>
      </c>
      <c r="D333" s="4">
        <v>0</v>
      </c>
      <c r="E333" s="4">
        <v>0</v>
      </c>
      <c r="F333" s="4">
        <v>191762.08</v>
      </c>
      <c r="G333" s="4">
        <v>188660.77</v>
      </c>
      <c r="H333" s="4">
        <v>0</v>
      </c>
      <c r="I333" s="4">
        <v>0</v>
      </c>
      <c r="J333" s="4">
        <v>383943.84</v>
      </c>
      <c r="K333" s="4">
        <v>149475.19</v>
      </c>
      <c r="L333" s="4">
        <v>0</v>
      </c>
      <c r="M333" s="4">
        <v>195833.59</v>
      </c>
      <c r="N333" s="4">
        <v>102522.34</v>
      </c>
      <c r="O333" s="4">
        <v>143703.22</v>
      </c>
      <c r="P333" s="4">
        <v>437534.33</v>
      </c>
      <c r="Q333" s="4">
        <v>120415.09</v>
      </c>
      <c r="R333" s="4">
        <v>0</v>
      </c>
      <c r="S333" s="4">
        <v>136404.45000000001</v>
      </c>
      <c r="T333" s="4">
        <v>20921.759999999998</v>
      </c>
      <c r="U333" s="4">
        <v>0</v>
      </c>
      <c r="V333" s="4">
        <v>820925.45</v>
      </c>
      <c r="W333" s="4">
        <v>12206763.959999999</v>
      </c>
      <c r="X333" s="4">
        <v>346841.01</v>
      </c>
      <c r="Y333" s="4">
        <v>30928095.390000001</v>
      </c>
      <c r="Z333" s="4"/>
      <c r="AA333" s="4"/>
      <c r="AB333" s="4">
        <v>308727961.63</v>
      </c>
      <c r="AC333" s="4">
        <v>78163.34</v>
      </c>
      <c r="AD333" s="4">
        <v>1610545.83</v>
      </c>
      <c r="AE333" s="4">
        <v>0</v>
      </c>
      <c r="AF333" s="4">
        <v>79202.37</v>
      </c>
      <c r="AG333" s="4">
        <v>0</v>
      </c>
      <c r="AH333" s="4">
        <v>311989.53999999998</v>
      </c>
      <c r="AI333" s="4">
        <v>230647.55</v>
      </c>
      <c r="AJ333" s="4">
        <v>0</v>
      </c>
      <c r="AK333" s="4">
        <v>603177.81999999995</v>
      </c>
      <c r="AL333" s="4">
        <v>0</v>
      </c>
      <c r="AM333" s="4">
        <v>28740.79</v>
      </c>
      <c r="AN333" s="4">
        <v>0</v>
      </c>
      <c r="AO333" s="4">
        <v>371913.41</v>
      </c>
      <c r="AP333" s="4">
        <v>0</v>
      </c>
      <c r="AQ333" s="4">
        <v>36198.53</v>
      </c>
      <c r="AR333" s="4">
        <v>0</v>
      </c>
      <c r="AS333" s="4">
        <v>0</v>
      </c>
      <c r="AT333" s="4">
        <v>16629.900000000001</v>
      </c>
      <c r="AU333" s="4">
        <v>0</v>
      </c>
      <c r="AV333" s="4">
        <v>588418.93000000005</v>
      </c>
      <c r="AW333" s="4">
        <v>3298600.56</v>
      </c>
      <c r="AX333" s="4">
        <v>2256332.4300000002</v>
      </c>
      <c r="AY333" s="4">
        <v>1504123.5</v>
      </c>
      <c r="AZ333" s="4"/>
      <c r="BA333" s="4"/>
      <c r="BB333" s="4">
        <f t="shared" ref="BB333:BB345" si="54">SUM(B333:AY333)</f>
        <v>366594232.31999999</v>
      </c>
    </row>
    <row r="334" spans="1:54" x14ac:dyDescent="0.2">
      <c r="A334" s="3">
        <v>36923</v>
      </c>
      <c r="B334" s="4">
        <v>0</v>
      </c>
      <c r="C334" s="4">
        <v>363502.9</v>
      </c>
      <c r="D334" s="4">
        <v>0</v>
      </c>
      <c r="E334" s="4">
        <v>0</v>
      </c>
      <c r="F334" s="4">
        <v>144249.25</v>
      </c>
      <c r="G334" s="4">
        <v>132989.17000000001</v>
      </c>
      <c r="H334" s="4">
        <v>0</v>
      </c>
      <c r="I334" s="4">
        <v>0</v>
      </c>
      <c r="J334" s="4">
        <v>287742.68</v>
      </c>
      <c r="K334" s="4">
        <v>104335.37</v>
      </c>
      <c r="L334" s="4">
        <v>0</v>
      </c>
      <c r="M334" s="4">
        <v>154869.53</v>
      </c>
      <c r="N334" s="4">
        <v>78169.91</v>
      </c>
      <c r="O334" s="4">
        <v>109363.34</v>
      </c>
      <c r="P334" s="4">
        <v>309535.33</v>
      </c>
      <c r="Q334" s="4">
        <v>87116.31</v>
      </c>
      <c r="R334" s="4">
        <v>0</v>
      </c>
      <c r="S334" s="4">
        <v>91518.05</v>
      </c>
      <c r="T334" s="4">
        <v>39641.94</v>
      </c>
      <c r="U334" s="4">
        <v>0</v>
      </c>
      <c r="V334" s="4">
        <v>614442.78</v>
      </c>
      <c r="W334" s="4">
        <v>7202677.3700000001</v>
      </c>
      <c r="X334" s="4">
        <v>249891.39</v>
      </c>
      <c r="Y334" s="4">
        <v>22552893.600000001</v>
      </c>
      <c r="Z334" s="4"/>
      <c r="AA334" s="4"/>
      <c r="AB334" s="4">
        <v>221633414.70999998</v>
      </c>
      <c r="AC334" s="4">
        <v>60528.5</v>
      </c>
      <c r="AD334" s="4">
        <v>1190055.77</v>
      </c>
      <c r="AE334" s="4">
        <v>0</v>
      </c>
      <c r="AF334" s="4">
        <v>61112.81</v>
      </c>
      <c r="AG334" s="4">
        <v>0</v>
      </c>
      <c r="AH334" s="4">
        <v>245534.73</v>
      </c>
      <c r="AI334" s="4">
        <v>159538.21</v>
      </c>
      <c r="AJ334" s="4">
        <v>0</v>
      </c>
      <c r="AK334" s="4">
        <v>425479.12</v>
      </c>
      <c r="AL334" s="4">
        <v>0</v>
      </c>
      <c r="AM334" s="4">
        <v>21593.45</v>
      </c>
      <c r="AN334" s="4">
        <v>0</v>
      </c>
      <c r="AO334" s="4">
        <v>266401.28000000003</v>
      </c>
      <c r="AP334" s="4">
        <v>0</v>
      </c>
      <c r="AQ334" s="4">
        <v>34527.160000000003</v>
      </c>
      <c r="AR334" s="4">
        <v>0</v>
      </c>
      <c r="AS334" s="4">
        <v>0</v>
      </c>
      <c r="AT334" s="4">
        <v>11489.25</v>
      </c>
      <c r="AU334" s="4">
        <v>0</v>
      </c>
      <c r="AV334" s="4">
        <v>422502.86</v>
      </c>
      <c r="AW334" s="4">
        <v>2451189.29</v>
      </c>
      <c r="AX334" s="4">
        <v>1731062.97</v>
      </c>
      <c r="AY334" s="4">
        <v>1154040.6399999999</v>
      </c>
      <c r="AZ334" s="4"/>
      <c r="BA334" s="4"/>
      <c r="BB334" s="4">
        <f t="shared" si="54"/>
        <v>262391409.66999999</v>
      </c>
    </row>
    <row r="335" spans="1:54" x14ac:dyDescent="0.2">
      <c r="A335" s="3">
        <v>36951</v>
      </c>
      <c r="B335" s="4">
        <v>0</v>
      </c>
      <c r="C335" s="4">
        <v>792915.62</v>
      </c>
      <c r="D335" s="4">
        <v>0</v>
      </c>
      <c r="E335" s="4">
        <v>0</v>
      </c>
      <c r="F335" s="4">
        <v>281963.55</v>
      </c>
      <c r="G335" s="4">
        <v>150063.91</v>
      </c>
      <c r="H335" s="4">
        <v>419.85</v>
      </c>
      <c r="I335" s="4">
        <v>2939.24</v>
      </c>
      <c r="J335" s="4">
        <v>442010.45</v>
      </c>
      <c r="K335" s="4">
        <v>249829.97</v>
      </c>
      <c r="L335" s="4">
        <v>0</v>
      </c>
      <c r="M335" s="4">
        <v>211399.55</v>
      </c>
      <c r="N335" s="4">
        <v>198513.15</v>
      </c>
      <c r="O335" s="4">
        <v>229601.1</v>
      </c>
      <c r="P335" s="4">
        <v>628687.39</v>
      </c>
      <c r="Q335" s="4">
        <v>250603.42</v>
      </c>
      <c r="R335" s="4">
        <v>0</v>
      </c>
      <c r="S335" s="4">
        <v>242948.61</v>
      </c>
      <c r="T335" s="4">
        <v>71882</v>
      </c>
      <c r="U335" s="4">
        <v>0</v>
      </c>
      <c r="V335" s="4">
        <v>1357716.14</v>
      </c>
      <c r="W335" s="4">
        <v>24404745.450000003</v>
      </c>
      <c r="X335" s="4">
        <v>759023.69</v>
      </c>
      <c r="Y335" s="4">
        <v>44313153.289999999</v>
      </c>
      <c r="Z335" s="4"/>
      <c r="AA335" s="4"/>
      <c r="AB335" s="4">
        <v>379490978.15999997</v>
      </c>
      <c r="AC335" s="4">
        <v>115466.39</v>
      </c>
      <c r="AD335" s="4">
        <v>2531869.23</v>
      </c>
      <c r="AE335" s="4">
        <v>0</v>
      </c>
      <c r="AF335" s="4">
        <v>153447.4</v>
      </c>
      <c r="AG335" s="4">
        <v>0</v>
      </c>
      <c r="AH335" s="4">
        <v>447328.94</v>
      </c>
      <c r="AI335" s="4">
        <v>317956.65000000002</v>
      </c>
      <c r="AJ335" s="4">
        <v>0</v>
      </c>
      <c r="AK335" s="4">
        <v>908450.59</v>
      </c>
      <c r="AL335" s="4">
        <v>423.33</v>
      </c>
      <c r="AM335" s="4">
        <v>61533.54</v>
      </c>
      <c r="AN335" s="4">
        <v>0</v>
      </c>
      <c r="AO335" s="4">
        <v>543292.4</v>
      </c>
      <c r="AP335" s="4">
        <v>0</v>
      </c>
      <c r="AQ335" s="4">
        <v>53895.37</v>
      </c>
      <c r="AR335" s="4">
        <v>595.16</v>
      </c>
      <c r="AS335" s="4">
        <v>0</v>
      </c>
      <c r="AT335" s="4">
        <v>58954.080000000002</v>
      </c>
      <c r="AU335" s="4">
        <v>215.35</v>
      </c>
      <c r="AV335" s="4">
        <v>936779.81</v>
      </c>
      <c r="AW335" s="4">
        <v>3840357.49</v>
      </c>
      <c r="AX335" s="4">
        <v>3210676.64</v>
      </c>
      <c r="AY335" s="4">
        <v>2140884.09</v>
      </c>
      <c r="AZ335" s="4"/>
      <c r="BA335" s="4"/>
      <c r="BB335" s="4">
        <f t="shared" si="54"/>
        <v>469401520.99999988</v>
      </c>
    </row>
    <row r="336" spans="1:54" x14ac:dyDescent="0.2">
      <c r="A336" s="3">
        <v>36982</v>
      </c>
      <c r="B336" s="4">
        <v>0</v>
      </c>
      <c r="C336" s="4">
        <v>425674.98</v>
      </c>
      <c r="D336" s="4">
        <v>0</v>
      </c>
      <c r="E336" s="4">
        <v>0</v>
      </c>
      <c r="F336" s="4">
        <v>228826.77</v>
      </c>
      <c r="G336" s="4">
        <v>171645.56</v>
      </c>
      <c r="H336" s="4">
        <v>0</v>
      </c>
      <c r="I336" s="4">
        <v>0</v>
      </c>
      <c r="J336" s="4">
        <v>308361.13</v>
      </c>
      <c r="K336" s="4">
        <v>140936.97</v>
      </c>
      <c r="L336" s="4">
        <v>0</v>
      </c>
      <c r="M336" s="4">
        <v>177590.47</v>
      </c>
      <c r="N336" s="4">
        <v>117321.51</v>
      </c>
      <c r="O336" s="4">
        <v>134902.04</v>
      </c>
      <c r="P336" s="4">
        <v>431229.77</v>
      </c>
      <c r="Q336" s="4">
        <v>116555.54</v>
      </c>
      <c r="R336" s="4">
        <v>0</v>
      </c>
      <c r="S336" s="4">
        <v>133631.85999999999</v>
      </c>
      <c r="T336" s="4">
        <v>15597.78</v>
      </c>
      <c r="U336" s="4">
        <v>0</v>
      </c>
      <c r="V336" s="4">
        <v>764876.21</v>
      </c>
      <c r="W336" s="4">
        <v>9727168.0199999996</v>
      </c>
      <c r="X336" s="4">
        <v>332900.38</v>
      </c>
      <c r="Y336" s="4">
        <v>26424223.259999998</v>
      </c>
      <c r="Z336" s="4"/>
      <c r="AA336" s="4"/>
      <c r="AB336" s="4">
        <v>250267743.73000002</v>
      </c>
      <c r="AC336" s="4">
        <v>67868.27</v>
      </c>
      <c r="AD336" s="4">
        <v>1341787.5</v>
      </c>
      <c r="AE336" s="4">
        <v>0</v>
      </c>
      <c r="AF336" s="4">
        <v>74648.429999999993</v>
      </c>
      <c r="AG336" s="4">
        <v>0</v>
      </c>
      <c r="AH336" s="4">
        <v>255772.65</v>
      </c>
      <c r="AI336" s="4">
        <v>191867.66</v>
      </c>
      <c r="AJ336" s="4">
        <v>0</v>
      </c>
      <c r="AK336" s="4">
        <v>578850.59</v>
      </c>
      <c r="AL336" s="4">
        <v>0</v>
      </c>
      <c r="AM336" s="4">
        <v>22960.37</v>
      </c>
      <c r="AN336" s="4">
        <v>0</v>
      </c>
      <c r="AO336" s="4">
        <v>337101.56</v>
      </c>
      <c r="AP336" s="4">
        <v>0</v>
      </c>
      <c r="AQ336" s="4">
        <v>35836.870000000003</v>
      </c>
      <c r="AR336" s="4">
        <v>0</v>
      </c>
      <c r="AS336" s="4">
        <v>0</v>
      </c>
      <c r="AT336" s="4">
        <v>13901.64</v>
      </c>
      <c r="AU336" s="4">
        <v>0</v>
      </c>
      <c r="AV336" s="4">
        <v>576783.67000000004</v>
      </c>
      <c r="AW336" s="4">
        <v>2745590.71</v>
      </c>
      <c r="AX336" s="4">
        <v>1976429.57</v>
      </c>
      <c r="AY336" s="4">
        <v>1317579.18</v>
      </c>
      <c r="AZ336" s="4"/>
      <c r="BA336" s="4"/>
      <c r="BB336" s="4">
        <f t="shared" si="54"/>
        <v>299456164.64999998</v>
      </c>
    </row>
    <row r="337" spans="1:54" x14ac:dyDescent="0.2">
      <c r="A337" s="3">
        <v>37012</v>
      </c>
      <c r="B337" s="4">
        <v>0</v>
      </c>
      <c r="C337" s="4">
        <v>434704.75</v>
      </c>
      <c r="D337" s="4">
        <v>0</v>
      </c>
      <c r="E337" s="4">
        <v>0</v>
      </c>
      <c r="F337" s="4">
        <v>195723.15</v>
      </c>
      <c r="G337" s="4">
        <v>179101.71</v>
      </c>
      <c r="H337" s="4">
        <v>0</v>
      </c>
      <c r="I337" s="4">
        <v>0</v>
      </c>
      <c r="J337" s="4">
        <v>313946.65000000002</v>
      </c>
      <c r="K337" s="4">
        <v>143664.46</v>
      </c>
      <c r="L337" s="4">
        <v>0</v>
      </c>
      <c r="M337" s="4">
        <v>183521.64</v>
      </c>
      <c r="N337" s="4">
        <v>99635.21</v>
      </c>
      <c r="O337" s="4">
        <v>133000.6</v>
      </c>
      <c r="P337" s="4">
        <v>430226.79</v>
      </c>
      <c r="Q337" s="4">
        <v>111013.89</v>
      </c>
      <c r="R337" s="4">
        <v>0</v>
      </c>
      <c r="S337" s="4">
        <v>126395.18</v>
      </c>
      <c r="T337" s="4">
        <v>36701.72</v>
      </c>
      <c r="U337" s="4">
        <v>0</v>
      </c>
      <c r="V337" s="4">
        <v>737011.33</v>
      </c>
      <c r="W337" s="4">
        <v>9070267.959999999</v>
      </c>
      <c r="X337" s="4">
        <v>412683.55</v>
      </c>
      <c r="Y337" s="4">
        <v>26772017.039999999</v>
      </c>
      <c r="Z337" s="4"/>
      <c r="AA337" s="4"/>
      <c r="AB337" s="4">
        <v>252922069.97999999</v>
      </c>
      <c r="AC337" s="4">
        <v>66515.789999999994</v>
      </c>
      <c r="AD337" s="4">
        <v>1319141.99</v>
      </c>
      <c r="AE337" s="4">
        <v>0</v>
      </c>
      <c r="AF337" s="4">
        <v>79178.23</v>
      </c>
      <c r="AG337" s="4">
        <v>0</v>
      </c>
      <c r="AH337" s="4">
        <v>276355.77</v>
      </c>
      <c r="AI337" s="4">
        <v>196935.09</v>
      </c>
      <c r="AJ337" s="4">
        <v>0</v>
      </c>
      <c r="AK337" s="4">
        <v>564782.15</v>
      </c>
      <c r="AL337" s="4">
        <v>0</v>
      </c>
      <c r="AM337" s="4">
        <v>23972.67</v>
      </c>
      <c r="AN337" s="4">
        <v>0</v>
      </c>
      <c r="AO337" s="4">
        <v>376460.67</v>
      </c>
      <c r="AP337" s="4">
        <v>0</v>
      </c>
      <c r="AQ337" s="4">
        <v>33649.42</v>
      </c>
      <c r="AR337" s="4">
        <v>0</v>
      </c>
      <c r="AS337" s="4">
        <v>0</v>
      </c>
      <c r="AT337" s="4">
        <v>14824.28</v>
      </c>
      <c r="AU337" s="4">
        <v>0</v>
      </c>
      <c r="AV337" s="4">
        <v>569627.97</v>
      </c>
      <c r="AW337" s="4">
        <v>2630285.7200000002</v>
      </c>
      <c r="AX337" s="4">
        <v>2012637.71</v>
      </c>
      <c r="AY337" s="4">
        <v>1341742.95</v>
      </c>
      <c r="AZ337" s="4"/>
      <c r="BA337" s="4"/>
      <c r="BB337" s="4">
        <f t="shared" si="54"/>
        <v>301807796.02000004</v>
      </c>
    </row>
    <row r="338" spans="1:54" x14ac:dyDescent="0.2">
      <c r="A338" s="3">
        <v>37043</v>
      </c>
      <c r="B338" s="4">
        <v>708.85</v>
      </c>
      <c r="C338" s="4">
        <v>770105.34</v>
      </c>
      <c r="D338" s="4">
        <v>0</v>
      </c>
      <c r="E338" s="4">
        <v>0</v>
      </c>
      <c r="F338" s="4">
        <v>291941.81</v>
      </c>
      <c r="G338" s="4">
        <v>251455.81</v>
      </c>
      <c r="H338" s="4">
        <v>1566.07</v>
      </c>
      <c r="I338" s="4">
        <v>5610.09</v>
      </c>
      <c r="J338" s="4">
        <v>504804.04</v>
      </c>
      <c r="K338" s="4">
        <v>300925.59000000003</v>
      </c>
      <c r="L338" s="4">
        <v>410.04</v>
      </c>
      <c r="M338" s="4">
        <v>186939.81</v>
      </c>
      <c r="N338" s="4">
        <v>185509.21</v>
      </c>
      <c r="O338" s="4">
        <v>184963.31</v>
      </c>
      <c r="P338" s="4">
        <v>600958.48</v>
      </c>
      <c r="Q338" s="4">
        <v>226162.37</v>
      </c>
      <c r="R338" s="4">
        <v>0</v>
      </c>
      <c r="S338" s="4">
        <v>151618.66</v>
      </c>
      <c r="T338" s="4">
        <v>89369.27</v>
      </c>
      <c r="U338" s="4">
        <v>259.92</v>
      </c>
      <c r="V338" s="4">
        <v>1302298.47</v>
      </c>
      <c r="W338" s="4">
        <v>20962483.890000001</v>
      </c>
      <c r="X338" s="4">
        <v>989455.06</v>
      </c>
      <c r="Y338" s="4">
        <v>40416271.089999996</v>
      </c>
      <c r="Z338" s="4"/>
      <c r="AA338" s="4"/>
      <c r="AB338" s="4">
        <v>334709930.72000003</v>
      </c>
      <c r="AC338" s="4">
        <v>99506.29</v>
      </c>
      <c r="AD338" s="4">
        <v>2854296.89</v>
      </c>
      <c r="AE338" s="4">
        <v>0</v>
      </c>
      <c r="AF338" s="4">
        <v>150815.18</v>
      </c>
      <c r="AG338" s="4">
        <v>0</v>
      </c>
      <c r="AH338" s="4">
        <v>381366.27</v>
      </c>
      <c r="AI338" s="4">
        <v>231970.36</v>
      </c>
      <c r="AJ338" s="4">
        <v>0</v>
      </c>
      <c r="AK338" s="4">
        <v>707116.25</v>
      </c>
      <c r="AL338" s="4">
        <v>4451.91</v>
      </c>
      <c r="AM338" s="4">
        <v>24738.78</v>
      </c>
      <c r="AN338" s="4">
        <v>0</v>
      </c>
      <c r="AO338" s="4">
        <v>596661.59</v>
      </c>
      <c r="AP338" s="4">
        <v>0</v>
      </c>
      <c r="AQ338" s="4">
        <v>41296.160000000003</v>
      </c>
      <c r="AR338" s="4">
        <v>675.87</v>
      </c>
      <c r="AS338" s="4">
        <v>1780.59</v>
      </c>
      <c r="AT338" s="4">
        <v>20751.59</v>
      </c>
      <c r="AU338" s="4">
        <v>75.55</v>
      </c>
      <c r="AV338" s="4">
        <v>868717.05</v>
      </c>
      <c r="AW338" s="4">
        <v>3208295.54</v>
      </c>
      <c r="AX338" s="4">
        <v>2966154.68</v>
      </c>
      <c r="AY338" s="4">
        <v>1977059.83</v>
      </c>
      <c r="AZ338" s="4"/>
      <c r="BA338" s="4"/>
      <c r="BB338" s="4">
        <f t="shared" si="54"/>
        <v>416269478.28000003</v>
      </c>
    </row>
    <row r="339" spans="1:54" x14ac:dyDescent="0.2">
      <c r="A339" s="3">
        <v>37073</v>
      </c>
      <c r="B339" s="4">
        <v>0</v>
      </c>
      <c r="C339" s="4">
        <v>472586.88</v>
      </c>
      <c r="D339" s="4">
        <v>0</v>
      </c>
      <c r="E339" s="4">
        <v>0</v>
      </c>
      <c r="F339" s="4">
        <v>233496.25</v>
      </c>
      <c r="G339" s="4">
        <v>206141.04</v>
      </c>
      <c r="H339" s="4">
        <v>0</v>
      </c>
      <c r="I339" s="4">
        <v>0</v>
      </c>
      <c r="J339" s="4">
        <v>351590.88</v>
      </c>
      <c r="K339" s="4">
        <v>160533.56</v>
      </c>
      <c r="L339" s="4">
        <v>0</v>
      </c>
      <c r="M339" s="4">
        <v>208408.45</v>
      </c>
      <c r="N339" s="4">
        <v>109430.86</v>
      </c>
      <c r="O339" s="4">
        <v>148761.06</v>
      </c>
      <c r="P339" s="4">
        <v>487238.9</v>
      </c>
      <c r="Q339" s="4">
        <v>142202.23000000001</v>
      </c>
      <c r="R339" s="4">
        <v>0</v>
      </c>
      <c r="S339" s="4">
        <v>119769.16</v>
      </c>
      <c r="T339" s="4">
        <v>57599.24</v>
      </c>
      <c r="U339" s="4">
        <v>0</v>
      </c>
      <c r="V339" s="4">
        <v>833737.69</v>
      </c>
      <c r="W339" s="4">
        <v>11420604.24</v>
      </c>
      <c r="X339" s="4">
        <v>479444.75</v>
      </c>
      <c r="Y339" s="4">
        <v>29643617.359999999</v>
      </c>
      <c r="Z339" s="4"/>
      <c r="AA339" s="4"/>
      <c r="AB339" s="4">
        <v>277981746.02999997</v>
      </c>
      <c r="AC339" s="4">
        <v>53981.57</v>
      </c>
      <c r="AD339" s="4">
        <v>1827344.2</v>
      </c>
      <c r="AE339" s="4">
        <v>0</v>
      </c>
      <c r="AF339" s="4">
        <v>81605.86</v>
      </c>
      <c r="AG339" s="4">
        <v>0</v>
      </c>
      <c r="AH339" s="4">
        <v>301858.28000000003</v>
      </c>
      <c r="AI339" s="4">
        <v>200353.13</v>
      </c>
      <c r="AJ339" s="4">
        <v>0</v>
      </c>
      <c r="AK339" s="4">
        <v>614091.75</v>
      </c>
      <c r="AL339" s="4">
        <v>0</v>
      </c>
      <c r="AM339" s="4">
        <v>16145.66</v>
      </c>
      <c r="AN339" s="4">
        <v>0</v>
      </c>
      <c r="AO339" s="4">
        <v>406542.42</v>
      </c>
      <c r="AP339" s="4">
        <v>0</v>
      </c>
      <c r="AQ339" s="4">
        <v>39557.79</v>
      </c>
      <c r="AR339" s="4">
        <v>0</v>
      </c>
      <c r="AS339" s="4">
        <v>0</v>
      </c>
      <c r="AT339" s="4">
        <v>16533.8</v>
      </c>
      <c r="AU339" s="4">
        <v>0</v>
      </c>
      <c r="AV339" s="4">
        <v>682116.46</v>
      </c>
      <c r="AW339" s="4">
        <v>2846481.6</v>
      </c>
      <c r="AX339" s="4">
        <v>2187378.59</v>
      </c>
      <c r="AY339" s="4">
        <v>1458251.06</v>
      </c>
      <c r="AZ339" s="4"/>
      <c r="BA339" s="4"/>
      <c r="BB339" s="4">
        <f t="shared" si="54"/>
        <v>333789150.75</v>
      </c>
    </row>
    <row r="340" spans="1:54" x14ac:dyDescent="0.2">
      <c r="A340" s="3">
        <v>37104</v>
      </c>
      <c r="B340" s="4">
        <v>0</v>
      </c>
      <c r="C340" s="4">
        <v>458439.83</v>
      </c>
      <c r="D340" s="4">
        <v>0</v>
      </c>
      <c r="E340" s="4">
        <v>0</v>
      </c>
      <c r="F340" s="4">
        <v>228508.85</v>
      </c>
      <c r="G340" s="4">
        <v>174617.52</v>
      </c>
      <c r="H340" s="4">
        <v>0</v>
      </c>
      <c r="I340" s="4">
        <v>0</v>
      </c>
      <c r="J340" s="4">
        <v>318584.48</v>
      </c>
      <c r="K340" s="4">
        <v>151163.72</v>
      </c>
      <c r="L340" s="4">
        <v>0</v>
      </c>
      <c r="M340" s="4">
        <v>182215.64</v>
      </c>
      <c r="N340" s="4">
        <v>110179.09</v>
      </c>
      <c r="O340" s="4">
        <v>126207.14</v>
      </c>
      <c r="P340" s="4">
        <v>424909.25</v>
      </c>
      <c r="Q340" s="4">
        <v>121111.16</v>
      </c>
      <c r="R340" s="4">
        <v>0</v>
      </c>
      <c r="S340" s="4">
        <v>106762.41</v>
      </c>
      <c r="T340" s="4">
        <v>19143.86</v>
      </c>
      <c r="U340" s="4">
        <v>0</v>
      </c>
      <c r="V340" s="4">
        <v>756554.9</v>
      </c>
      <c r="W340" s="4">
        <v>8439155.9600000009</v>
      </c>
      <c r="X340" s="4">
        <v>431215.48</v>
      </c>
      <c r="Y340" s="4">
        <v>27207338.48</v>
      </c>
      <c r="Z340" s="4"/>
      <c r="AA340" s="4"/>
      <c r="AB340" s="4">
        <v>251615116.21000001</v>
      </c>
      <c r="AC340" s="4">
        <v>53447.92</v>
      </c>
      <c r="AD340" s="4">
        <v>1719912.82</v>
      </c>
      <c r="AE340" s="4">
        <v>0</v>
      </c>
      <c r="AF340" s="4">
        <v>75154.28</v>
      </c>
      <c r="AG340" s="4">
        <v>0</v>
      </c>
      <c r="AH340" s="4">
        <v>280050.18</v>
      </c>
      <c r="AI340" s="4">
        <v>195569.97</v>
      </c>
      <c r="AJ340" s="4">
        <v>0</v>
      </c>
      <c r="AK340" s="4">
        <v>572644.36</v>
      </c>
      <c r="AL340" s="4">
        <v>0</v>
      </c>
      <c r="AM340" s="4">
        <v>16873.580000000002</v>
      </c>
      <c r="AN340" s="4">
        <v>0</v>
      </c>
      <c r="AO340" s="4">
        <v>384972.42</v>
      </c>
      <c r="AP340" s="4">
        <v>0</v>
      </c>
      <c r="AQ340" s="4">
        <v>35997.440000000002</v>
      </c>
      <c r="AR340" s="4">
        <v>0</v>
      </c>
      <c r="AS340" s="4">
        <v>0</v>
      </c>
      <c r="AT340" s="4">
        <v>16263.77</v>
      </c>
      <c r="AU340" s="4">
        <v>0</v>
      </c>
      <c r="AV340" s="4">
        <v>599324.61</v>
      </c>
      <c r="AW340" s="4">
        <v>2680648.44</v>
      </c>
      <c r="AX340" s="4">
        <v>2018119.81</v>
      </c>
      <c r="AY340" s="4">
        <v>1345404.1</v>
      </c>
      <c r="AZ340" s="4"/>
      <c r="BA340" s="4"/>
      <c r="BB340" s="4">
        <f t="shared" si="54"/>
        <v>300865607.68000007</v>
      </c>
    </row>
    <row r="341" spans="1:54" x14ac:dyDescent="0.2">
      <c r="A341" s="3">
        <v>37135</v>
      </c>
      <c r="B341" s="4">
        <v>65.36</v>
      </c>
      <c r="C341" s="4">
        <v>628947.44999999995</v>
      </c>
      <c r="D341" s="4">
        <v>0</v>
      </c>
      <c r="E341" s="4">
        <v>0</v>
      </c>
      <c r="F341" s="4">
        <v>317714.63</v>
      </c>
      <c r="G341" s="4">
        <v>337624.4</v>
      </c>
      <c r="H341" s="4">
        <v>0</v>
      </c>
      <c r="I341" s="4">
        <v>2400.83</v>
      </c>
      <c r="J341" s="4">
        <v>455843.63</v>
      </c>
      <c r="K341" s="4">
        <v>289838.74</v>
      </c>
      <c r="L341" s="4">
        <v>0</v>
      </c>
      <c r="M341" s="4">
        <v>182716.61</v>
      </c>
      <c r="N341" s="4">
        <v>157217.60999999999</v>
      </c>
      <c r="O341" s="4">
        <v>204531.95</v>
      </c>
      <c r="P341" s="4">
        <v>768520.22</v>
      </c>
      <c r="Q341" s="4">
        <v>202420.48000000001</v>
      </c>
      <c r="R341" s="4">
        <v>0</v>
      </c>
      <c r="S341" s="4">
        <v>239124.7</v>
      </c>
      <c r="T341" s="4">
        <v>127707.62</v>
      </c>
      <c r="U341" s="4">
        <v>0</v>
      </c>
      <c r="V341" s="4">
        <v>877400.56</v>
      </c>
      <c r="W341" s="4">
        <v>18983466.100000001</v>
      </c>
      <c r="X341" s="4">
        <v>576606.06000000006</v>
      </c>
      <c r="Y341" s="4">
        <v>36891692.379999995</v>
      </c>
      <c r="Z341" s="4"/>
      <c r="AA341" s="4"/>
      <c r="AB341" s="4">
        <v>314626637.39999998</v>
      </c>
      <c r="AC341" s="4">
        <v>39329.78</v>
      </c>
      <c r="AD341" s="4">
        <v>1975237.76</v>
      </c>
      <c r="AE341" s="4">
        <v>0</v>
      </c>
      <c r="AF341" s="4">
        <v>101140.47</v>
      </c>
      <c r="AG341" s="4">
        <v>31578.01</v>
      </c>
      <c r="AH341" s="4">
        <v>357125.4</v>
      </c>
      <c r="AI341" s="4">
        <v>314378.19</v>
      </c>
      <c r="AJ341" s="4">
        <v>0</v>
      </c>
      <c r="AK341" s="4">
        <v>594548.98</v>
      </c>
      <c r="AL341" s="4">
        <v>406.55</v>
      </c>
      <c r="AM341" s="4">
        <v>15178.74</v>
      </c>
      <c r="AN341" s="4">
        <v>0</v>
      </c>
      <c r="AO341" s="4">
        <v>593795.47</v>
      </c>
      <c r="AP341" s="4">
        <v>0</v>
      </c>
      <c r="AQ341" s="4">
        <v>64222.37</v>
      </c>
      <c r="AR341" s="4">
        <v>457.27</v>
      </c>
      <c r="AS341" s="4">
        <v>613.02</v>
      </c>
      <c r="AT341" s="4">
        <v>19959.61</v>
      </c>
      <c r="AU341" s="4">
        <v>60.59</v>
      </c>
      <c r="AV341" s="4">
        <v>839283.52</v>
      </c>
      <c r="AW341" s="4">
        <v>3878941.49</v>
      </c>
      <c r="AX341" s="4">
        <v>2433990.7599999998</v>
      </c>
      <c r="AY341" s="4">
        <v>1622127.3</v>
      </c>
      <c r="AZ341" s="4"/>
      <c r="BA341" s="4"/>
      <c r="BB341" s="4">
        <f t="shared" si="54"/>
        <v>388752852.00999993</v>
      </c>
    </row>
    <row r="342" spans="1:54" x14ac:dyDescent="0.2">
      <c r="A342" s="3">
        <v>37165</v>
      </c>
      <c r="B342" s="4">
        <v>0</v>
      </c>
      <c r="C342" s="4">
        <v>437181.42</v>
      </c>
      <c r="D342" s="4">
        <v>0</v>
      </c>
      <c r="E342" s="4">
        <v>0</v>
      </c>
      <c r="F342" s="4">
        <v>200584.82</v>
      </c>
      <c r="G342" s="4">
        <v>201644.33</v>
      </c>
      <c r="H342" s="4">
        <v>0</v>
      </c>
      <c r="I342" s="4">
        <v>0</v>
      </c>
      <c r="J342" s="4">
        <v>303247.28999999998</v>
      </c>
      <c r="K342" s="4">
        <v>151560.48000000001</v>
      </c>
      <c r="L342" s="4">
        <v>0</v>
      </c>
      <c r="M342" s="4">
        <v>153937.82999999999</v>
      </c>
      <c r="N342" s="4">
        <v>95654.69</v>
      </c>
      <c r="O342" s="4">
        <v>125903.96</v>
      </c>
      <c r="P342" s="4">
        <v>418036.65</v>
      </c>
      <c r="Q342" s="4">
        <v>126305.23</v>
      </c>
      <c r="R342" s="4">
        <v>0</v>
      </c>
      <c r="S342" s="4">
        <v>98640.85</v>
      </c>
      <c r="T342" s="4">
        <v>29761.97</v>
      </c>
      <c r="U342" s="4">
        <v>0</v>
      </c>
      <c r="V342" s="4">
        <v>698078.02</v>
      </c>
      <c r="W342" s="4">
        <v>8238030.3499999996</v>
      </c>
      <c r="X342" s="4">
        <v>320642.61</v>
      </c>
      <c r="Y342" s="4">
        <v>25073441.93</v>
      </c>
      <c r="Z342" s="4"/>
      <c r="AA342" s="4"/>
      <c r="AB342" s="4">
        <v>241233073.75999999</v>
      </c>
      <c r="AC342" s="4">
        <v>55380.9</v>
      </c>
      <c r="AD342" s="4">
        <v>1402439.51</v>
      </c>
      <c r="AE342" s="4">
        <v>0</v>
      </c>
      <c r="AF342" s="4">
        <v>78682.22</v>
      </c>
      <c r="AG342" s="4">
        <v>0</v>
      </c>
      <c r="AH342" s="4">
        <v>260847.4</v>
      </c>
      <c r="AI342" s="4">
        <v>190426.77</v>
      </c>
      <c r="AJ342" s="4">
        <v>0</v>
      </c>
      <c r="AK342" s="4">
        <v>552555.84</v>
      </c>
      <c r="AL342" s="4">
        <v>0</v>
      </c>
      <c r="AM342" s="4">
        <v>19500.759999999998</v>
      </c>
      <c r="AN342" s="4">
        <v>0</v>
      </c>
      <c r="AO342" s="4">
        <v>343976.9</v>
      </c>
      <c r="AP342" s="4">
        <v>0</v>
      </c>
      <c r="AQ342" s="4">
        <v>31275.34</v>
      </c>
      <c r="AR342" s="4">
        <v>0</v>
      </c>
      <c r="AS342" s="4">
        <v>0</v>
      </c>
      <c r="AT342" s="4">
        <v>13544.42</v>
      </c>
      <c r="AU342" s="4">
        <v>0</v>
      </c>
      <c r="AV342" s="4">
        <v>577275.35</v>
      </c>
      <c r="AW342" s="4">
        <v>2656289.02</v>
      </c>
      <c r="AX342" s="4">
        <v>1948248.6</v>
      </c>
      <c r="AY342" s="4">
        <v>1297947.05</v>
      </c>
      <c r="AZ342" s="4"/>
      <c r="BA342" s="4"/>
      <c r="BB342" s="4">
        <f t="shared" si="54"/>
        <v>287334116.26999992</v>
      </c>
    </row>
    <row r="343" spans="1:54" x14ac:dyDescent="0.2">
      <c r="A343" s="3">
        <v>37196</v>
      </c>
      <c r="B343" s="4">
        <v>0</v>
      </c>
      <c r="C343" s="4">
        <v>466891.46</v>
      </c>
      <c r="D343" s="4">
        <v>0</v>
      </c>
      <c r="E343" s="4">
        <v>0</v>
      </c>
      <c r="F343" s="4">
        <v>215541.71</v>
      </c>
      <c r="G343" s="4">
        <v>208392.37</v>
      </c>
      <c r="H343" s="4">
        <v>0</v>
      </c>
      <c r="I343" s="4">
        <v>0</v>
      </c>
      <c r="J343" s="4">
        <v>316603.65000000002</v>
      </c>
      <c r="K343" s="4">
        <v>164882.28</v>
      </c>
      <c r="L343" s="4">
        <v>0</v>
      </c>
      <c r="M343" s="4">
        <v>168282.78</v>
      </c>
      <c r="N343" s="4">
        <v>103832.48</v>
      </c>
      <c r="O343" s="4">
        <v>137127.20000000001</v>
      </c>
      <c r="P343" s="4">
        <v>441916.89</v>
      </c>
      <c r="Q343" s="4">
        <v>127726.1</v>
      </c>
      <c r="R343" s="4">
        <v>0</v>
      </c>
      <c r="S343" s="4">
        <v>113008.45</v>
      </c>
      <c r="T343" s="4">
        <v>26631.67</v>
      </c>
      <c r="U343" s="4">
        <v>0</v>
      </c>
      <c r="V343" s="4">
        <v>795971.99</v>
      </c>
      <c r="W343" s="4">
        <v>9226538.7300000004</v>
      </c>
      <c r="X343" s="4">
        <v>348013.79</v>
      </c>
      <c r="Y343" s="4">
        <v>28685287.449999999</v>
      </c>
      <c r="Z343" s="4"/>
      <c r="AA343" s="4"/>
      <c r="AB343" s="4">
        <v>280652215.05000001</v>
      </c>
      <c r="AC343" s="4">
        <v>58749.79</v>
      </c>
      <c r="AD343" s="4">
        <v>1592442.86</v>
      </c>
      <c r="AE343" s="4">
        <v>0</v>
      </c>
      <c r="AF343" s="4">
        <v>82363.31</v>
      </c>
      <c r="AG343" s="4">
        <v>0</v>
      </c>
      <c r="AH343" s="4">
        <v>284616.21000000002</v>
      </c>
      <c r="AI343" s="4">
        <v>212180</v>
      </c>
      <c r="AJ343" s="4">
        <v>0</v>
      </c>
      <c r="AK343" s="4">
        <v>596902.54</v>
      </c>
      <c r="AL343" s="4">
        <v>0</v>
      </c>
      <c r="AM343" s="4">
        <v>23137.97</v>
      </c>
      <c r="AN343" s="4">
        <v>0</v>
      </c>
      <c r="AO343" s="4">
        <v>369220.64</v>
      </c>
      <c r="AP343" s="4">
        <v>0</v>
      </c>
      <c r="AQ343" s="4">
        <v>33415.32</v>
      </c>
      <c r="AR343" s="4">
        <v>0</v>
      </c>
      <c r="AS343" s="4">
        <v>0</v>
      </c>
      <c r="AT343" s="4">
        <v>14937.79</v>
      </c>
      <c r="AU343" s="4">
        <v>0</v>
      </c>
      <c r="AV343" s="4">
        <v>719987.59</v>
      </c>
      <c r="AW343" s="4">
        <v>3035363.97</v>
      </c>
      <c r="AX343" s="4">
        <v>2206322.7799999998</v>
      </c>
      <c r="AY343" s="4">
        <v>1471197.68</v>
      </c>
      <c r="AZ343" s="4"/>
      <c r="BA343" s="4"/>
      <c r="BB343" s="4">
        <f t="shared" si="54"/>
        <v>332899702.50000006</v>
      </c>
    </row>
    <row r="344" spans="1:54" x14ac:dyDescent="0.2">
      <c r="A344" s="3">
        <v>37226</v>
      </c>
      <c r="B344" s="4">
        <v>155.28</v>
      </c>
      <c r="C344" s="4">
        <v>755523.47</v>
      </c>
      <c r="D344" s="4">
        <v>0</v>
      </c>
      <c r="E344" s="4">
        <v>0</v>
      </c>
      <c r="F344" s="4">
        <v>321678.2</v>
      </c>
      <c r="G344" s="4">
        <v>225186.8</v>
      </c>
      <c r="H344" s="4">
        <v>313.08</v>
      </c>
      <c r="I344" s="4">
        <v>1341.03</v>
      </c>
      <c r="J344" s="4">
        <v>471777.26</v>
      </c>
      <c r="K344" s="4">
        <v>194126.38</v>
      </c>
      <c r="L344" s="4">
        <v>24.22</v>
      </c>
      <c r="M344" s="4">
        <v>234861.32</v>
      </c>
      <c r="N344" s="4">
        <v>160534.54</v>
      </c>
      <c r="O344" s="4">
        <v>189692.15</v>
      </c>
      <c r="P344" s="4">
        <v>683724.27</v>
      </c>
      <c r="Q344" s="4">
        <v>201728.08</v>
      </c>
      <c r="R344" s="4">
        <v>0</v>
      </c>
      <c r="S344" s="4">
        <v>214324.6</v>
      </c>
      <c r="T344" s="4">
        <v>90672.5</v>
      </c>
      <c r="U344" s="4">
        <v>0</v>
      </c>
      <c r="V344" s="4">
        <v>1178115.29</v>
      </c>
      <c r="W344" s="4">
        <v>16766832.199999999</v>
      </c>
      <c r="X344" s="4">
        <v>484866.3</v>
      </c>
      <c r="Y344" s="4">
        <v>36951036.57</v>
      </c>
      <c r="Z344" s="4"/>
      <c r="AA344" s="4"/>
      <c r="AB344" s="4">
        <v>256694417.25</v>
      </c>
      <c r="AC344" s="4">
        <v>51360.13</v>
      </c>
      <c r="AD344" s="4">
        <v>1766299.31</v>
      </c>
      <c r="AE344" s="4">
        <v>0</v>
      </c>
      <c r="AF344" s="4">
        <v>138967.28</v>
      </c>
      <c r="AG344" s="4">
        <v>9108.6299999999992</v>
      </c>
      <c r="AH344" s="4">
        <v>393923.42</v>
      </c>
      <c r="AI344" s="4">
        <v>248871.29</v>
      </c>
      <c r="AJ344" s="4">
        <v>0</v>
      </c>
      <c r="AK344" s="4">
        <v>822629.99</v>
      </c>
      <c r="AL344" s="4">
        <v>470.57</v>
      </c>
      <c r="AM344" s="4">
        <v>19756.61</v>
      </c>
      <c r="AN344" s="4">
        <v>0</v>
      </c>
      <c r="AO344" s="4">
        <v>601388.86</v>
      </c>
      <c r="AP344" s="4">
        <v>0</v>
      </c>
      <c r="AQ344" s="4">
        <v>51885.14</v>
      </c>
      <c r="AR344" s="4">
        <v>491.44</v>
      </c>
      <c r="AS344" s="4">
        <v>501.29</v>
      </c>
      <c r="AT344" s="4">
        <v>18269.71</v>
      </c>
      <c r="AU344" s="4">
        <v>64.37</v>
      </c>
      <c r="AV344" s="4">
        <v>1062694.1200000001</v>
      </c>
      <c r="AW344" s="4">
        <v>4118935.06</v>
      </c>
      <c r="AX344" s="4">
        <v>2607746.09</v>
      </c>
      <c r="AY344" s="4">
        <v>1737492.79</v>
      </c>
      <c r="AZ344" s="4"/>
      <c r="BA344" s="4"/>
      <c r="BB344" s="4">
        <f t="shared" si="54"/>
        <v>329471786.89000005</v>
      </c>
    </row>
    <row r="345" spans="1:54" ht="15.75" thickBot="1" x14ac:dyDescent="0.25">
      <c r="A345" s="11" t="s">
        <v>4</v>
      </c>
      <c r="B345" s="5">
        <f t="shared" ref="B345:AY345" si="55">SUM(B333:B344)</f>
        <v>929.49</v>
      </c>
      <c r="C345" s="5">
        <f t="shared" si="55"/>
        <v>6484257.8199999994</v>
      </c>
      <c r="D345" s="5">
        <f t="shared" si="55"/>
        <v>0</v>
      </c>
      <c r="E345" s="5">
        <f t="shared" si="55"/>
        <v>0</v>
      </c>
      <c r="F345" s="5">
        <f t="shared" si="55"/>
        <v>2851991.07</v>
      </c>
      <c r="G345" s="5">
        <f t="shared" si="55"/>
        <v>2427523.39</v>
      </c>
      <c r="H345" s="5">
        <f t="shared" si="55"/>
        <v>2299</v>
      </c>
      <c r="I345" s="5">
        <f t="shared" si="55"/>
        <v>12291.19</v>
      </c>
      <c r="J345" s="5">
        <f t="shared" si="55"/>
        <v>4458455.9799999995</v>
      </c>
      <c r="K345" s="5">
        <f t="shared" si="55"/>
        <v>2201272.71</v>
      </c>
      <c r="L345" s="5">
        <f t="shared" si="55"/>
        <v>434.26</v>
      </c>
      <c r="M345" s="5">
        <f t="shared" si="55"/>
        <v>2240577.2199999997</v>
      </c>
      <c r="N345" s="5">
        <f t="shared" si="55"/>
        <v>1518520.5999999999</v>
      </c>
      <c r="O345" s="5">
        <f t="shared" si="55"/>
        <v>1867757.0699999998</v>
      </c>
      <c r="P345" s="5">
        <f t="shared" si="55"/>
        <v>6062518.2699999996</v>
      </c>
      <c r="Q345" s="5">
        <f t="shared" si="55"/>
        <v>1833359.9000000001</v>
      </c>
      <c r="R345" s="5">
        <f t="shared" si="55"/>
        <v>0</v>
      </c>
      <c r="S345" s="5">
        <f t="shared" si="55"/>
        <v>1774146.98</v>
      </c>
      <c r="T345" s="5">
        <f t="shared" si="55"/>
        <v>625631.33000000007</v>
      </c>
      <c r="U345" s="5">
        <f t="shared" si="55"/>
        <v>259.92</v>
      </c>
      <c r="V345" s="5">
        <f t="shared" si="55"/>
        <v>10737128.830000002</v>
      </c>
      <c r="W345" s="5">
        <f t="shared" si="55"/>
        <v>156648734.22999996</v>
      </c>
      <c r="X345" s="5">
        <f t="shared" si="55"/>
        <v>5731584.0699999994</v>
      </c>
      <c r="Y345" s="5">
        <f t="shared" si="55"/>
        <v>375859067.83999997</v>
      </c>
      <c r="Z345" s="5"/>
      <c r="AA345" s="5"/>
      <c r="AB345" s="5">
        <f t="shared" si="55"/>
        <v>3370555304.6300001</v>
      </c>
      <c r="AC345" s="5">
        <f t="shared" si="55"/>
        <v>800298.67</v>
      </c>
      <c r="AD345" s="5">
        <f t="shared" si="55"/>
        <v>21131373.669999998</v>
      </c>
      <c r="AE345" s="5">
        <f t="shared" si="55"/>
        <v>0</v>
      </c>
      <c r="AF345" s="5">
        <f t="shared" si="55"/>
        <v>1156317.8399999999</v>
      </c>
      <c r="AG345" s="5">
        <f t="shared" si="55"/>
        <v>40686.639999999999</v>
      </c>
      <c r="AH345" s="5">
        <f t="shared" si="55"/>
        <v>3796768.7899999996</v>
      </c>
      <c r="AI345" s="5">
        <f t="shared" si="55"/>
        <v>2690694.8699999996</v>
      </c>
      <c r="AJ345" s="5">
        <f t="shared" si="55"/>
        <v>0</v>
      </c>
      <c r="AK345" s="5">
        <f t="shared" si="55"/>
        <v>7541229.9799999995</v>
      </c>
      <c r="AL345" s="5">
        <f t="shared" si="55"/>
        <v>5752.36</v>
      </c>
      <c r="AM345" s="5">
        <f t="shared" si="55"/>
        <v>294132.92000000004</v>
      </c>
      <c r="AN345" s="5">
        <f t="shared" si="55"/>
        <v>0</v>
      </c>
      <c r="AO345" s="5">
        <f t="shared" si="55"/>
        <v>5191727.62</v>
      </c>
      <c r="AP345" s="5">
        <f t="shared" si="55"/>
        <v>0</v>
      </c>
      <c r="AQ345" s="5">
        <f t="shared" si="55"/>
        <v>491756.91000000003</v>
      </c>
      <c r="AR345" s="5">
        <f t="shared" si="55"/>
        <v>2219.7399999999998</v>
      </c>
      <c r="AS345" s="5">
        <f t="shared" si="55"/>
        <v>2894.8999999999996</v>
      </c>
      <c r="AT345" s="5">
        <f t="shared" si="55"/>
        <v>236059.84</v>
      </c>
      <c r="AU345" s="5">
        <f t="shared" si="55"/>
        <v>415.86</v>
      </c>
      <c r="AV345" s="5">
        <f t="shared" si="55"/>
        <v>8443511.9400000013</v>
      </c>
      <c r="AW345" s="5">
        <f t="shared" si="55"/>
        <v>37390978.890000001</v>
      </c>
      <c r="AX345" s="5">
        <f t="shared" si="55"/>
        <v>27555100.629999999</v>
      </c>
      <c r="AY345" s="5">
        <f t="shared" si="55"/>
        <v>18367850.170000002</v>
      </c>
      <c r="AZ345" s="5"/>
      <c r="BA345" s="5"/>
      <c r="BB345" s="5">
        <f t="shared" si="54"/>
        <v>4089033818.0400004</v>
      </c>
    </row>
    <row r="346" spans="1:54" ht="15.75" thickTop="1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</row>
    <row r="347" spans="1:54" x14ac:dyDescent="0.2">
      <c r="A347" s="3">
        <v>36526</v>
      </c>
      <c r="B347" s="4">
        <v>0</v>
      </c>
      <c r="C347" s="4">
        <v>486496.59</v>
      </c>
      <c r="D347" s="4">
        <v>227895.93</v>
      </c>
      <c r="E347" s="4">
        <v>0</v>
      </c>
      <c r="F347" s="4">
        <v>204531.43</v>
      </c>
      <c r="G347" s="4">
        <v>191514.71</v>
      </c>
      <c r="H347" s="4">
        <v>0</v>
      </c>
      <c r="I347" s="4">
        <v>0</v>
      </c>
      <c r="J347" s="4">
        <v>380517.81</v>
      </c>
      <c r="K347" s="4">
        <v>171994.96</v>
      </c>
      <c r="L347" s="4">
        <v>0</v>
      </c>
      <c r="M347" s="4">
        <v>191159.54</v>
      </c>
      <c r="N347" s="4">
        <v>105628.65</v>
      </c>
      <c r="O347" s="4">
        <v>140720.34</v>
      </c>
      <c r="P347" s="4">
        <v>448742.06</v>
      </c>
      <c r="Q347" s="4">
        <v>105243.92</v>
      </c>
      <c r="R347" s="4">
        <v>0</v>
      </c>
      <c r="S347" s="4">
        <v>145523.09</v>
      </c>
      <c r="T347" s="4">
        <v>16564.52</v>
      </c>
      <c r="U347" s="4">
        <v>0</v>
      </c>
      <c r="V347" s="4">
        <v>803298.36</v>
      </c>
      <c r="W347" s="4">
        <v>10788994.379999999</v>
      </c>
      <c r="X347" s="4">
        <v>385255.93</v>
      </c>
      <c r="Y347" s="4">
        <v>30204534.079999998</v>
      </c>
      <c r="Z347" s="4"/>
      <c r="AA347" s="4"/>
      <c r="AB347" s="4">
        <v>296301888.78000003</v>
      </c>
      <c r="AC347" s="4">
        <v>88860.38</v>
      </c>
      <c r="AD347" s="4">
        <v>1580275.12</v>
      </c>
      <c r="AE347" s="4">
        <v>0</v>
      </c>
      <c r="AF347" s="4">
        <v>102297.75</v>
      </c>
      <c r="AG347" s="4">
        <v>153319.5</v>
      </c>
      <c r="AH347" s="4">
        <v>326897.65000000002</v>
      </c>
      <c r="AI347" s="4">
        <v>219283.46</v>
      </c>
      <c r="AJ347" s="4">
        <v>0</v>
      </c>
      <c r="AK347" s="4">
        <v>632546.67000000004</v>
      </c>
      <c r="AL347" s="4">
        <v>0</v>
      </c>
      <c r="AM347" s="4">
        <v>33321.51</v>
      </c>
      <c r="AN347" s="4">
        <v>0</v>
      </c>
      <c r="AO347" s="4">
        <v>429013.07</v>
      </c>
      <c r="AP347" s="4">
        <v>0</v>
      </c>
      <c r="AQ347" s="4">
        <v>38319.660000000003</v>
      </c>
      <c r="AR347" s="4">
        <v>0</v>
      </c>
      <c r="AS347" s="4">
        <v>0</v>
      </c>
      <c r="AT347" s="4">
        <v>10555.44</v>
      </c>
      <c r="AU347" s="4">
        <v>0</v>
      </c>
      <c r="AV347" s="4">
        <v>646801.53</v>
      </c>
      <c r="AW347" s="4">
        <v>3274984.8</v>
      </c>
      <c r="AX347" s="4">
        <v>2021500.51</v>
      </c>
      <c r="AY347" s="4">
        <v>1347666.37</v>
      </c>
      <c r="AZ347" s="4"/>
      <c r="BA347" s="4"/>
      <c r="BB347" s="4">
        <f t="shared" ref="BB347:BB359" si="56">SUM(B347:AY347)</f>
        <v>352206148.5</v>
      </c>
    </row>
    <row r="348" spans="1:54" x14ac:dyDescent="0.2">
      <c r="A348" s="3">
        <v>36557</v>
      </c>
      <c r="B348" s="4">
        <v>0</v>
      </c>
      <c r="C348" s="4">
        <v>360461.72</v>
      </c>
      <c r="D348" s="4">
        <v>172492.52</v>
      </c>
      <c r="E348" s="4">
        <v>0</v>
      </c>
      <c r="F348" s="4">
        <v>151714.56</v>
      </c>
      <c r="G348" s="4">
        <v>143190.47</v>
      </c>
      <c r="H348" s="4">
        <v>0</v>
      </c>
      <c r="I348" s="4">
        <v>0</v>
      </c>
      <c r="J348" s="4">
        <v>283040.98</v>
      </c>
      <c r="K348" s="4">
        <v>127801.43</v>
      </c>
      <c r="L348" s="4">
        <v>0</v>
      </c>
      <c r="M348" s="4">
        <v>137375.26</v>
      </c>
      <c r="N348" s="4">
        <v>77736.55</v>
      </c>
      <c r="O348" s="4">
        <v>114330.04</v>
      </c>
      <c r="P348" s="4">
        <v>327865.5</v>
      </c>
      <c r="Q348" s="4">
        <v>81319.11</v>
      </c>
      <c r="R348" s="4">
        <v>0</v>
      </c>
      <c r="S348" s="4">
        <v>104679.94</v>
      </c>
      <c r="T348" s="4">
        <v>12091.56</v>
      </c>
      <c r="U348" s="4">
        <v>0</v>
      </c>
      <c r="V348" s="4">
        <v>570955.56000000006</v>
      </c>
      <c r="W348" s="4">
        <v>7175846.9199999999</v>
      </c>
      <c r="X348" s="4">
        <v>292825.81</v>
      </c>
      <c r="Y348" s="4">
        <v>22381748.719999999</v>
      </c>
      <c r="Z348" s="4"/>
      <c r="AA348" s="4"/>
      <c r="AB348" s="4">
        <v>217968125.16999999</v>
      </c>
      <c r="AC348" s="4">
        <v>66770.03</v>
      </c>
      <c r="AD348" s="4">
        <v>1167744.98</v>
      </c>
      <c r="AE348" s="4">
        <v>0</v>
      </c>
      <c r="AF348" s="4">
        <v>73714.289999999994</v>
      </c>
      <c r="AG348" s="4">
        <v>135664.54</v>
      </c>
      <c r="AH348" s="4">
        <v>238551.85</v>
      </c>
      <c r="AI348" s="4">
        <v>160462.85999999999</v>
      </c>
      <c r="AJ348" s="4">
        <v>0</v>
      </c>
      <c r="AK348" s="4">
        <v>450195.63</v>
      </c>
      <c r="AL348" s="4">
        <v>0</v>
      </c>
      <c r="AM348" s="4">
        <v>28303.279999999999</v>
      </c>
      <c r="AN348" s="4">
        <v>0</v>
      </c>
      <c r="AO348" s="4">
        <v>327155.57</v>
      </c>
      <c r="AP348" s="4">
        <v>0</v>
      </c>
      <c r="AQ348" s="4">
        <v>28094.36</v>
      </c>
      <c r="AR348" s="4">
        <v>0</v>
      </c>
      <c r="AS348" s="4">
        <v>0</v>
      </c>
      <c r="AT348" s="4">
        <v>13148.63</v>
      </c>
      <c r="AU348" s="4">
        <v>0</v>
      </c>
      <c r="AV348" s="4">
        <v>512128.07</v>
      </c>
      <c r="AW348" s="4">
        <v>2473812.08</v>
      </c>
      <c r="AX348" s="4">
        <v>1722292.63</v>
      </c>
      <c r="AY348" s="4">
        <v>1148170.05</v>
      </c>
      <c r="AZ348" s="4"/>
      <c r="BA348" s="4"/>
      <c r="BB348" s="4">
        <f t="shared" si="56"/>
        <v>259029810.66999999</v>
      </c>
    </row>
    <row r="349" spans="1:54" x14ac:dyDescent="0.2">
      <c r="A349" s="3">
        <v>36586</v>
      </c>
      <c r="B349" s="4">
        <v>1874.68</v>
      </c>
      <c r="C349" s="4">
        <v>637431.31999999995</v>
      </c>
      <c r="D349" s="4">
        <v>184549.68</v>
      </c>
      <c r="E349" s="4">
        <v>0</v>
      </c>
      <c r="F349" s="4">
        <v>374681.81</v>
      </c>
      <c r="G349" s="4">
        <v>198527.67</v>
      </c>
      <c r="H349" s="4">
        <v>8175.04</v>
      </c>
      <c r="I349" s="4">
        <v>4057.08</v>
      </c>
      <c r="J349" s="4">
        <v>593681.52</v>
      </c>
      <c r="K349" s="4">
        <v>122848.99</v>
      </c>
      <c r="L349" s="4">
        <v>422.82</v>
      </c>
      <c r="M349" s="4">
        <v>268020.61</v>
      </c>
      <c r="N349" s="4">
        <v>132673.07999999999</v>
      </c>
      <c r="O349" s="4">
        <v>206446.98</v>
      </c>
      <c r="P349" s="4">
        <v>605668.14</v>
      </c>
      <c r="Q349" s="4">
        <v>130549.28</v>
      </c>
      <c r="R349" s="4">
        <v>0</v>
      </c>
      <c r="S349" s="4">
        <v>128523.64</v>
      </c>
      <c r="T349" s="4">
        <v>7457.23</v>
      </c>
      <c r="U349" s="4">
        <v>0</v>
      </c>
      <c r="V349" s="4">
        <v>1076750.71</v>
      </c>
      <c r="W349" s="4">
        <v>16298590.5</v>
      </c>
      <c r="X349" s="4">
        <v>333409.02</v>
      </c>
      <c r="Y349" s="4">
        <v>35386369.909999996</v>
      </c>
      <c r="Z349" s="4"/>
      <c r="AA349" s="4"/>
      <c r="AB349" s="4">
        <v>330621163.64999998</v>
      </c>
      <c r="AC349" s="4">
        <v>75626.289999999994</v>
      </c>
      <c r="AD349" s="4">
        <v>2394632.9900000002</v>
      </c>
      <c r="AE349" s="4">
        <v>37927.64</v>
      </c>
      <c r="AF349" s="4">
        <v>110628.47</v>
      </c>
      <c r="AG349" s="4">
        <v>172835.02</v>
      </c>
      <c r="AH349" s="4">
        <v>601044.76</v>
      </c>
      <c r="AI349" s="4">
        <v>340571.43</v>
      </c>
      <c r="AJ349" s="4">
        <v>0</v>
      </c>
      <c r="AK349" s="4">
        <v>722663.79</v>
      </c>
      <c r="AL349" s="4">
        <v>1432.14</v>
      </c>
      <c r="AM349" s="4">
        <v>28889.22</v>
      </c>
      <c r="AN349" s="4">
        <v>0</v>
      </c>
      <c r="AO349" s="4">
        <v>733172.77</v>
      </c>
      <c r="AP349" s="4">
        <v>0</v>
      </c>
      <c r="AQ349" s="4">
        <v>65892.95</v>
      </c>
      <c r="AR349" s="4">
        <v>0</v>
      </c>
      <c r="AS349" s="4">
        <v>3547.54</v>
      </c>
      <c r="AT349" s="4">
        <v>34289.279999999999</v>
      </c>
      <c r="AU349" s="4">
        <v>234.98</v>
      </c>
      <c r="AV349" s="4">
        <v>559927.38</v>
      </c>
      <c r="AW349" s="4">
        <v>1555742.2</v>
      </c>
      <c r="AX349" s="4">
        <v>2813115.17</v>
      </c>
      <c r="AY349" s="4">
        <v>1874816.8</v>
      </c>
      <c r="AZ349" s="4"/>
      <c r="BA349" s="4"/>
      <c r="BB349" s="4">
        <f t="shared" si="56"/>
        <v>399448864.18000001</v>
      </c>
    </row>
    <row r="350" spans="1:54" x14ac:dyDescent="0.2">
      <c r="A350" s="3">
        <v>36617</v>
      </c>
      <c r="B350" s="4">
        <v>0</v>
      </c>
      <c r="C350" s="4">
        <v>405783.01</v>
      </c>
      <c r="D350" s="4">
        <v>0</v>
      </c>
      <c r="E350" s="4">
        <v>0</v>
      </c>
      <c r="F350" s="4">
        <v>228239.59</v>
      </c>
      <c r="G350" s="4">
        <v>171694.54</v>
      </c>
      <c r="H350" s="4">
        <v>0</v>
      </c>
      <c r="I350" s="4">
        <v>0</v>
      </c>
      <c r="J350" s="4">
        <v>319486.45</v>
      </c>
      <c r="K350" s="4">
        <v>131755.25</v>
      </c>
      <c r="L350" s="4">
        <v>0</v>
      </c>
      <c r="M350" s="4">
        <v>186707.91</v>
      </c>
      <c r="N350" s="4">
        <v>108547.31</v>
      </c>
      <c r="O350" s="4">
        <v>133192.78</v>
      </c>
      <c r="P350" s="4">
        <v>386312.53</v>
      </c>
      <c r="Q350" s="4">
        <v>99210.880000000005</v>
      </c>
      <c r="R350" s="4">
        <v>0</v>
      </c>
      <c r="S350" s="4">
        <v>139304.72</v>
      </c>
      <c r="T350" s="4">
        <v>72623.12</v>
      </c>
      <c r="U350" s="4">
        <v>0</v>
      </c>
      <c r="V350" s="4">
        <v>743500.61</v>
      </c>
      <c r="W350" s="4">
        <v>11711967.490000002</v>
      </c>
      <c r="X350" s="4">
        <v>408713.43</v>
      </c>
      <c r="Y350" s="4">
        <v>27598648.899999999</v>
      </c>
      <c r="Z350" s="4"/>
      <c r="AA350" s="4"/>
      <c r="AB350" s="4">
        <v>264717532.78000003</v>
      </c>
      <c r="AC350" s="4">
        <v>66777.77</v>
      </c>
      <c r="AD350" s="4">
        <v>1529568.05</v>
      </c>
      <c r="AE350" s="4">
        <v>0</v>
      </c>
      <c r="AF350" s="4">
        <v>95562.13</v>
      </c>
      <c r="AG350" s="4">
        <v>135587.91</v>
      </c>
      <c r="AH350" s="4">
        <v>262707.98</v>
      </c>
      <c r="AI350" s="4">
        <v>248880.35</v>
      </c>
      <c r="AJ350" s="4">
        <v>0</v>
      </c>
      <c r="AK350" s="4">
        <v>519979.01</v>
      </c>
      <c r="AL350" s="4">
        <v>0</v>
      </c>
      <c r="AM350" s="4">
        <v>26104.74</v>
      </c>
      <c r="AN350" s="4">
        <v>0</v>
      </c>
      <c r="AO350" s="4">
        <v>394211.94</v>
      </c>
      <c r="AP350" s="4">
        <v>0</v>
      </c>
      <c r="AQ350" s="4">
        <v>35458.269999999997</v>
      </c>
      <c r="AR350" s="4">
        <v>0</v>
      </c>
      <c r="AS350" s="4">
        <v>0</v>
      </c>
      <c r="AT350" s="4">
        <v>20107.11</v>
      </c>
      <c r="AU350" s="4">
        <v>0</v>
      </c>
      <c r="AV350" s="4">
        <v>574872.04</v>
      </c>
      <c r="AW350" s="4">
        <v>2452549.54</v>
      </c>
      <c r="AX350" s="4">
        <v>1683835.26</v>
      </c>
      <c r="AY350" s="4">
        <v>1122551.43</v>
      </c>
      <c r="AZ350" s="4"/>
      <c r="BA350" s="4"/>
      <c r="BB350" s="4">
        <f t="shared" si="56"/>
        <v>316731974.8300001</v>
      </c>
    </row>
    <row r="351" spans="1:54" x14ac:dyDescent="0.2">
      <c r="A351" s="3">
        <v>36647</v>
      </c>
      <c r="B351" s="4">
        <v>0</v>
      </c>
      <c r="C351" s="4">
        <v>532450.21</v>
      </c>
      <c r="D351" s="4">
        <v>0</v>
      </c>
      <c r="E351" s="4">
        <v>0</v>
      </c>
      <c r="F351" s="4">
        <v>215082.94</v>
      </c>
      <c r="G351" s="4">
        <v>152927.70000000001</v>
      </c>
      <c r="H351" s="4">
        <v>0</v>
      </c>
      <c r="I351" s="4">
        <v>0</v>
      </c>
      <c r="J351" s="4">
        <v>303916.26</v>
      </c>
      <c r="K351" s="4">
        <v>133533.62</v>
      </c>
      <c r="L351" s="4">
        <v>0</v>
      </c>
      <c r="M351" s="4">
        <v>173038.26</v>
      </c>
      <c r="N351" s="4">
        <v>98865.600000000006</v>
      </c>
      <c r="O351" s="4">
        <v>127767.46</v>
      </c>
      <c r="P351" s="4">
        <v>362156.15</v>
      </c>
      <c r="Q351" s="4">
        <v>87774.5</v>
      </c>
      <c r="R351" s="4">
        <v>0</v>
      </c>
      <c r="S351" s="4">
        <v>104470.59</v>
      </c>
      <c r="T351" s="4">
        <v>13826.16</v>
      </c>
      <c r="U351" s="4">
        <v>0</v>
      </c>
      <c r="V351" s="4">
        <v>678291.16</v>
      </c>
      <c r="W351" s="4">
        <v>8127294.9400000004</v>
      </c>
      <c r="X351" s="4">
        <v>313101.19</v>
      </c>
      <c r="Y351" s="4">
        <v>24415267.219999999</v>
      </c>
      <c r="Z351" s="4"/>
      <c r="AA351" s="4"/>
      <c r="AB351" s="4">
        <v>233532075.46000001</v>
      </c>
      <c r="AC351" s="4">
        <v>65317.94</v>
      </c>
      <c r="AD351" s="4">
        <v>1370203.09</v>
      </c>
      <c r="AE351" s="4">
        <v>0</v>
      </c>
      <c r="AF351" s="4">
        <v>79754.73</v>
      </c>
      <c r="AG351" s="4">
        <v>132997.51999999999</v>
      </c>
      <c r="AH351" s="4">
        <v>242926.24</v>
      </c>
      <c r="AI351" s="4">
        <v>181037.5</v>
      </c>
      <c r="AJ351" s="4">
        <v>0</v>
      </c>
      <c r="AK351" s="4">
        <v>492714.49</v>
      </c>
      <c r="AL351" s="4">
        <v>0</v>
      </c>
      <c r="AM351" s="4">
        <v>24600.73</v>
      </c>
      <c r="AN351" s="4">
        <v>0</v>
      </c>
      <c r="AO351" s="4">
        <v>371818.92</v>
      </c>
      <c r="AP351" s="4">
        <v>0</v>
      </c>
      <c r="AQ351" s="4">
        <v>31685.66</v>
      </c>
      <c r="AR351" s="4">
        <v>0</v>
      </c>
      <c r="AS351" s="4">
        <v>0</v>
      </c>
      <c r="AT351" s="4">
        <v>17261.87</v>
      </c>
      <c r="AU351" s="4">
        <v>0</v>
      </c>
      <c r="AV351" s="4">
        <v>530711.02</v>
      </c>
      <c r="AW351" s="4">
        <v>1936438.69</v>
      </c>
      <c r="AX351" s="4">
        <v>1627800.07</v>
      </c>
      <c r="AY351" s="4">
        <v>1085193.81</v>
      </c>
      <c r="AZ351" s="4"/>
      <c r="BA351" s="4"/>
      <c r="BB351" s="4">
        <f t="shared" si="56"/>
        <v>277562301.70000005</v>
      </c>
    </row>
    <row r="352" spans="1:54" x14ac:dyDescent="0.2">
      <c r="A352" s="3">
        <v>36678</v>
      </c>
      <c r="B352" s="4">
        <v>3856.87</v>
      </c>
      <c r="C352" s="4">
        <v>641271.64</v>
      </c>
      <c r="D352" s="4">
        <v>33412.080000000002</v>
      </c>
      <c r="E352" s="4">
        <v>0</v>
      </c>
      <c r="F352" s="4">
        <v>218734.03</v>
      </c>
      <c r="G352" s="4">
        <v>287814.02</v>
      </c>
      <c r="H352" s="4">
        <v>4968.5200000000004</v>
      </c>
      <c r="I352" s="4">
        <v>1448.42</v>
      </c>
      <c r="J352" s="4">
        <v>495756.08</v>
      </c>
      <c r="K352" s="4">
        <v>198187.47</v>
      </c>
      <c r="L352" s="4">
        <v>2.4900000000000002</v>
      </c>
      <c r="M352" s="4">
        <v>212051.91</v>
      </c>
      <c r="N352" s="4">
        <v>192476.1</v>
      </c>
      <c r="O352" s="4">
        <v>206244.75</v>
      </c>
      <c r="P352" s="4">
        <v>709967.65</v>
      </c>
      <c r="Q352" s="4">
        <v>313189.3</v>
      </c>
      <c r="R352" s="4">
        <v>0</v>
      </c>
      <c r="S352" s="4">
        <v>255599.54</v>
      </c>
      <c r="T352" s="4">
        <v>55259.9</v>
      </c>
      <c r="U352" s="4">
        <v>122.74</v>
      </c>
      <c r="V352" s="4">
        <v>1118670.1000000001</v>
      </c>
      <c r="W352" s="4">
        <v>15697401.02</v>
      </c>
      <c r="X352" s="4">
        <v>481231.73</v>
      </c>
      <c r="Y352" s="4">
        <v>37758065.420000002</v>
      </c>
      <c r="Z352" s="4"/>
      <c r="AA352" s="4"/>
      <c r="AB352" s="4">
        <v>342458388.98000002</v>
      </c>
      <c r="AC352" s="4">
        <v>68334.97</v>
      </c>
      <c r="AD352" s="4">
        <v>2293611.58</v>
      </c>
      <c r="AE352" s="4">
        <v>0</v>
      </c>
      <c r="AF352" s="4">
        <v>105865.68</v>
      </c>
      <c r="AG352" s="4">
        <v>204278.82</v>
      </c>
      <c r="AH352" s="4">
        <v>414110.28</v>
      </c>
      <c r="AI352" s="4">
        <v>268224.37</v>
      </c>
      <c r="AJ352" s="4">
        <v>0</v>
      </c>
      <c r="AK352" s="4">
        <v>956942.42</v>
      </c>
      <c r="AL352" s="4">
        <v>0</v>
      </c>
      <c r="AM352" s="4">
        <v>20493.73</v>
      </c>
      <c r="AN352" s="4">
        <v>0</v>
      </c>
      <c r="AO352" s="4">
        <v>594708.78</v>
      </c>
      <c r="AP352" s="4">
        <v>0</v>
      </c>
      <c r="AQ352" s="4">
        <v>67908.97</v>
      </c>
      <c r="AR352" s="4">
        <v>320.57</v>
      </c>
      <c r="AS352" s="4">
        <v>2227.66</v>
      </c>
      <c r="AT352" s="4">
        <v>14844.36</v>
      </c>
      <c r="AU352" s="4">
        <v>332.85</v>
      </c>
      <c r="AV352" s="4">
        <v>868190.89</v>
      </c>
      <c r="AW352" s="4">
        <v>4960741.5599999996</v>
      </c>
      <c r="AX352" s="4">
        <v>3326979.42</v>
      </c>
      <c r="AY352" s="4">
        <v>2218131.71</v>
      </c>
      <c r="AZ352" s="4"/>
      <c r="BA352" s="4"/>
      <c r="BB352" s="4">
        <f t="shared" si="56"/>
        <v>417730369.38000005</v>
      </c>
    </row>
    <row r="353" spans="1:54" x14ac:dyDescent="0.2">
      <c r="A353" s="3">
        <v>36708</v>
      </c>
      <c r="B353" s="4">
        <v>0</v>
      </c>
      <c r="C353" s="4">
        <v>477485.29</v>
      </c>
      <c r="D353" s="4">
        <v>0</v>
      </c>
      <c r="E353" s="4">
        <v>0</v>
      </c>
      <c r="F353" s="4">
        <v>243863.77</v>
      </c>
      <c r="G353" s="4">
        <v>193785.43</v>
      </c>
      <c r="H353" s="4">
        <v>0</v>
      </c>
      <c r="I353" s="4">
        <v>0</v>
      </c>
      <c r="J353" s="4">
        <v>366567.31</v>
      </c>
      <c r="K353" s="4">
        <v>158369.26</v>
      </c>
      <c r="L353" s="4">
        <v>0</v>
      </c>
      <c r="M353" s="4">
        <v>222439.48</v>
      </c>
      <c r="N353" s="4">
        <v>120371.49</v>
      </c>
      <c r="O353" s="4">
        <v>130929.60000000001</v>
      </c>
      <c r="P353" s="4">
        <v>483688.91</v>
      </c>
      <c r="Q353" s="4">
        <v>128415.37</v>
      </c>
      <c r="R353" s="4">
        <v>0</v>
      </c>
      <c r="S353" s="4">
        <v>132861.34</v>
      </c>
      <c r="T353" s="4">
        <v>59082.47</v>
      </c>
      <c r="U353" s="4">
        <v>0</v>
      </c>
      <c r="V353" s="4">
        <v>793443.03</v>
      </c>
      <c r="W353" s="4">
        <v>12013765.09</v>
      </c>
      <c r="X353" s="4">
        <v>485773.86</v>
      </c>
      <c r="Y353" s="4">
        <v>29572239.189999998</v>
      </c>
      <c r="Z353" s="4"/>
      <c r="AA353" s="4"/>
      <c r="AB353" s="4">
        <v>274266795.32999998</v>
      </c>
      <c r="AC353" s="4">
        <v>53694.73</v>
      </c>
      <c r="AD353" s="4">
        <v>1716155.58</v>
      </c>
      <c r="AE353" s="4">
        <v>0</v>
      </c>
      <c r="AF353" s="4">
        <v>86922.57</v>
      </c>
      <c r="AG353" s="4">
        <v>141490.73000000001</v>
      </c>
      <c r="AH353" s="4">
        <v>314982.92</v>
      </c>
      <c r="AI353" s="4">
        <v>205168</v>
      </c>
      <c r="AJ353" s="4">
        <v>0</v>
      </c>
      <c r="AK353" s="4">
        <v>562153.99</v>
      </c>
      <c r="AL353" s="4">
        <v>0</v>
      </c>
      <c r="AM353" s="4">
        <v>18006</v>
      </c>
      <c r="AN353" s="4">
        <v>0</v>
      </c>
      <c r="AO353" s="4">
        <v>479429.05</v>
      </c>
      <c r="AP353" s="4">
        <v>0</v>
      </c>
      <c r="AQ353" s="4">
        <v>34029.730000000003</v>
      </c>
      <c r="AR353" s="4">
        <v>0</v>
      </c>
      <c r="AS353" s="4">
        <v>0</v>
      </c>
      <c r="AT353" s="4">
        <v>22252.91</v>
      </c>
      <c r="AU353" s="4">
        <v>0</v>
      </c>
      <c r="AV353" s="4">
        <v>629541.57999999996</v>
      </c>
      <c r="AW353" s="4">
        <v>2814076.25</v>
      </c>
      <c r="AX353" s="4">
        <v>2075285.39</v>
      </c>
      <c r="AY353" s="4">
        <v>1383522.41</v>
      </c>
      <c r="AZ353" s="4"/>
      <c r="BA353" s="4"/>
      <c r="BB353" s="4">
        <f t="shared" si="56"/>
        <v>330386588.06000006</v>
      </c>
    </row>
    <row r="354" spans="1:54" x14ac:dyDescent="0.2">
      <c r="A354" s="3">
        <v>36739</v>
      </c>
      <c r="B354" s="4">
        <v>0</v>
      </c>
      <c r="C354" s="4">
        <v>416621.35</v>
      </c>
      <c r="D354" s="4">
        <v>0</v>
      </c>
      <c r="E354" s="4">
        <v>0</v>
      </c>
      <c r="F354" s="4">
        <v>219023.49</v>
      </c>
      <c r="G354" s="4">
        <v>188653.92</v>
      </c>
      <c r="H354" s="4">
        <v>0</v>
      </c>
      <c r="I354" s="4">
        <v>0</v>
      </c>
      <c r="J354" s="4">
        <v>334940.53000000003</v>
      </c>
      <c r="K354" s="4">
        <v>148160.63</v>
      </c>
      <c r="L354" s="4">
        <v>0</v>
      </c>
      <c r="M354" s="4">
        <v>184005.02</v>
      </c>
      <c r="N354" s="4">
        <v>99055.02</v>
      </c>
      <c r="O354" s="4">
        <v>130371.93</v>
      </c>
      <c r="P354" s="4">
        <v>427956.28</v>
      </c>
      <c r="Q354" s="4">
        <v>109402</v>
      </c>
      <c r="R354" s="4">
        <v>0</v>
      </c>
      <c r="S354" s="4">
        <v>100491.99</v>
      </c>
      <c r="T354" s="4">
        <v>22969.38</v>
      </c>
      <c r="U354" s="4">
        <v>0</v>
      </c>
      <c r="V354" s="4">
        <v>693109.88</v>
      </c>
      <c r="W354" s="4">
        <v>9090437.9199999999</v>
      </c>
      <c r="X354" s="4">
        <v>397605.65</v>
      </c>
      <c r="Y354" s="4">
        <v>26686703.740000002</v>
      </c>
      <c r="Z354" s="4"/>
      <c r="AA354" s="4"/>
      <c r="AB354" s="4">
        <v>246977802.66999999</v>
      </c>
      <c r="AC354" s="4">
        <v>54190.5</v>
      </c>
      <c r="AD354" s="4">
        <v>1571724.86</v>
      </c>
      <c r="AE354" s="4">
        <v>0</v>
      </c>
      <c r="AF354" s="4">
        <v>84876.08</v>
      </c>
      <c r="AG354" s="4">
        <v>139694.71</v>
      </c>
      <c r="AH354" s="4">
        <v>279561</v>
      </c>
      <c r="AI354" s="4">
        <v>194062.46</v>
      </c>
      <c r="AJ354" s="4">
        <v>0</v>
      </c>
      <c r="AK354" s="4">
        <v>520481.18</v>
      </c>
      <c r="AL354" s="4">
        <v>0</v>
      </c>
      <c r="AM354" s="4">
        <v>18234.16</v>
      </c>
      <c r="AN354" s="4">
        <v>0</v>
      </c>
      <c r="AO354" s="4">
        <v>428274.94</v>
      </c>
      <c r="AP354" s="4">
        <v>0</v>
      </c>
      <c r="AQ354" s="4">
        <v>33326.33</v>
      </c>
      <c r="AR354" s="4">
        <v>0</v>
      </c>
      <c r="AS354" s="4">
        <v>0</v>
      </c>
      <c r="AT354" s="4">
        <v>17640.16</v>
      </c>
      <c r="AU354" s="4">
        <v>0</v>
      </c>
      <c r="AV354" s="4">
        <v>581060.42000000004</v>
      </c>
      <c r="AW354" s="4">
        <v>2606095.88</v>
      </c>
      <c r="AX354" s="4">
        <v>1885231.43</v>
      </c>
      <c r="AY354" s="4">
        <v>1256817.45</v>
      </c>
      <c r="AZ354" s="4"/>
      <c r="BA354" s="4"/>
      <c r="BB354" s="4">
        <f t="shared" si="56"/>
        <v>295898582.95999998</v>
      </c>
    </row>
    <row r="355" spans="1:54" x14ac:dyDescent="0.2">
      <c r="A355" s="3">
        <v>36770</v>
      </c>
      <c r="B355" s="4">
        <v>485.99</v>
      </c>
      <c r="C355" s="4">
        <v>675116.42</v>
      </c>
      <c r="D355" s="4">
        <v>58785.07</v>
      </c>
      <c r="E355" s="4">
        <v>0</v>
      </c>
      <c r="F355" s="4">
        <v>287851.52000000002</v>
      </c>
      <c r="G355" s="4">
        <v>277081</v>
      </c>
      <c r="H355" s="4">
        <v>3928.11</v>
      </c>
      <c r="I355" s="4">
        <v>2301.67</v>
      </c>
      <c r="J355" s="4">
        <v>395706.18</v>
      </c>
      <c r="K355" s="4">
        <v>229703.38</v>
      </c>
      <c r="L355" s="4">
        <v>298.97000000000003</v>
      </c>
      <c r="M355" s="4">
        <v>223144.6</v>
      </c>
      <c r="N355" s="4">
        <v>194926.5</v>
      </c>
      <c r="O355" s="4">
        <v>149595.24</v>
      </c>
      <c r="P355" s="4">
        <v>600243.6</v>
      </c>
      <c r="Q355" s="4">
        <v>290089.81</v>
      </c>
      <c r="R355" s="4">
        <v>0</v>
      </c>
      <c r="S355" s="4">
        <v>242736.93</v>
      </c>
      <c r="T355" s="4">
        <v>101859.99</v>
      </c>
      <c r="U355" s="4">
        <v>7.12</v>
      </c>
      <c r="V355" s="4">
        <v>1343902.68</v>
      </c>
      <c r="W355" s="4">
        <v>17678339.690000001</v>
      </c>
      <c r="X355" s="4">
        <v>595517.62</v>
      </c>
      <c r="Y355" s="4">
        <v>36843475.909999996</v>
      </c>
      <c r="Z355" s="4"/>
      <c r="AA355" s="4"/>
      <c r="AB355" s="4">
        <v>349766243.41000003</v>
      </c>
      <c r="AC355" s="4">
        <v>47935.61</v>
      </c>
      <c r="AD355" s="4">
        <v>2050394.88</v>
      </c>
      <c r="AE355" s="4">
        <v>0</v>
      </c>
      <c r="AF355" s="4">
        <v>95379.71</v>
      </c>
      <c r="AG355" s="4">
        <v>180939.23</v>
      </c>
      <c r="AH355" s="4">
        <v>343154.35</v>
      </c>
      <c r="AI355" s="4">
        <v>269264.81</v>
      </c>
      <c r="AJ355" s="4">
        <v>0</v>
      </c>
      <c r="AK355" s="4">
        <v>797964.69</v>
      </c>
      <c r="AL355" s="4">
        <v>0</v>
      </c>
      <c r="AM355" s="4">
        <v>14473.86</v>
      </c>
      <c r="AN355" s="4">
        <v>0</v>
      </c>
      <c r="AO355" s="4">
        <v>559238.93999999994</v>
      </c>
      <c r="AP355" s="4">
        <v>0</v>
      </c>
      <c r="AQ355" s="4">
        <v>76994.67</v>
      </c>
      <c r="AR355" s="4">
        <v>273.77999999999997</v>
      </c>
      <c r="AS355" s="4">
        <v>2790.7</v>
      </c>
      <c r="AT355" s="4">
        <v>16117.83</v>
      </c>
      <c r="AU355" s="4">
        <v>284.45</v>
      </c>
      <c r="AV355" s="4">
        <v>833086.92</v>
      </c>
      <c r="AW355" s="4">
        <v>3112498.38</v>
      </c>
      <c r="AX355" s="4">
        <v>3209684.48</v>
      </c>
      <c r="AY355" s="4">
        <v>2139777.12</v>
      </c>
      <c r="AZ355" s="4"/>
      <c r="BA355" s="4"/>
      <c r="BB355" s="4">
        <f t="shared" si="56"/>
        <v>423711595.82000005</v>
      </c>
    </row>
    <row r="356" spans="1:54" x14ac:dyDescent="0.2">
      <c r="A356" s="3">
        <v>36800</v>
      </c>
      <c r="B356" s="4">
        <v>0</v>
      </c>
      <c r="C356" s="4">
        <v>448337.93</v>
      </c>
      <c r="D356" s="4">
        <v>0</v>
      </c>
      <c r="E356" s="4">
        <v>0</v>
      </c>
      <c r="F356" s="4">
        <v>209826.18</v>
      </c>
      <c r="G356" s="4">
        <v>200522.8</v>
      </c>
      <c r="H356" s="4">
        <v>0</v>
      </c>
      <c r="I356" s="4">
        <v>0</v>
      </c>
      <c r="J356" s="4">
        <v>379571.14</v>
      </c>
      <c r="K356" s="4">
        <v>142618.16</v>
      </c>
      <c r="L356" s="4">
        <v>0</v>
      </c>
      <c r="M356" s="4">
        <v>195090.06</v>
      </c>
      <c r="N356" s="4">
        <v>109493.23</v>
      </c>
      <c r="O356" s="4">
        <v>139263.23000000001</v>
      </c>
      <c r="P356" s="4">
        <v>426800.81</v>
      </c>
      <c r="Q356" s="4">
        <v>119224.37</v>
      </c>
      <c r="R356" s="4">
        <v>0</v>
      </c>
      <c r="S356" s="4">
        <v>130171.92</v>
      </c>
      <c r="T356" s="4">
        <v>39278.879999999997</v>
      </c>
      <c r="U356" s="4">
        <v>0</v>
      </c>
      <c r="V356" s="4">
        <v>765031.21</v>
      </c>
      <c r="W356" s="4">
        <v>11058608.710000001</v>
      </c>
      <c r="X356" s="4">
        <v>355495.74</v>
      </c>
      <c r="Y356" s="4">
        <v>29448979.59</v>
      </c>
      <c r="Z356" s="4"/>
      <c r="AA356" s="4"/>
      <c r="AB356" s="4">
        <v>281158507.46000004</v>
      </c>
      <c r="AC356" s="4">
        <v>52058.52</v>
      </c>
      <c r="AD356" s="4">
        <v>1661582.17</v>
      </c>
      <c r="AE356" s="4">
        <v>0</v>
      </c>
      <c r="AF356" s="4">
        <v>88173.37</v>
      </c>
      <c r="AG356" s="4">
        <v>132240.85</v>
      </c>
      <c r="AH356" s="4">
        <v>312971.71999999997</v>
      </c>
      <c r="AI356" s="4">
        <v>194269.25</v>
      </c>
      <c r="AJ356" s="4">
        <v>0</v>
      </c>
      <c r="AK356" s="4">
        <v>626759.16</v>
      </c>
      <c r="AL356" s="4">
        <v>0</v>
      </c>
      <c r="AM356" s="4">
        <v>19578.32</v>
      </c>
      <c r="AN356" s="4">
        <v>0</v>
      </c>
      <c r="AO356" s="4">
        <v>354295.02</v>
      </c>
      <c r="AP356" s="4">
        <v>0</v>
      </c>
      <c r="AQ356" s="4">
        <v>48196.51</v>
      </c>
      <c r="AR356" s="4">
        <v>0</v>
      </c>
      <c r="AS356" s="4">
        <v>0</v>
      </c>
      <c r="AT356" s="4">
        <v>17299.060000000001</v>
      </c>
      <c r="AU356" s="4">
        <v>0</v>
      </c>
      <c r="AV356" s="4">
        <v>580913.77</v>
      </c>
      <c r="AW356" s="4">
        <v>2881965.48</v>
      </c>
      <c r="AX356" s="4">
        <v>1994958.54</v>
      </c>
      <c r="AY356" s="4">
        <v>1329971.48</v>
      </c>
      <c r="AZ356" s="4"/>
      <c r="BA356" s="4"/>
      <c r="BB356" s="4">
        <f t="shared" si="56"/>
        <v>335622054.6400001</v>
      </c>
    </row>
    <row r="357" spans="1:54" x14ac:dyDescent="0.2">
      <c r="A357" s="3">
        <v>36831</v>
      </c>
      <c r="B357" s="4">
        <v>0</v>
      </c>
      <c r="C357" s="4">
        <v>414693.16</v>
      </c>
      <c r="D357" s="4">
        <v>0</v>
      </c>
      <c r="E357" s="4">
        <v>0</v>
      </c>
      <c r="F357" s="4">
        <v>187603.43</v>
      </c>
      <c r="G357" s="4">
        <v>184303.71</v>
      </c>
      <c r="H357" s="4">
        <v>0</v>
      </c>
      <c r="I357" s="4">
        <v>0</v>
      </c>
      <c r="J357" s="4">
        <v>321258.12</v>
      </c>
      <c r="K357" s="4">
        <v>132578.10999999999</v>
      </c>
      <c r="L357" s="4">
        <v>0</v>
      </c>
      <c r="M357" s="4">
        <v>179743.08</v>
      </c>
      <c r="N357" s="4">
        <v>99017.52</v>
      </c>
      <c r="O357" s="4">
        <v>130567.54</v>
      </c>
      <c r="P357" s="4">
        <v>420373.06</v>
      </c>
      <c r="Q357" s="4">
        <v>113388.33</v>
      </c>
      <c r="R357" s="4">
        <v>0</v>
      </c>
      <c r="S357" s="4">
        <v>106363.38</v>
      </c>
      <c r="T357" s="4">
        <v>20346.64</v>
      </c>
      <c r="U357" s="4">
        <v>0</v>
      </c>
      <c r="V357" s="4">
        <v>718405.75</v>
      </c>
      <c r="W357" s="4">
        <v>8491342.6999999993</v>
      </c>
      <c r="X357" s="4">
        <v>318360.87</v>
      </c>
      <c r="Y357" s="4">
        <v>27728666.449999999</v>
      </c>
      <c r="Z357" s="4"/>
      <c r="AA357" s="4"/>
      <c r="AB357" s="4">
        <v>265632404.49000001</v>
      </c>
      <c r="AC357" s="4">
        <v>53910.9</v>
      </c>
      <c r="AD357" s="4">
        <v>1496897.03</v>
      </c>
      <c r="AE357" s="4">
        <v>0</v>
      </c>
      <c r="AF357" s="4">
        <v>77239.92</v>
      </c>
      <c r="AG357" s="4">
        <v>132439.51</v>
      </c>
      <c r="AH357" s="4">
        <v>274274.56</v>
      </c>
      <c r="AI357" s="4">
        <v>195378.55</v>
      </c>
      <c r="AJ357" s="4">
        <v>0</v>
      </c>
      <c r="AK357" s="4">
        <v>556314.54</v>
      </c>
      <c r="AL357" s="4">
        <v>0</v>
      </c>
      <c r="AM357" s="4">
        <v>20861.28</v>
      </c>
      <c r="AN357" s="4">
        <v>0</v>
      </c>
      <c r="AO357" s="4">
        <v>342857.89</v>
      </c>
      <c r="AP357" s="4">
        <v>0</v>
      </c>
      <c r="AQ357" s="4">
        <v>31748.39</v>
      </c>
      <c r="AR357" s="4">
        <v>0</v>
      </c>
      <c r="AS357" s="4">
        <v>0</v>
      </c>
      <c r="AT357" s="4">
        <v>15867.61</v>
      </c>
      <c r="AU357" s="4">
        <v>0</v>
      </c>
      <c r="AV357" s="4">
        <v>541752.35</v>
      </c>
      <c r="AW357" s="4">
        <v>2837447.07</v>
      </c>
      <c r="AX357" s="4">
        <v>1881130.23</v>
      </c>
      <c r="AY357" s="4">
        <v>1254085.74</v>
      </c>
      <c r="AZ357" s="4"/>
      <c r="BA357" s="4"/>
      <c r="BB357" s="4">
        <f t="shared" si="56"/>
        <v>314911621.91000003</v>
      </c>
    </row>
    <row r="358" spans="1:54" x14ac:dyDescent="0.2">
      <c r="A358" s="3">
        <v>36861</v>
      </c>
      <c r="B358" s="4">
        <v>434.8</v>
      </c>
      <c r="C358" s="4">
        <v>529423.22</v>
      </c>
      <c r="D358" s="4">
        <v>21344.66</v>
      </c>
      <c r="E358" s="4">
        <v>0</v>
      </c>
      <c r="F358" s="4">
        <v>300799.02</v>
      </c>
      <c r="G358" s="4">
        <v>265940.39</v>
      </c>
      <c r="H358" s="4">
        <v>3273.23</v>
      </c>
      <c r="I358" s="4">
        <v>1251.6199999999999</v>
      </c>
      <c r="J358" s="4">
        <v>533110.27</v>
      </c>
      <c r="K358" s="4">
        <v>189543.63</v>
      </c>
      <c r="L358" s="4">
        <v>0</v>
      </c>
      <c r="M358" s="4">
        <v>212731.43</v>
      </c>
      <c r="N358" s="4">
        <v>157824.65</v>
      </c>
      <c r="O358" s="4">
        <v>165140.84</v>
      </c>
      <c r="P358" s="4">
        <v>712213.74</v>
      </c>
      <c r="Q358" s="4">
        <v>267057.48</v>
      </c>
      <c r="R358" s="4">
        <v>0</v>
      </c>
      <c r="S358" s="4">
        <v>150661.68</v>
      </c>
      <c r="T358" s="4">
        <v>98545.07</v>
      </c>
      <c r="U358" s="4">
        <v>5.8</v>
      </c>
      <c r="V358" s="4">
        <v>1115236.26</v>
      </c>
      <c r="W358" s="4">
        <v>17156139.989999998</v>
      </c>
      <c r="X358" s="4">
        <v>405027.41</v>
      </c>
      <c r="Y358" s="4">
        <v>41614245.370000005</v>
      </c>
      <c r="Z358" s="4"/>
      <c r="AA358" s="4"/>
      <c r="AB358" s="4">
        <v>363896614.13999999</v>
      </c>
      <c r="AC358" s="4">
        <v>70602.64</v>
      </c>
      <c r="AD358" s="4">
        <v>1801597.68</v>
      </c>
      <c r="AE358" s="4">
        <v>0</v>
      </c>
      <c r="AF358" s="4">
        <v>100283.61</v>
      </c>
      <c r="AG358" s="4">
        <v>117720.41</v>
      </c>
      <c r="AH358" s="4">
        <v>449038.92</v>
      </c>
      <c r="AI358" s="4">
        <v>249684.69</v>
      </c>
      <c r="AJ358" s="4">
        <v>0</v>
      </c>
      <c r="AK358" s="4">
        <v>846242.63</v>
      </c>
      <c r="AL358" s="4">
        <v>2622.44</v>
      </c>
      <c r="AM358" s="4">
        <v>28556.07</v>
      </c>
      <c r="AN358" s="4">
        <v>0</v>
      </c>
      <c r="AO358" s="4">
        <v>484782.53</v>
      </c>
      <c r="AP358" s="4">
        <v>0</v>
      </c>
      <c r="AQ358" s="4">
        <v>60619.23</v>
      </c>
      <c r="AR358" s="4">
        <v>438.07</v>
      </c>
      <c r="AS358" s="4">
        <v>0</v>
      </c>
      <c r="AT358" s="4">
        <v>16595.03</v>
      </c>
      <c r="AU358" s="4">
        <v>176.47</v>
      </c>
      <c r="AV358" s="4">
        <v>766966.27</v>
      </c>
      <c r="AW358" s="4">
        <v>3124646.75</v>
      </c>
      <c r="AX358" s="4">
        <v>3493263.12</v>
      </c>
      <c r="AY358" s="4">
        <v>2329146.81</v>
      </c>
      <c r="AZ358" s="4"/>
      <c r="BA358" s="4"/>
      <c r="BB358" s="4">
        <f t="shared" si="56"/>
        <v>441739548.06999999</v>
      </c>
    </row>
    <row r="359" spans="1:54" ht="15.75" thickBot="1" x14ac:dyDescent="0.25">
      <c r="A359" s="11" t="s">
        <v>5</v>
      </c>
      <c r="B359" s="5">
        <f t="shared" ref="B359:AY359" si="57">SUM(B347:B358)</f>
        <v>6652.34</v>
      </c>
      <c r="C359" s="5">
        <f t="shared" si="57"/>
        <v>6025571.8599999994</v>
      </c>
      <c r="D359" s="5">
        <f t="shared" si="57"/>
        <v>698479.93999999983</v>
      </c>
      <c r="E359" s="5">
        <f t="shared" si="57"/>
        <v>0</v>
      </c>
      <c r="F359" s="5">
        <f t="shared" si="57"/>
        <v>2841951.7700000005</v>
      </c>
      <c r="G359" s="5">
        <f t="shared" si="57"/>
        <v>2455956.3600000003</v>
      </c>
      <c r="H359" s="5">
        <f t="shared" si="57"/>
        <v>20344.900000000001</v>
      </c>
      <c r="I359" s="5">
        <f t="shared" si="57"/>
        <v>9058.7900000000009</v>
      </c>
      <c r="J359" s="5">
        <f t="shared" si="57"/>
        <v>4707552.6500000004</v>
      </c>
      <c r="K359" s="5">
        <f t="shared" si="57"/>
        <v>1887094.8899999997</v>
      </c>
      <c r="L359" s="5">
        <f t="shared" si="57"/>
        <v>724.28</v>
      </c>
      <c r="M359" s="5">
        <f t="shared" si="57"/>
        <v>2385507.16</v>
      </c>
      <c r="N359" s="5">
        <f t="shared" si="57"/>
        <v>1496615.7</v>
      </c>
      <c r="O359" s="5">
        <f t="shared" si="57"/>
        <v>1774570.73</v>
      </c>
      <c r="P359" s="5">
        <f t="shared" si="57"/>
        <v>5911988.4299999997</v>
      </c>
      <c r="Q359" s="5">
        <f t="shared" si="57"/>
        <v>1844864.35</v>
      </c>
      <c r="R359" s="5">
        <f t="shared" si="57"/>
        <v>0</v>
      </c>
      <c r="S359" s="5">
        <f t="shared" si="57"/>
        <v>1741388.76</v>
      </c>
      <c r="T359" s="5">
        <f t="shared" si="57"/>
        <v>519904.92000000004</v>
      </c>
      <c r="U359" s="5">
        <f t="shared" si="57"/>
        <v>135.66</v>
      </c>
      <c r="V359" s="5">
        <f t="shared" si="57"/>
        <v>10420595.310000001</v>
      </c>
      <c r="W359" s="5">
        <f t="shared" si="57"/>
        <v>145288729.34999999</v>
      </c>
      <c r="X359" s="5">
        <f t="shared" si="57"/>
        <v>4772318.26</v>
      </c>
      <c r="Y359" s="5">
        <f t="shared" si="57"/>
        <v>369638944.5</v>
      </c>
      <c r="Z359" s="5"/>
      <c r="AA359" s="5"/>
      <c r="AB359" s="5">
        <f t="shared" si="57"/>
        <v>3467297542.3200002</v>
      </c>
      <c r="AC359" s="5">
        <f t="shared" si="57"/>
        <v>764080.28</v>
      </c>
      <c r="AD359" s="5">
        <f t="shared" si="57"/>
        <v>20634388.009999998</v>
      </c>
      <c r="AE359" s="5">
        <f t="shared" si="57"/>
        <v>37927.64</v>
      </c>
      <c r="AF359" s="5">
        <f t="shared" si="57"/>
        <v>1100698.31</v>
      </c>
      <c r="AG359" s="5">
        <f t="shared" si="57"/>
        <v>1779208.75</v>
      </c>
      <c r="AH359" s="5">
        <f t="shared" si="57"/>
        <v>4060222.23</v>
      </c>
      <c r="AI359" s="5">
        <f t="shared" si="57"/>
        <v>2726287.73</v>
      </c>
      <c r="AJ359" s="5">
        <f t="shared" si="57"/>
        <v>0</v>
      </c>
      <c r="AK359" s="5">
        <f t="shared" si="57"/>
        <v>7684958.1999999993</v>
      </c>
      <c r="AL359" s="5">
        <f t="shared" si="57"/>
        <v>4054.58</v>
      </c>
      <c r="AM359" s="5">
        <f t="shared" si="57"/>
        <v>281422.90000000002</v>
      </c>
      <c r="AN359" s="5">
        <f t="shared" si="57"/>
        <v>0</v>
      </c>
      <c r="AO359" s="5">
        <f t="shared" si="57"/>
        <v>5498959.4199999999</v>
      </c>
      <c r="AP359" s="5">
        <f t="shared" si="57"/>
        <v>0</v>
      </c>
      <c r="AQ359" s="5">
        <f t="shared" si="57"/>
        <v>552274.73</v>
      </c>
      <c r="AR359" s="5">
        <f t="shared" si="57"/>
        <v>1032.4199999999998</v>
      </c>
      <c r="AS359" s="5">
        <f t="shared" si="57"/>
        <v>8565.9</v>
      </c>
      <c r="AT359" s="5">
        <f t="shared" si="57"/>
        <v>215979.28999999995</v>
      </c>
      <c r="AU359" s="5">
        <f t="shared" si="57"/>
        <v>1028.75</v>
      </c>
      <c r="AV359" s="5">
        <f t="shared" si="57"/>
        <v>7625952.2399999984</v>
      </c>
      <c r="AW359" s="5">
        <f t="shared" si="57"/>
        <v>34030998.68</v>
      </c>
      <c r="AX359" s="5">
        <f t="shared" si="57"/>
        <v>27735076.25</v>
      </c>
      <c r="AY359" s="5">
        <f t="shared" si="57"/>
        <v>18489851.18</v>
      </c>
      <c r="AZ359" s="5"/>
      <c r="BA359" s="5"/>
      <c r="BB359" s="5">
        <f t="shared" si="56"/>
        <v>4164979460.7199998</v>
      </c>
    </row>
    <row r="360" spans="1:54" ht="15.75" thickTop="1" x14ac:dyDescent="0.2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</row>
    <row r="361" spans="1:54" x14ac:dyDescent="0.2">
      <c r="A361" s="3">
        <v>36161</v>
      </c>
      <c r="B361" s="4">
        <v>0</v>
      </c>
      <c r="C361" s="4">
        <v>435699.27</v>
      </c>
      <c r="D361" s="4">
        <v>157989.24</v>
      </c>
      <c r="E361" s="4">
        <v>0</v>
      </c>
      <c r="F361" s="4">
        <v>202546.44</v>
      </c>
      <c r="G361" s="4">
        <v>188822.5</v>
      </c>
      <c r="H361" s="4">
        <v>0</v>
      </c>
      <c r="I361" s="4">
        <v>0</v>
      </c>
      <c r="J361" s="4">
        <v>344345.52</v>
      </c>
      <c r="K361" s="4">
        <v>136642.1</v>
      </c>
      <c r="L361" s="4">
        <v>0</v>
      </c>
      <c r="M361" s="4">
        <v>191146.42</v>
      </c>
      <c r="N361" s="4">
        <v>80857.02</v>
      </c>
      <c r="O361" s="4">
        <v>128770.74</v>
      </c>
      <c r="P361" s="4">
        <v>419327.97</v>
      </c>
      <c r="Q361" s="4">
        <v>92042.1</v>
      </c>
      <c r="R361" s="4">
        <v>0</v>
      </c>
      <c r="S361" s="4">
        <v>128756.32</v>
      </c>
      <c r="T361" s="4">
        <v>9392.59</v>
      </c>
      <c r="U361" s="4">
        <v>0</v>
      </c>
      <c r="V361" s="4">
        <v>731116.86</v>
      </c>
      <c r="W361" s="4">
        <v>9853688.6300000008</v>
      </c>
      <c r="X361" s="4">
        <v>353341.32</v>
      </c>
      <c r="Y361" s="4">
        <v>25902894.259999998</v>
      </c>
      <c r="Z361" s="4"/>
      <c r="AA361" s="4"/>
      <c r="AB361" s="4">
        <v>255326641.88</v>
      </c>
      <c r="AC361" s="4">
        <v>80103.009999999995</v>
      </c>
      <c r="AD361" s="4">
        <v>1446084.29</v>
      </c>
      <c r="AE361" s="4">
        <v>0</v>
      </c>
      <c r="AF361" s="4">
        <v>82734.3</v>
      </c>
      <c r="AG361" s="4">
        <v>140985.94</v>
      </c>
      <c r="AH361" s="4">
        <v>215490.49</v>
      </c>
      <c r="AI361" s="4">
        <v>168932.79</v>
      </c>
      <c r="AJ361" s="4">
        <v>0</v>
      </c>
      <c r="AK361" s="4">
        <v>479026.2</v>
      </c>
      <c r="AL361" s="4">
        <v>0</v>
      </c>
      <c r="AM361" s="4">
        <v>32913.71</v>
      </c>
      <c r="AN361" s="4">
        <v>0</v>
      </c>
      <c r="AO361" s="4">
        <v>368083.42</v>
      </c>
      <c r="AP361" s="4">
        <v>0</v>
      </c>
      <c r="AQ361" s="4">
        <v>20858.740000000002</v>
      </c>
      <c r="AR361" s="4">
        <v>0</v>
      </c>
      <c r="AS361" s="4">
        <v>0</v>
      </c>
      <c r="AT361" s="4">
        <v>18567.86</v>
      </c>
      <c r="AU361" s="4">
        <v>0</v>
      </c>
      <c r="AV361" s="4">
        <v>586464.55000000005</v>
      </c>
      <c r="AW361" s="4">
        <v>2216594.38</v>
      </c>
      <c r="AX361" s="4">
        <v>1914581.76</v>
      </c>
      <c r="AY361" s="4">
        <v>1276382.08</v>
      </c>
      <c r="AZ361" s="4"/>
      <c r="BA361" s="4"/>
      <c r="BB361" s="4">
        <f t="shared" ref="BB361:BB373" si="58">SUM(B361:AY361)</f>
        <v>303731824.70000005</v>
      </c>
    </row>
    <row r="362" spans="1:54" x14ac:dyDescent="0.2">
      <c r="A362" s="3">
        <v>36192</v>
      </c>
      <c r="B362" s="4">
        <v>0</v>
      </c>
      <c r="C362" s="4">
        <v>331840.51</v>
      </c>
      <c r="D362" s="4">
        <v>140153.04999999999</v>
      </c>
      <c r="E362" s="4">
        <v>0</v>
      </c>
      <c r="F362" s="4">
        <v>157343.91</v>
      </c>
      <c r="G362" s="4">
        <v>144231.4</v>
      </c>
      <c r="H362" s="4">
        <v>0</v>
      </c>
      <c r="I362" s="4">
        <v>0</v>
      </c>
      <c r="J362" s="4">
        <v>295546.78999999998</v>
      </c>
      <c r="K362" s="4">
        <v>104342.24</v>
      </c>
      <c r="L362" s="4">
        <v>0</v>
      </c>
      <c r="M362" s="4">
        <v>196270.39</v>
      </c>
      <c r="N362" s="4">
        <v>71127.149999999994</v>
      </c>
      <c r="O362" s="4">
        <v>95705.53</v>
      </c>
      <c r="P362" s="4">
        <v>339218.08</v>
      </c>
      <c r="Q362" s="4">
        <v>75764.67</v>
      </c>
      <c r="R362" s="4">
        <v>0</v>
      </c>
      <c r="S362" s="4">
        <v>110583.1</v>
      </c>
      <c r="T362" s="4">
        <v>8830.77</v>
      </c>
      <c r="U362" s="4">
        <v>0</v>
      </c>
      <c r="V362" s="4">
        <v>598703.99</v>
      </c>
      <c r="W362" s="4">
        <v>7238621.8599999994</v>
      </c>
      <c r="X362" s="4">
        <v>292855.71999999997</v>
      </c>
      <c r="Y362" s="4">
        <v>20781080.48</v>
      </c>
      <c r="Z362" s="4"/>
      <c r="AA362" s="4"/>
      <c r="AB362" s="4">
        <v>206626712.94000003</v>
      </c>
      <c r="AC362" s="4">
        <v>65872.039999999994</v>
      </c>
      <c r="AD362" s="4">
        <v>1166185.57</v>
      </c>
      <c r="AE362" s="4">
        <v>0</v>
      </c>
      <c r="AF362" s="4">
        <v>60723.61</v>
      </c>
      <c r="AG362" s="4">
        <v>109138.4</v>
      </c>
      <c r="AH362" s="4">
        <v>208593.42</v>
      </c>
      <c r="AI362" s="4">
        <v>136005.54999999999</v>
      </c>
      <c r="AJ362" s="4">
        <v>0</v>
      </c>
      <c r="AK362" s="4">
        <v>382377.76</v>
      </c>
      <c r="AL362" s="4">
        <v>0</v>
      </c>
      <c r="AM362" s="4">
        <v>27203.69</v>
      </c>
      <c r="AN362" s="4">
        <v>0</v>
      </c>
      <c r="AO362" s="4">
        <v>290436.59000000003</v>
      </c>
      <c r="AP362" s="4">
        <v>0</v>
      </c>
      <c r="AQ362" s="4">
        <v>26579.9</v>
      </c>
      <c r="AR362" s="4">
        <v>0</v>
      </c>
      <c r="AS362" s="4">
        <v>0</v>
      </c>
      <c r="AT362" s="4">
        <v>15968.64</v>
      </c>
      <c r="AU362" s="4">
        <v>0</v>
      </c>
      <c r="AV362" s="4">
        <v>445099.57</v>
      </c>
      <c r="AW362" s="4">
        <v>2326025.4700000002</v>
      </c>
      <c r="AX362" s="4">
        <v>1512380.53</v>
      </c>
      <c r="AY362" s="4">
        <v>1008247.68</v>
      </c>
      <c r="AZ362" s="4"/>
      <c r="BA362" s="4"/>
      <c r="BB362" s="4">
        <f t="shared" si="58"/>
        <v>245389771.00000003</v>
      </c>
    </row>
    <row r="363" spans="1:54" x14ac:dyDescent="0.2">
      <c r="A363" s="3">
        <v>36220</v>
      </c>
      <c r="B363" s="4">
        <v>0</v>
      </c>
      <c r="C363" s="4">
        <v>714401.6</v>
      </c>
      <c r="D363" s="4">
        <v>371524.95</v>
      </c>
      <c r="E363" s="4">
        <v>0</v>
      </c>
      <c r="F363" s="4">
        <v>205276.74</v>
      </c>
      <c r="G363" s="4">
        <v>228402.39</v>
      </c>
      <c r="H363" s="4">
        <v>2640.31</v>
      </c>
      <c r="I363" s="4">
        <v>0</v>
      </c>
      <c r="J363" s="4">
        <v>473560.16</v>
      </c>
      <c r="K363" s="4">
        <v>294999.90999999997</v>
      </c>
      <c r="L363" s="4">
        <v>245.08</v>
      </c>
      <c r="M363" s="4">
        <v>172994.89</v>
      </c>
      <c r="N363" s="4">
        <v>179531.62</v>
      </c>
      <c r="O363" s="4">
        <v>183912</v>
      </c>
      <c r="P363" s="4">
        <v>599819.38</v>
      </c>
      <c r="Q363" s="4">
        <v>160512.07</v>
      </c>
      <c r="R363" s="4">
        <v>0</v>
      </c>
      <c r="S363" s="4">
        <v>110874.64</v>
      </c>
      <c r="T363" s="4">
        <v>102362.72</v>
      </c>
      <c r="U363" s="4">
        <v>0</v>
      </c>
      <c r="V363" s="4">
        <v>899409.95</v>
      </c>
      <c r="W363" s="4">
        <v>11809390.450000001</v>
      </c>
      <c r="X363" s="4">
        <v>456782.99</v>
      </c>
      <c r="Y363" s="4">
        <v>32592138.550000001</v>
      </c>
      <c r="Z363" s="4"/>
      <c r="AA363" s="4"/>
      <c r="AB363" s="4">
        <v>299616298.72999996</v>
      </c>
      <c r="AC363" s="4">
        <v>56795.69</v>
      </c>
      <c r="AD363" s="4">
        <v>1416015.38</v>
      </c>
      <c r="AE363" s="4">
        <v>0</v>
      </c>
      <c r="AF363" s="4">
        <v>174661.89</v>
      </c>
      <c r="AG363" s="4">
        <v>164256.74</v>
      </c>
      <c r="AH363" s="4">
        <v>701411.34</v>
      </c>
      <c r="AI363" s="4">
        <v>298077.84999999998</v>
      </c>
      <c r="AJ363" s="4">
        <v>0</v>
      </c>
      <c r="AK363" s="4">
        <v>827161.33</v>
      </c>
      <c r="AL363" s="4">
        <v>0</v>
      </c>
      <c r="AM363" s="4">
        <v>25189.77</v>
      </c>
      <c r="AN363" s="4">
        <v>0</v>
      </c>
      <c r="AO363" s="4">
        <v>550841.98</v>
      </c>
      <c r="AP363" s="4">
        <v>0</v>
      </c>
      <c r="AQ363" s="4">
        <v>55744.52</v>
      </c>
      <c r="AR363" s="4">
        <v>375.73</v>
      </c>
      <c r="AS363" s="4">
        <v>604.04999999999995</v>
      </c>
      <c r="AT363" s="4">
        <v>19360.849999999999</v>
      </c>
      <c r="AU363" s="4">
        <v>332.34</v>
      </c>
      <c r="AV363" s="4">
        <v>669386.30000000005</v>
      </c>
      <c r="AW363" s="4">
        <v>2951245.84</v>
      </c>
      <c r="AX363" s="4">
        <v>2104711.75</v>
      </c>
      <c r="AY363" s="4">
        <v>1403113.16</v>
      </c>
      <c r="AZ363" s="4"/>
      <c r="BA363" s="4"/>
      <c r="BB363" s="4">
        <f t="shared" si="58"/>
        <v>360594365.63999999</v>
      </c>
    </row>
    <row r="364" spans="1:54" x14ac:dyDescent="0.2">
      <c r="A364" s="3">
        <v>36251</v>
      </c>
      <c r="B364" s="4">
        <v>0</v>
      </c>
      <c r="C364" s="4">
        <v>395674.28</v>
      </c>
      <c r="D364" s="4">
        <v>178567.92</v>
      </c>
      <c r="E364" s="4">
        <v>0</v>
      </c>
      <c r="F364" s="4">
        <v>194894.07999999999</v>
      </c>
      <c r="G364" s="4">
        <v>166661.71</v>
      </c>
      <c r="H364" s="4">
        <v>0</v>
      </c>
      <c r="I364" s="4">
        <v>0</v>
      </c>
      <c r="J364" s="4">
        <v>322079.86</v>
      </c>
      <c r="K364" s="4">
        <v>133017.92000000001</v>
      </c>
      <c r="L364" s="4">
        <v>0</v>
      </c>
      <c r="M364" s="4">
        <v>173509.23</v>
      </c>
      <c r="N364" s="4">
        <v>88744.63</v>
      </c>
      <c r="O364" s="4">
        <v>122839.48</v>
      </c>
      <c r="P364" s="4">
        <v>405515.66</v>
      </c>
      <c r="Q364" s="4">
        <v>104968.51</v>
      </c>
      <c r="R364" s="4">
        <v>0</v>
      </c>
      <c r="S364" s="4">
        <v>116525.51</v>
      </c>
      <c r="T364" s="4">
        <v>19463.990000000002</v>
      </c>
      <c r="U364" s="4">
        <v>0</v>
      </c>
      <c r="V364" s="4">
        <v>633110.54</v>
      </c>
      <c r="W364" s="4">
        <v>10386330.68</v>
      </c>
      <c r="X364" s="4">
        <v>326976.62</v>
      </c>
      <c r="Y364" s="4">
        <v>25013868.990000002</v>
      </c>
      <c r="Z364" s="4"/>
      <c r="AA364" s="4"/>
      <c r="AB364" s="4">
        <v>239562251.90000001</v>
      </c>
      <c r="AC364" s="4">
        <v>74374.64</v>
      </c>
      <c r="AD364" s="4">
        <v>1383858.67</v>
      </c>
      <c r="AE364" s="4">
        <v>0</v>
      </c>
      <c r="AF364" s="4">
        <v>82527.61</v>
      </c>
      <c r="AG364" s="4">
        <v>126850.13</v>
      </c>
      <c r="AH364" s="4">
        <v>250919.19</v>
      </c>
      <c r="AI364" s="4">
        <v>173320.31</v>
      </c>
      <c r="AJ364" s="4">
        <v>0</v>
      </c>
      <c r="AK364" s="4">
        <v>502847.09</v>
      </c>
      <c r="AL364" s="4">
        <v>0</v>
      </c>
      <c r="AM364" s="4">
        <v>23226.61</v>
      </c>
      <c r="AN364" s="4">
        <v>0</v>
      </c>
      <c r="AO364" s="4">
        <v>352781.84</v>
      </c>
      <c r="AP364" s="4">
        <v>0</v>
      </c>
      <c r="AQ364" s="4">
        <v>35160.5</v>
      </c>
      <c r="AR364" s="4">
        <v>0</v>
      </c>
      <c r="AS364" s="4">
        <v>0</v>
      </c>
      <c r="AT364" s="4">
        <v>15799.47</v>
      </c>
      <c r="AU364" s="4">
        <v>0</v>
      </c>
      <c r="AV364" s="4">
        <v>524475.18999999994</v>
      </c>
      <c r="AW364" s="4">
        <v>2371339.54</v>
      </c>
      <c r="AX364" s="4">
        <v>1742995.86</v>
      </c>
      <c r="AY364" s="4">
        <v>1161956.6499999999</v>
      </c>
      <c r="AZ364" s="4"/>
      <c r="BA364" s="4"/>
      <c r="BB364" s="4">
        <f t="shared" si="58"/>
        <v>287167434.81</v>
      </c>
    </row>
    <row r="365" spans="1:54" x14ac:dyDescent="0.2">
      <c r="A365" s="3">
        <v>36281</v>
      </c>
      <c r="B365" s="4">
        <v>0</v>
      </c>
      <c r="C365" s="4">
        <v>386466.03</v>
      </c>
      <c r="D365" s="4">
        <v>175674.22</v>
      </c>
      <c r="E365" s="4">
        <v>0</v>
      </c>
      <c r="F365" s="4">
        <v>189082.71</v>
      </c>
      <c r="G365" s="4">
        <v>154003.4</v>
      </c>
      <c r="H365" s="4">
        <v>0</v>
      </c>
      <c r="I365" s="4">
        <v>0</v>
      </c>
      <c r="J365" s="4">
        <v>290307.09999999998</v>
      </c>
      <c r="K365" s="4">
        <v>126266.39</v>
      </c>
      <c r="L365" s="4">
        <v>0</v>
      </c>
      <c r="M365" s="4">
        <v>165118.54</v>
      </c>
      <c r="N365" s="4">
        <v>84406.61</v>
      </c>
      <c r="O365" s="4">
        <v>121454.27</v>
      </c>
      <c r="P365" s="4">
        <v>393476.85</v>
      </c>
      <c r="Q365" s="4">
        <v>83806.929999999993</v>
      </c>
      <c r="R365" s="4">
        <v>0</v>
      </c>
      <c r="S365" s="4">
        <v>116563.55</v>
      </c>
      <c r="T365" s="4">
        <v>10925.91</v>
      </c>
      <c r="U365" s="4">
        <v>0</v>
      </c>
      <c r="V365" s="4">
        <v>605323.06999999995</v>
      </c>
      <c r="W365" s="4">
        <v>8057302.6799999997</v>
      </c>
      <c r="X365" s="4">
        <v>311667.49</v>
      </c>
      <c r="Y365" s="4">
        <v>23322084</v>
      </c>
      <c r="Z365" s="4"/>
      <c r="AA365" s="4"/>
      <c r="AB365" s="4">
        <v>222114462.31</v>
      </c>
      <c r="AC365" s="4">
        <v>64056.39</v>
      </c>
      <c r="AD365" s="4">
        <v>1344080.99</v>
      </c>
      <c r="AE365" s="4">
        <v>0.65</v>
      </c>
      <c r="AF365" s="4">
        <v>77068.899999999994</v>
      </c>
      <c r="AG365" s="4">
        <v>118909.71</v>
      </c>
      <c r="AH365" s="4">
        <v>246185.62</v>
      </c>
      <c r="AI365" s="4">
        <v>168322.04</v>
      </c>
      <c r="AJ365" s="4">
        <v>0</v>
      </c>
      <c r="AK365" s="4">
        <v>462022.41</v>
      </c>
      <c r="AL365" s="4">
        <v>0</v>
      </c>
      <c r="AM365" s="4">
        <v>23221.17</v>
      </c>
      <c r="AN365" s="4">
        <v>0</v>
      </c>
      <c r="AO365" s="4">
        <v>366621.07</v>
      </c>
      <c r="AP365" s="4">
        <v>0</v>
      </c>
      <c r="AQ365" s="4">
        <v>33512.58</v>
      </c>
      <c r="AR365" s="4">
        <v>0</v>
      </c>
      <c r="AS365" s="4">
        <v>0</v>
      </c>
      <c r="AT365" s="4">
        <v>17800.34</v>
      </c>
      <c r="AU365" s="4">
        <v>0</v>
      </c>
      <c r="AV365" s="4">
        <v>491061.46</v>
      </c>
      <c r="AW365" s="4">
        <v>2279127.38</v>
      </c>
      <c r="AX365" s="4">
        <v>1651403.28</v>
      </c>
      <c r="AY365" s="4">
        <v>1100924.56</v>
      </c>
      <c r="AZ365" s="4"/>
      <c r="BA365" s="4"/>
      <c r="BB365" s="4">
        <f t="shared" si="58"/>
        <v>265152710.61000001</v>
      </c>
    </row>
    <row r="366" spans="1:54" x14ac:dyDescent="0.2">
      <c r="A366" s="3">
        <v>36312</v>
      </c>
      <c r="B366" s="4">
        <v>0</v>
      </c>
      <c r="C366" s="4">
        <v>699546.43</v>
      </c>
      <c r="D366" s="4">
        <v>275196.02</v>
      </c>
      <c r="E366" s="4">
        <v>0</v>
      </c>
      <c r="F366" s="4">
        <v>361680.48</v>
      </c>
      <c r="G366" s="4">
        <v>300587.03999999998</v>
      </c>
      <c r="H366" s="4">
        <v>12603.5</v>
      </c>
      <c r="I366" s="4">
        <v>21471.14</v>
      </c>
      <c r="J366" s="4">
        <v>407198.06</v>
      </c>
      <c r="K366" s="4">
        <v>197307.03</v>
      </c>
      <c r="L366" s="4">
        <v>118.98</v>
      </c>
      <c r="M366" s="4">
        <v>293699.74</v>
      </c>
      <c r="N366" s="4">
        <v>189360.37</v>
      </c>
      <c r="O366" s="4">
        <v>226798.87</v>
      </c>
      <c r="P366" s="4">
        <v>637867.62</v>
      </c>
      <c r="Q366" s="4">
        <v>203522.04</v>
      </c>
      <c r="R366" s="4">
        <v>0</v>
      </c>
      <c r="S366" s="4">
        <v>157498.76999999999</v>
      </c>
      <c r="T366" s="4">
        <v>73822.84</v>
      </c>
      <c r="U366" s="4">
        <v>0</v>
      </c>
      <c r="V366" s="4">
        <v>1125793.78</v>
      </c>
      <c r="W366" s="4">
        <v>13638696.120000001</v>
      </c>
      <c r="X366" s="4">
        <v>477233.71</v>
      </c>
      <c r="Y366" s="4">
        <v>34599988.149999999</v>
      </c>
      <c r="Z366" s="4"/>
      <c r="AA366" s="4"/>
      <c r="AB366" s="4">
        <v>313033852.19</v>
      </c>
      <c r="AC366" s="4">
        <v>65172.72</v>
      </c>
      <c r="AD366" s="4">
        <v>1932860.35</v>
      </c>
      <c r="AE366" s="4">
        <v>0</v>
      </c>
      <c r="AF366" s="4">
        <v>138561.29</v>
      </c>
      <c r="AG366" s="4">
        <v>188586.73</v>
      </c>
      <c r="AH366" s="4">
        <v>463641.98</v>
      </c>
      <c r="AI366" s="4">
        <v>258791.3</v>
      </c>
      <c r="AJ366" s="4">
        <v>0</v>
      </c>
      <c r="AK366" s="4">
        <v>833432.35</v>
      </c>
      <c r="AL366" s="4">
        <v>0</v>
      </c>
      <c r="AM366" s="4">
        <v>28211.93</v>
      </c>
      <c r="AN366" s="4">
        <v>0</v>
      </c>
      <c r="AO366" s="4">
        <v>478681.35</v>
      </c>
      <c r="AP366" s="4">
        <v>0</v>
      </c>
      <c r="AQ366" s="4">
        <v>51801.65</v>
      </c>
      <c r="AR366" s="4">
        <v>389.17</v>
      </c>
      <c r="AS366" s="4">
        <v>4572.68</v>
      </c>
      <c r="AT366" s="4">
        <v>26416.75</v>
      </c>
      <c r="AU366" s="4">
        <v>320.42</v>
      </c>
      <c r="AV366" s="4">
        <v>922814.58</v>
      </c>
      <c r="AW366" s="4">
        <v>3430769.65</v>
      </c>
      <c r="AX366" s="4">
        <v>1984689.5</v>
      </c>
      <c r="AY366" s="4">
        <v>1323413.73</v>
      </c>
      <c r="AZ366" s="4"/>
      <c r="BA366" s="4"/>
      <c r="BB366" s="4">
        <f t="shared" si="58"/>
        <v>379066971.01000017</v>
      </c>
    </row>
    <row r="367" spans="1:54" x14ac:dyDescent="0.2">
      <c r="A367" s="3">
        <v>36342</v>
      </c>
      <c r="B367" s="4">
        <v>0</v>
      </c>
      <c r="C367" s="4">
        <v>392170.36</v>
      </c>
      <c r="D367" s="4">
        <v>198296.37</v>
      </c>
      <c r="E367" s="4">
        <v>0</v>
      </c>
      <c r="F367" s="4">
        <v>224536.09</v>
      </c>
      <c r="G367" s="4">
        <v>185181.17</v>
      </c>
      <c r="H367" s="4">
        <v>0</v>
      </c>
      <c r="I367" s="4">
        <v>0</v>
      </c>
      <c r="J367" s="4">
        <v>337616.57</v>
      </c>
      <c r="K367" s="4">
        <v>135031.14000000001</v>
      </c>
      <c r="L367" s="4">
        <v>0</v>
      </c>
      <c r="M367" s="4">
        <v>177200.69</v>
      </c>
      <c r="N367" s="4">
        <v>97385.15</v>
      </c>
      <c r="O367" s="4">
        <v>133823.98000000001</v>
      </c>
      <c r="P367" s="4">
        <v>415471.05</v>
      </c>
      <c r="Q367" s="4">
        <v>98170.14</v>
      </c>
      <c r="R367" s="4">
        <v>0</v>
      </c>
      <c r="S367" s="4">
        <v>111692.97</v>
      </c>
      <c r="T367" s="4">
        <v>14835.31</v>
      </c>
      <c r="U367" s="4">
        <v>0</v>
      </c>
      <c r="V367" s="4">
        <v>633564.28</v>
      </c>
      <c r="W367" s="4">
        <v>10558437.58</v>
      </c>
      <c r="X367" s="4">
        <v>402204.24</v>
      </c>
      <c r="Y367" s="4">
        <v>26012802.300000001</v>
      </c>
      <c r="Z367" s="4"/>
      <c r="AA367" s="4"/>
      <c r="AB367" s="4">
        <v>242797851.06999999</v>
      </c>
      <c r="AC367" s="4">
        <v>51341</v>
      </c>
      <c r="AD367" s="4">
        <v>1448355.78</v>
      </c>
      <c r="AE367" s="4">
        <v>0</v>
      </c>
      <c r="AF367" s="4">
        <v>74280.97</v>
      </c>
      <c r="AG367" s="4">
        <v>120250.48</v>
      </c>
      <c r="AH367" s="4">
        <v>256574.88</v>
      </c>
      <c r="AI367" s="4">
        <v>183571.47</v>
      </c>
      <c r="AJ367" s="4">
        <v>0</v>
      </c>
      <c r="AK367" s="4">
        <v>517576.86</v>
      </c>
      <c r="AL367" s="4">
        <v>0</v>
      </c>
      <c r="AM367" s="4">
        <v>20895.55</v>
      </c>
      <c r="AN367" s="4">
        <v>0</v>
      </c>
      <c r="AO367" s="4">
        <v>378818.67</v>
      </c>
      <c r="AP367" s="4">
        <v>0</v>
      </c>
      <c r="AQ367" s="4">
        <v>44010.93</v>
      </c>
      <c r="AR367" s="4">
        <v>0</v>
      </c>
      <c r="AS367" s="4">
        <v>0</v>
      </c>
      <c r="AT367" s="4">
        <v>17897.78</v>
      </c>
      <c r="AU367" s="4">
        <v>0</v>
      </c>
      <c r="AV367" s="4">
        <v>523715.41</v>
      </c>
      <c r="AW367" s="4">
        <v>2461604.2200000002</v>
      </c>
      <c r="AX367" s="4">
        <v>1761282.98</v>
      </c>
      <c r="AY367" s="4">
        <v>1174128.8999999999</v>
      </c>
      <c r="AZ367" s="4"/>
      <c r="BA367" s="4"/>
      <c r="BB367" s="4">
        <f t="shared" si="58"/>
        <v>291960576.34000009</v>
      </c>
    </row>
    <row r="368" spans="1:54" x14ac:dyDescent="0.2">
      <c r="A368" s="3">
        <v>36373</v>
      </c>
      <c r="B368" s="4">
        <v>0</v>
      </c>
      <c r="C368" s="4">
        <v>400057.56</v>
      </c>
      <c r="D368" s="4">
        <v>200799.8</v>
      </c>
      <c r="E368" s="4">
        <v>0</v>
      </c>
      <c r="F368" s="4">
        <v>213184.77</v>
      </c>
      <c r="G368" s="4">
        <v>178570.99</v>
      </c>
      <c r="H368" s="4">
        <v>0</v>
      </c>
      <c r="I368" s="4">
        <v>0</v>
      </c>
      <c r="J368" s="4">
        <v>319150.03000000003</v>
      </c>
      <c r="K368" s="4">
        <v>134269.32999999999</v>
      </c>
      <c r="L368" s="4">
        <v>0</v>
      </c>
      <c r="M368" s="4">
        <v>184102.49</v>
      </c>
      <c r="N368" s="4">
        <v>90433.98</v>
      </c>
      <c r="O368" s="4">
        <v>132663.26999999999</v>
      </c>
      <c r="P368" s="4">
        <v>413856</v>
      </c>
      <c r="Q368" s="4">
        <v>100105.35</v>
      </c>
      <c r="R368" s="4">
        <v>0</v>
      </c>
      <c r="S368" s="4">
        <v>107974.41</v>
      </c>
      <c r="T368" s="4">
        <v>14375.79</v>
      </c>
      <c r="U368" s="4">
        <v>0</v>
      </c>
      <c r="V368" s="4">
        <v>649290.02</v>
      </c>
      <c r="W368" s="4">
        <v>8457093.5899999999</v>
      </c>
      <c r="X368" s="4">
        <v>398965.2</v>
      </c>
      <c r="Y368" s="4">
        <v>24761304.609999999</v>
      </c>
      <c r="Z368" s="4"/>
      <c r="AA368" s="4"/>
      <c r="AB368" s="4">
        <v>229183345.78</v>
      </c>
      <c r="AC368" s="4">
        <v>51919.87</v>
      </c>
      <c r="AD368" s="4">
        <v>1440124.37</v>
      </c>
      <c r="AE368" s="4">
        <v>0</v>
      </c>
      <c r="AF368" s="4">
        <v>75274.98</v>
      </c>
      <c r="AG368" s="4">
        <v>122797.58</v>
      </c>
      <c r="AH368" s="4">
        <v>257305.86</v>
      </c>
      <c r="AI368" s="4">
        <v>170005.74</v>
      </c>
      <c r="AJ368" s="4">
        <v>0</v>
      </c>
      <c r="AK368" s="4">
        <v>512664.58</v>
      </c>
      <c r="AL368" s="4">
        <v>0</v>
      </c>
      <c r="AM368" s="4">
        <v>21104.21</v>
      </c>
      <c r="AN368" s="4">
        <v>0</v>
      </c>
      <c r="AO368" s="4">
        <v>372689.85</v>
      </c>
      <c r="AP368" s="4">
        <v>0</v>
      </c>
      <c r="AQ368" s="4">
        <v>33693.08</v>
      </c>
      <c r="AR368" s="4">
        <v>0</v>
      </c>
      <c r="AS368" s="4">
        <v>0</v>
      </c>
      <c r="AT368" s="4">
        <v>17963.87</v>
      </c>
      <c r="AU368" s="4">
        <v>0</v>
      </c>
      <c r="AV368" s="4">
        <v>513595.89</v>
      </c>
      <c r="AW368" s="4">
        <v>2404247.75</v>
      </c>
      <c r="AX368" s="4">
        <v>1716208.46</v>
      </c>
      <c r="AY368" s="4">
        <v>1144098.51</v>
      </c>
      <c r="AZ368" s="4"/>
      <c r="BA368" s="4"/>
      <c r="BB368" s="4">
        <f t="shared" si="58"/>
        <v>274793237.56999999</v>
      </c>
    </row>
    <row r="369" spans="1:54" x14ac:dyDescent="0.2">
      <c r="A369" s="3">
        <v>36404</v>
      </c>
      <c r="B369" s="4">
        <v>0</v>
      </c>
      <c r="C369" s="4">
        <v>619691.56000000006</v>
      </c>
      <c r="D369" s="4">
        <v>260025.85</v>
      </c>
      <c r="E369" s="4">
        <v>0</v>
      </c>
      <c r="F369" s="4">
        <v>216634.23</v>
      </c>
      <c r="G369" s="4">
        <v>221700.81</v>
      </c>
      <c r="H369" s="4">
        <v>4589.62</v>
      </c>
      <c r="I369" s="4">
        <v>2106.2199999999998</v>
      </c>
      <c r="J369" s="4">
        <v>541171.29</v>
      </c>
      <c r="K369" s="4">
        <v>219257.22</v>
      </c>
      <c r="L369" s="4">
        <v>198.12</v>
      </c>
      <c r="M369" s="4">
        <v>272777.08</v>
      </c>
      <c r="N369" s="4">
        <v>140331.4</v>
      </c>
      <c r="O369" s="4">
        <v>178278.19</v>
      </c>
      <c r="P369" s="4">
        <v>658404.65</v>
      </c>
      <c r="Q369" s="4">
        <v>185508.76</v>
      </c>
      <c r="R369" s="4">
        <v>0</v>
      </c>
      <c r="S369" s="4">
        <v>95737.07</v>
      </c>
      <c r="T369" s="4">
        <v>152225.47</v>
      </c>
      <c r="U369" s="4">
        <v>0</v>
      </c>
      <c r="V369" s="4">
        <v>1056789.3899999999</v>
      </c>
      <c r="W369" s="4">
        <v>14018034.299999999</v>
      </c>
      <c r="X369" s="4">
        <v>340749.44</v>
      </c>
      <c r="Y369" s="4">
        <v>35751659.810000002</v>
      </c>
      <c r="Z369" s="4"/>
      <c r="AA369" s="4"/>
      <c r="AB369" s="4">
        <v>341086549.18000001</v>
      </c>
      <c r="AC369" s="4">
        <v>53949.08</v>
      </c>
      <c r="AD369" s="4">
        <v>2303453.9</v>
      </c>
      <c r="AE369" s="4">
        <v>118581.49</v>
      </c>
      <c r="AF369" s="4">
        <v>179710.29</v>
      </c>
      <c r="AG369" s="4">
        <v>203365.2</v>
      </c>
      <c r="AH369" s="4">
        <v>552690.81000000006</v>
      </c>
      <c r="AI369" s="4">
        <v>232015.55</v>
      </c>
      <c r="AJ369" s="4">
        <v>0</v>
      </c>
      <c r="AK369" s="4">
        <v>716167.16</v>
      </c>
      <c r="AL369" s="4">
        <v>268.67</v>
      </c>
      <c r="AM369" s="4">
        <v>11097.37</v>
      </c>
      <c r="AN369" s="4">
        <v>0</v>
      </c>
      <c r="AO369" s="4">
        <v>898299.76</v>
      </c>
      <c r="AP369" s="4">
        <v>0</v>
      </c>
      <c r="AQ369" s="4">
        <v>56826.45</v>
      </c>
      <c r="AR369" s="4">
        <v>0</v>
      </c>
      <c r="AS369" s="4">
        <v>0</v>
      </c>
      <c r="AT369" s="4">
        <v>29648.35</v>
      </c>
      <c r="AU369" s="4">
        <v>287.70999999999998</v>
      </c>
      <c r="AV369" s="4">
        <v>816228.86</v>
      </c>
      <c r="AW369" s="4">
        <v>3355390.97</v>
      </c>
      <c r="AX369" s="4">
        <v>1988389.36</v>
      </c>
      <c r="AY369" s="4">
        <v>1325998.27</v>
      </c>
      <c r="AZ369" s="4"/>
      <c r="BA369" s="4"/>
      <c r="BB369" s="4">
        <f t="shared" si="58"/>
        <v>408864788.91000009</v>
      </c>
    </row>
    <row r="370" spans="1:54" x14ac:dyDescent="0.2">
      <c r="A370" s="3">
        <v>36434</v>
      </c>
      <c r="B370" s="4">
        <v>0</v>
      </c>
      <c r="C370" s="4">
        <v>468603.3</v>
      </c>
      <c r="D370" s="4">
        <v>207693.22</v>
      </c>
      <c r="E370" s="4">
        <v>0</v>
      </c>
      <c r="F370" s="4">
        <v>222500.62</v>
      </c>
      <c r="G370" s="4">
        <v>202473.25</v>
      </c>
      <c r="H370" s="4">
        <v>0</v>
      </c>
      <c r="I370" s="4">
        <v>0</v>
      </c>
      <c r="J370" s="4">
        <v>354954.86</v>
      </c>
      <c r="K370" s="4">
        <v>149941.95000000001</v>
      </c>
      <c r="L370" s="4">
        <v>0</v>
      </c>
      <c r="M370" s="4">
        <v>167112.66</v>
      </c>
      <c r="N370" s="4">
        <v>95196.3</v>
      </c>
      <c r="O370" s="4">
        <v>142599.31</v>
      </c>
      <c r="P370" s="4">
        <v>436245.2</v>
      </c>
      <c r="Q370" s="4">
        <v>88088.76</v>
      </c>
      <c r="R370" s="4">
        <v>0</v>
      </c>
      <c r="S370" s="4">
        <v>113754.06</v>
      </c>
      <c r="T370" s="4">
        <v>21048.51</v>
      </c>
      <c r="U370" s="4">
        <v>0</v>
      </c>
      <c r="V370" s="4">
        <v>697839.97</v>
      </c>
      <c r="W370" s="4">
        <v>10639128.65</v>
      </c>
      <c r="X370" s="4">
        <v>394713.27</v>
      </c>
      <c r="Y370" s="4">
        <v>26877995.539999999</v>
      </c>
      <c r="Z370" s="4"/>
      <c r="AA370" s="4"/>
      <c r="AB370" s="4">
        <v>248384432.09999999</v>
      </c>
      <c r="AC370" s="4">
        <v>50841.21</v>
      </c>
      <c r="AD370" s="4">
        <v>1542263.05</v>
      </c>
      <c r="AE370" s="4">
        <v>0</v>
      </c>
      <c r="AF370" s="4">
        <v>80357.350000000006</v>
      </c>
      <c r="AG370" s="4">
        <v>126956.11</v>
      </c>
      <c r="AH370" s="4">
        <v>283843.46000000002</v>
      </c>
      <c r="AI370" s="4">
        <v>190646.6</v>
      </c>
      <c r="AJ370" s="4">
        <v>0</v>
      </c>
      <c r="AK370" s="4">
        <v>590485.46</v>
      </c>
      <c r="AL370" s="4">
        <v>0</v>
      </c>
      <c r="AM370" s="4">
        <v>19986.419999999998</v>
      </c>
      <c r="AN370" s="4">
        <v>0</v>
      </c>
      <c r="AO370" s="4">
        <v>394803.39</v>
      </c>
      <c r="AP370" s="4">
        <v>0</v>
      </c>
      <c r="AQ370" s="4">
        <v>35076.589999999997</v>
      </c>
      <c r="AR370" s="4">
        <v>0</v>
      </c>
      <c r="AS370" s="4">
        <v>0</v>
      </c>
      <c r="AT370" s="4">
        <v>21686.880000000001</v>
      </c>
      <c r="AU370" s="4">
        <v>0</v>
      </c>
      <c r="AV370" s="4">
        <v>561570.16</v>
      </c>
      <c r="AW370" s="4">
        <v>2724124.22</v>
      </c>
      <c r="AX370" s="4">
        <v>1745982.84</v>
      </c>
      <c r="AY370" s="4">
        <v>1163988.53</v>
      </c>
      <c r="AZ370" s="4"/>
      <c r="BA370" s="4"/>
      <c r="BB370" s="4">
        <f t="shared" si="58"/>
        <v>299196933.79999995</v>
      </c>
    </row>
    <row r="371" spans="1:54" x14ac:dyDescent="0.2">
      <c r="A371" s="3">
        <v>36465</v>
      </c>
      <c r="B371" s="4">
        <v>0</v>
      </c>
      <c r="C371" s="4">
        <v>419694.31</v>
      </c>
      <c r="D371" s="4">
        <v>191528.01</v>
      </c>
      <c r="E371" s="4">
        <v>0</v>
      </c>
      <c r="F371" s="4">
        <v>205218.2</v>
      </c>
      <c r="G371" s="4">
        <v>194835.62</v>
      </c>
      <c r="H371" s="4">
        <v>0</v>
      </c>
      <c r="I371" s="4">
        <v>0</v>
      </c>
      <c r="J371" s="4">
        <v>348968.24</v>
      </c>
      <c r="K371" s="4">
        <v>170891.26</v>
      </c>
      <c r="L371" s="4">
        <v>0</v>
      </c>
      <c r="M371" s="4">
        <v>155984.71</v>
      </c>
      <c r="N371" s="4">
        <v>91324.52</v>
      </c>
      <c r="O371" s="4">
        <v>133515.38</v>
      </c>
      <c r="P371" s="4">
        <v>407755.93</v>
      </c>
      <c r="Q371" s="4">
        <v>85044.97</v>
      </c>
      <c r="R371" s="4">
        <v>0</v>
      </c>
      <c r="S371" s="4">
        <v>98950.53</v>
      </c>
      <c r="T371" s="4">
        <v>20156.259999999998</v>
      </c>
      <c r="U371" s="4">
        <v>0</v>
      </c>
      <c r="V371" s="4">
        <v>622512.05000000005</v>
      </c>
      <c r="W371" s="4">
        <v>8706236.4000000004</v>
      </c>
      <c r="X371" s="4">
        <v>306514.3</v>
      </c>
      <c r="Y371" s="4">
        <v>25570317.370000001</v>
      </c>
      <c r="Z371" s="4"/>
      <c r="AA371" s="4"/>
      <c r="AB371" s="4">
        <v>244485054.48999998</v>
      </c>
      <c r="AC371" s="4">
        <v>51835.51</v>
      </c>
      <c r="AD371" s="4">
        <v>1435307.25</v>
      </c>
      <c r="AE371" s="4">
        <v>0</v>
      </c>
      <c r="AF371" s="4">
        <v>76832.850000000006</v>
      </c>
      <c r="AG371" s="4">
        <v>125744.79</v>
      </c>
      <c r="AH371" s="4">
        <v>249184.07</v>
      </c>
      <c r="AI371" s="4">
        <v>157727.28</v>
      </c>
      <c r="AJ371" s="4">
        <v>0</v>
      </c>
      <c r="AK371" s="4">
        <v>559798.56000000006</v>
      </c>
      <c r="AL371" s="4">
        <v>0</v>
      </c>
      <c r="AM371" s="4">
        <v>20316.98</v>
      </c>
      <c r="AN371" s="4">
        <v>0</v>
      </c>
      <c r="AO371" s="4">
        <v>378686.86</v>
      </c>
      <c r="AP371" s="4">
        <v>0</v>
      </c>
      <c r="AQ371" s="4">
        <v>32151.79</v>
      </c>
      <c r="AR371" s="4">
        <v>0</v>
      </c>
      <c r="AS371" s="4">
        <v>0</v>
      </c>
      <c r="AT371" s="4">
        <v>19005.87</v>
      </c>
      <c r="AU371" s="4">
        <v>0</v>
      </c>
      <c r="AV371" s="4">
        <v>534842.82999999996</v>
      </c>
      <c r="AW371" s="4">
        <v>2592566.23</v>
      </c>
      <c r="AX371" s="4">
        <v>1633905.24</v>
      </c>
      <c r="AY371" s="4">
        <v>1089271.3</v>
      </c>
      <c r="AZ371" s="4"/>
      <c r="BA371" s="4"/>
      <c r="BB371" s="4">
        <f t="shared" si="58"/>
        <v>291171679.96000004</v>
      </c>
    </row>
    <row r="372" spans="1:54" x14ac:dyDescent="0.2">
      <c r="A372" s="3">
        <v>36495</v>
      </c>
      <c r="B372" s="4">
        <v>2263.39</v>
      </c>
      <c r="C372" s="4">
        <v>558284.66</v>
      </c>
      <c r="D372" s="4">
        <v>233992.42</v>
      </c>
      <c r="E372" s="4">
        <v>0</v>
      </c>
      <c r="F372" s="4">
        <v>270245.84000000003</v>
      </c>
      <c r="G372" s="4">
        <v>287419.18</v>
      </c>
      <c r="H372" s="4">
        <v>13288.8</v>
      </c>
      <c r="I372" s="4">
        <v>3141.4</v>
      </c>
      <c r="J372" s="4">
        <v>456506.5</v>
      </c>
      <c r="K372" s="4">
        <v>292633.96000000002</v>
      </c>
      <c r="L372" s="4">
        <v>0</v>
      </c>
      <c r="M372" s="4">
        <v>339149.01</v>
      </c>
      <c r="N372" s="4">
        <v>112616.74</v>
      </c>
      <c r="O372" s="4">
        <v>218974.54</v>
      </c>
      <c r="P372" s="4">
        <v>758386.49</v>
      </c>
      <c r="Q372" s="4">
        <v>223524.7</v>
      </c>
      <c r="R372" s="4">
        <v>0</v>
      </c>
      <c r="S372" s="4">
        <v>226537.29</v>
      </c>
      <c r="T372" s="4">
        <v>116646.42</v>
      </c>
      <c r="U372" s="4">
        <v>0</v>
      </c>
      <c r="V372" s="4">
        <v>1047491.32</v>
      </c>
      <c r="W372" s="4">
        <v>15482037.52</v>
      </c>
      <c r="X372" s="4">
        <v>528896.25</v>
      </c>
      <c r="Y372" s="4">
        <v>38557741.059999995</v>
      </c>
      <c r="Z372" s="4"/>
      <c r="AA372" s="4"/>
      <c r="AB372" s="4">
        <v>366612044.94999999</v>
      </c>
      <c r="AC372" s="4">
        <v>52218.95</v>
      </c>
      <c r="AD372" s="4">
        <v>2114659.2999999998</v>
      </c>
      <c r="AE372" s="4">
        <v>49855.8</v>
      </c>
      <c r="AF372" s="4">
        <v>136058.34</v>
      </c>
      <c r="AG372" s="4">
        <v>207483.78</v>
      </c>
      <c r="AH372" s="4">
        <v>629230.69999999995</v>
      </c>
      <c r="AI372" s="4">
        <v>300895.42</v>
      </c>
      <c r="AJ372" s="4">
        <v>0</v>
      </c>
      <c r="AK372" s="4">
        <v>964363.98</v>
      </c>
      <c r="AL372" s="4">
        <v>2312.52</v>
      </c>
      <c r="AM372" s="4">
        <v>17876.900000000001</v>
      </c>
      <c r="AN372" s="4">
        <v>0</v>
      </c>
      <c r="AO372" s="4">
        <v>630542.11</v>
      </c>
      <c r="AP372" s="4">
        <v>0</v>
      </c>
      <c r="AQ372" s="4">
        <v>55710.19</v>
      </c>
      <c r="AR372" s="4">
        <v>0</v>
      </c>
      <c r="AS372" s="4">
        <v>0</v>
      </c>
      <c r="AT372" s="4">
        <v>20775.439999999999</v>
      </c>
      <c r="AU372" s="4">
        <v>0</v>
      </c>
      <c r="AV372" s="4">
        <v>802787.03</v>
      </c>
      <c r="AW372" s="4">
        <v>4074897.89</v>
      </c>
      <c r="AX372" s="4">
        <v>2946308.35</v>
      </c>
      <c r="AY372" s="4">
        <v>1964426.55</v>
      </c>
      <c r="AZ372" s="4"/>
      <c r="BA372" s="4"/>
      <c r="BB372" s="4">
        <f t="shared" si="58"/>
        <v>441312225.68999994</v>
      </c>
    </row>
    <row r="373" spans="1:54" ht="15.75" thickBot="1" x14ac:dyDescent="0.25">
      <c r="A373" s="11" t="s">
        <v>6</v>
      </c>
      <c r="B373" s="5">
        <f t="shared" ref="B373:AY373" si="59">SUM(B361:B372)</f>
        <v>2263.39</v>
      </c>
      <c r="C373" s="5">
        <f t="shared" si="59"/>
        <v>5822129.8699999992</v>
      </c>
      <c r="D373" s="5">
        <f t="shared" si="59"/>
        <v>2591441.0700000003</v>
      </c>
      <c r="E373" s="5">
        <f t="shared" si="59"/>
        <v>0</v>
      </c>
      <c r="F373" s="5">
        <f t="shared" si="59"/>
        <v>2663144.11</v>
      </c>
      <c r="G373" s="5">
        <f t="shared" si="59"/>
        <v>2452889.46</v>
      </c>
      <c r="H373" s="5">
        <f t="shared" si="59"/>
        <v>33122.229999999996</v>
      </c>
      <c r="I373" s="5">
        <f t="shared" si="59"/>
        <v>26718.760000000002</v>
      </c>
      <c r="J373" s="5">
        <f t="shared" si="59"/>
        <v>4491404.9799999995</v>
      </c>
      <c r="K373" s="5">
        <f t="shared" si="59"/>
        <v>2094600.45</v>
      </c>
      <c r="L373" s="5">
        <f t="shared" si="59"/>
        <v>562.18000000000006</v>
      </c>
      <c r="M373" s="5">
        <f t="shared" si="59"/>
        <v>2489065.8499999996</v>
      </c>
      <c r="N373" s="5">
        <f t="shared" si="59"/>
        <v>1321315.49</v>
      </c>
      <c r="O373" s="5">
        <f t="shared" si="59"/>
        <v>1819335.56</v>
      </c>
      <c r="P373" s="5">
        <f t="shared" si="59"/>
        <v>5885344.8799999999</v>
      </c>
      <c r="Q373" s="5">
        <f t="shared" si="59"/>
        <v>1501059</v>
      </c>
      <c r="R373" s="5">
        <f t="shared" si="59"/>
        <v>0</v>
      </c>
      <c r="S373" s="5">
        <f t="shared" si="59"/>
        <v>1495448.2200000002</v>
      </c>
      <c r="T373" s="5">
        <f t="shared" si="59"/>
        <v>564086.58000000007</v>
      </c>
      <c r="U373" s="5">
        <f t="shared" si="59"/>
        <v>0</v>
      </c>
      <c r="V373" s="5">
        <f t="shared" si="59"/>
        <v>9300945.2199999988</v>
      </c>
      <c r="W373" s="5">
        <f t="shared" si="59"/>
        <v>128844998.46000001</v>
      </c>
      <c r="X373" s="5">
        <f t="shared" si="59"/>
        <v>4590900.55</v>
      </c>
      <c r="Y373" s="5">
        <f t="shared" si="59"/>
        <v>339743875.12000006</v>
      </c>
      <c r="Z373" s="5"/>
      <c r="AA373" s="5"/>
      <c r="AB373" s="5">
        <f t="shared" si="59"/>
        <v>3208829497.5199995</v>
      </c>
      <c r="AC373" s="5">
        <f t="shared" si="59"/>
        <v>718480.10999999987</v>
      </c>
      <c r="AD373" s="5">
        <f t="shared" si="59"/>
        <v>18973248.900000002</v>
      </c>
      <c r="AE373" s="5">
        <f t="shared" si="59"/>
        <v>168437.94</v>
      </c>
      <c r="AF373" s="5">
        <f t="shared" si="59"/>
        <v>1238792.3800000001</v>
      </c>
      <c r="AG373" s="5">
        <f t="shared" si="59"/>
        <v>1755325.59</v>
      </c>
      <c r="AH373" s="5">
        <f t="shared" si="59"/>
        <v>4315071.8199999994</v>
      </c>
      <c r="AI373" s="5">
        <f t="shared" si="59"/>
        <v>2438311.9</v>
      </c>
      <c r="AJ373" s="5">
        <f t="shared" si="59"/>
        <v>0</v>
      </c>
      <c r="AK373" s="5">
        <f t="shared" si="59"/>
        <v>7347923.7400000002</v>
      </c>
      <c r="AL373" s="5">
        <f t="shared" si="59"/>
        <v>2581.19</v>
      </c>
      <c r="AM373" s="5">
        <f t="shared" si="59"/>
        <v>271244.31</v>
      </c>
      <c r="AN373" s="5">
        <f t="shared" si="59"/>
        <v>0</v>
      </c>
      <c r="AO373" s="5">
        <f t="shared" si="59"/>
        <v>5461286.8900000006</v>
      </c>
      <c r="AP373" s="5">
        <f t="shared" si="59"/>
        <v>0</v>
      </c>
      <c r="AQ373" s="5">
        <f t="shared" si="59"/>
        <v>481126.92000000004</v>
      </c>
      <c r="AR373" s="5">
        <f t="shared" si="59"/>
        <v>764.90000000000009</v>
      </c>
      <c r="AS373" s="5">
        <f t="shared" si="59"/>
        <v>5176.7300000000005</v>
      </c>
      <c r="AT373" s="5">
        <f t="shared" si="59"/>
        <v>240892.1</v>
      </c>
      <c r="AU373" s="5">
        <f t="shared" si="59"/>
        <v>940.47</v>
      </c>
      <c r="AV373" s="5">
        <f t="shared" si="59"/>
        <v>7392041.830000001</v>
      </c>
      <c r="AW373" s="5">
        <f t="shared" si="59"/>
        <v>33187933.539999999</v>
      </c>
      <c r="AX373" s="5">
        <f t="shared" si="59"/>
        <v>22702839.91</v>
      </c>
      <c r="AY373" s="5">
        <f t="shared" si="59"/>
        <v>15135949.920000002</v>
      </c>
      <c r="AZ373" s="5"/>
      <c r="BA373" s="5"/>
      <c r="BB373" s="5">
        <f t="shared" si="58"/>
        <v>3848402520.04</v>
      </c>
    </row>
    <row r="374" spans="1:54" ht="15.75" thickTop="1" x14ac:dyDescent="0.2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</row>
    <row r="375" spans="1:54" x14ac:dyDescent="0.2">
      <c r="A375" s="3">
        <v>35796</v>
      </c>
      <c r="B375" s="4">
        <v>0</v>
      </c>
      <c r="C375" s="4">
        <v>410324.53</v>
      </c>
      <c r="D375" s="4">
        <v>192412.21</v>
      </c>
      <c r="E375" s="4">
        <v>0</v>
      </c>
      <c r="F375" s="4">
        <v>178387.03</v>
      </c>
      <c r="G375" s="4">
        <v>205825.24</v>
      </c>
      <c r="H375" s="4">
        <v>0</v>
      </c>
      <c r="I375" s="4">
        <v>0</v>
      </c>
      <c r="J375" s="4">
        <v>288446.46000000002</v>
      </c>
      <c r="K375" s="4">
        <v>136260.13</v>
      </c>
      <c r="L375" s="4">
        <v>0</v>
      </c>
      <c r="M375" s="4">
        <v>206003.35</v>
      </c>
      <c r="N375" s="4">
        <v>90362.8</v>
      </c>
      <c r="O375" s="4">
        <v>28881.5</v>
      </c>
      <c r="P375" s="4">
        <v>427807.32</v>
      </c>
      <c r="Q375" s="4">
        <v>84005.59</v>
      </c>
      <c r="R375" s="4">
        <v>0</v>
      </c>
      <c r="S375" s="4">
        <v>120968.49</v>
      </c>
      <c r="T375" s="4">
        <v>19144.62</v>
      </c>
      <c r="U375" s="4">
        <v>0</v>
      </c>
      <c r="V375" s="4">
        <v>709586.3</v>
      </c>
      <c r="W375" s="4">
        <v>8706783.1899999995</v>
      </c>
      <c r="X375" s="4">
        <v>409746.58</v>
      </c>
      <c r="Y375" s="4">
        <v>25090008.620000001</v>
      </c>
      <c r="Z375" s="4"/>
      <c r="AA375" s="4"/>
      <c r="AB375" s="4">
        <v>252174212.18000001</v>
      </c>
      <c r="AC375" s="4">
        <v>91739.8</v>
      </c>
      <c r="AD375" s="4">
        <v>1365464.17</v>
      </c>
      <c r="AE375" s="4">
        <v>155035.24</v>
      </c>
      <c r="AF375" s="4">
        <v>84576.73</v>
      </c>
      <c r="AG375" s="4">
        <v>73074.009999999995</v>
      </c>
      <c r="AH375" s="4">
        <v>281633.84999999998</v>
      </c>
      <c r="AI375" s="4">
        <v>146092.37</v>
      </c>
      <c r="AJ375" s="4">
        <v>0</v>
      </c>
      <c r="AK375" s="4">
        <v>359671.13</v>
      </c>
      <c r="AL375" s="4">
        <v>0</v>
      </c>
      <c r="AM375" s="4">
        <v>39151.96</v>
      </c>
      <c r="AN375" s="4">
        <v>0</v>
      </c>
      <c r="AO375" s="4">
        <v>427167.05</v>
      </c>
      <c r="AP375" s="4">
        <v>0</v>
      </c>
      <c r="AQ375" s="4">
        <v>38495.33</v>
      </c>
      <c r="AR375" s="4">
        <v>0</v>
      </c>
      <c r="AS375" s="4">
        <v>0</v>
      </c>
      <c r="AT375" s="4">
        <v>16908.560000000001</v>
      </c>
      <c r="AU375" s="4">
        <v>0</v>
      </c>
      <c r="AV375" s="4">
        <v>543968.49</v>
      </c>
      <c r="AW375" s="4">
        <v>2900498.85</v>
      </c>
      <c r="AX375" s="4">
        <v>1927825.66</v>
      </c>
      <c r="AY375" s="4">
        <v>1285209.96</v>
      </c>
      <c r="AZ375" s="4"/>
      <c r="BA375" s="4"/>
      <c r="BB375" s="4">
        <f t="shared" ref="BB375:BB387" si="60">SUM(B375:AY375)</f>
        <v>299215679.30000007</v>
      </c>
    </row>
    <row r="376" spans="1:54" x14ac:dyDescent="0.2">
      <c r="A376" s="3">
        <v>35827</v>
      </c>
      <c r="B376" s="4">
        <v>0</v>
      </c>
      <c r="C376" s="4">
        <v>333016.26</v>
      </c>
      <c r="D376" s="4">
        <v>150575.37</v>
      </c>
      <c r="E376" s="4">
        <v>0</v>
      </c>
      <c r="F376" s="4">
        <v>144978.54</v>
      </c>
      <c r="G376" s="4">
        <v>164131.99</v>
      </c>
      <c r="H376" s="4">
        <v>0</v>
      </c>
      <c r="I376" s="4">
        <v>0</v>
      </c>
      <c r="J376" s="4">
        <v>209959.46</v>
      </c>
      <c r="K376" s="4">
        <v>117221.27</v>
      </c>
      <c r="L376" s="4">
        <v>0</v>
      </c>
      <c r="M376" s="4">
        <v>174752.66</v>
      </c>
      <c r="N376" s="4">
        <v>76491.7</v>
      </c>
      <c r="O376" s="4">
        <v>103013.74</v>
      </c>
      <c r="P376" s="4">
        <v>336898.85</v>
      </c>
      <c r="Q376" s="4">
        <v>74900.33</v>
      </c>
      <c r="R376" s="4">
        <v>0</v>
      </c>
      <c r="S376" s="4">
        <v>95861.62</v>
      </c>
      <c r="T376" s="4">
        <v>7683.69</v>
      </c>
      <c r="U376" s="4">
        <v>0</v>
      </c>
      <c r="V376" s="4">
        <v>586285.32999999996</v>
      </c>
      <c r="W376" s="4">
        <v>6800553.2599999998</v>
      </c>
      <c r="X376" s="4">
        <v>329144.63</v>
      </c>
      <c r="Y376" s="4">
        <v>20135645.399999999</v>
      </c>
      <c r="Z376" s="4"/>
      <c r="AA376" s="4"/>
      <c r="AB376" s="4">
        <v>199461519.41999999</v>
      </c>
      <c r="AC376" s="4">
        <v>73576.78</v>
      </c>
      <c r="AD376" s="4">
        <v>1127114.95</v>
      </c>
      <c r="AE376" s="4">
        <v>122792.51</v>
      </c>
      <c r="AF376" s="4">
        <v>58094.12</v>
      </c>
      <c r="AG376" s="4">
        <v>105933.21</v>
      </c>
      <c r="AH376" s="4">
        <v>222765.2</v>
      </c>
      <c r="AI376" s="4">
        <v>140281.79999999999</v>
      </c>
      <c r="AJ376" s="4">
        <v>0</v>
      </c>
      <c r="AK376" s="4">
        <v>423727.82</v>
      </c>
      <c r="AL376" s="4">
        <v>0</v>
      </c>
      <c r="AM376" s="4">
        <v>31402.44</v>
      </c>
      <c r="AN376" s="4">
        <v>0</v>
      </c>
      <c r="AO376" s="4">
        <v>364412.09</v>
      </c>
      <c r="AP376" s="4">
        <v>0</v>
      </c>
      <c r="AQ376" s="4">
        <v>27614.36</v>
      </c>
      <c r="AR376" s="4">
        <v>0</v>
      </c>
      <c r="AS376" s="4">
        <v>0</v>
      </c>
      <c r="AT376" s="4">
        <v>13523.4</v>
      </c>
      <c r="AU376" s="4">
        <v>0</v>
      </c>
      <c r="AV376" s="4">
        <v>452005.75</v>
      </c>
      <c r="AW376" s="4">
        <v>2409685.58</v>
      </c>
      <c r="AX376" s="4">
        <v>1594852.31</v>
      </c>
      <c r="AY376" s="4">
        <v>1063202.52</v>
      </c>
      <c r="AZ376" s="4"/>
      <c r="BA376" s="4"/>
      <c r="BB376" s="4">
        <f t="shared" si="60"/>
        <v>237533618.36000001</v>
      </c>
    </row>
    <row r="377" spans="1:54" x14ac:dyDescent="0.2">
      <c r="A377" s="3">
        <v>35855</v>
      </c>
      <c r="B377" s="4">
        <v>0</v>
      </c>
      <c r="C377" s="4">
        <v>595661.07999999996</v>
      </c>
      <c r="D377" s="4">
        <v>257167.06</v>
      </c>
      <c r="E377" s="4">
        <v>0</v>
      </c>
      <c r="F377" s="4">
        <v>273251.87</v>
      </c>
      <c r="G377" s="4">
        <v>194470.91</v>
      </c>
      <c r="H377" s="4">
        <v>12235.35</v>
      </c>
      <c r="I377" s="4">
        <v>0</v>
      </c>
      <c r="J377" s="4">
        <v>442535.27</v>
      </c>
      <c r="K377" s="4">
        <v>270637.86</v>
      </c>
      <c r="L377" s="4">
        <v>1016.33</v>
      </c>
      <c r="M377" s="4">
        <v>260641.87</v>
      </c>
      <c r="N377" s="4">
        <v>128899.69</v>
      </c>
      <c r="O377" s="4">
        <v>122296.49</v>
      </c>
      <c r="P377" s="4">
        <v>770901.69</v>
      </c>
      <c r="Q377" s="4">
        <v>195505.68</v>
      </c>
      <c r="R377" s="4">
        <v>0</v>
      </c>
      <c r="S377" s="4">
        <v>201039.17</v>
      </c>
      <c r="T377" s="4">
        <v>94901.58</v>
      </c>
      <c r="U377" s="4">
        <v>9.18</v>
      </c>
      <c r="V377" s="4">
        <v>787221.33</v>
      </c>
      <c r="W377" s="4">
        <v>20528536.41</v>
      </c>
      <c r="X377" s="4">
        <v>512988.85</v>
      </c>
      <c r="Y377" s="4">
        <v>30736673.369999997</v>
      </c>
      <c r="Z377" s="4"/>
      <c r="AA377" s="4"/>
      <c r="AB377" s="4">
        <v>286518192.83999997</v>
      </c>
      <c r="AC377" s="4">
        <v>48058.81</v>
      </c>
      <c r="AD377" s="4">
        <v>1790854.8</v>
      </c>
      <c r="AE377" s="4">
        <v>104315.53</v>
      </c>
      <c r="AF377" s="4">
        <v>124281.26</v>
      </c>
      <c r="AG377" s="4">
        <v>212160.62</v>
      </c>
      <c r="AH377" s="4">
        <v>314147.17</v>
      </c>
      <c r="AI377" s="4">
        <v>232461.27</v>
      </c>
      <c r="AJ377" s="4">
        <v>111.2</v>
      </c>
      <c r="AK377" s="4">
        <v>616971.78</v>
      </c>
      <c r="AL377" s="4">
        <v>0</v>
      </c>
      <c r="AM377" s="4">
        <v>17416.310000000001</v>
      </c>
      <c r="AN377" s="4">
        <v>0</v>
      </c>
      <c r="AO377" s="4">
        <v>501184.14</v>
      </c>
      <c r="AP377" s="4">
        <v>0</v>
      </c>
      <c r="AQ377" s="4">
        <v>54702.05</v>
      </c>
      <c r="AR377" s="4">
        <v>324.93</v>
      </c>
      <c r="AS377" s="4">
        <v>0</v>
      </c>
      <c r="AT377" s="4">
        <v>40553.379999999997</v>
      </c>
      <c r="AU377" s="4">
        <v>947.18</v>
      </c>
      <c r="AV377" s="4">
        <v>716888.24</v>
      </c>
      <c r="AW377" s="4">
        <v>2667478.79</v>
      </c>
      <c r="AX377" s="4">
        <v>1975539.66</v>
      </c>
      <c r="AY377" s="4">
        <v>1317013.03</v>
      </c>
      <c r="AZ377" s="4"/>
      <c r="BA377" s="4"/>
      <c r="BB377" s="4">
        <f t="shared" si="60"/>
        <v>353640194.02999997</v>
      </c>
    </row>
    <row r="378" spans="1:54" x14ac:dyDescent="0.2">
      <c r="A378" s="3">
        <v>35886</v>
      </c>
      <c r="B378" s="4">
        <v>0</v>
      </c>
      <c r="C378" s="4">
        <v>367501.19</v>
      </c>
      <c r="D378" s="4">
        <v>179469.48</v>
      </c>
      <c r="E378" s="4">
        <v>0</v>
      </c>
      <c r="F378" s="4">
        <v>178713.78</v>
      </c>
      <c r="G378" s="4">
        <v>147398.41</v>
      </c>
      <c r="H378" s="4">
        <v>0</v>
      </c>
      <c r="I378" s="4">
        <v>0</v>
      </c>
      <c r="J378" s="4">
        <v>256202.34</v>
      </c>
      <c r="K378" s="4">
        <v>124158.21</v>
      </c>
      <c r="L378" s="4">
        <v>0</v>
      </c>
      <c r="M378" s="4">
        <v>158191.9</v>
      </c>
      <c r="N378" s="4">
        <v>85385.18</v>
      </c>
      <c r="O378" s="4">
        <v>102914.08</v>
      </c>
      <c r="P378" s="4">
        <v>376365.8</v>
      </c>
      <c r="Q378" s="4">
        <v>79741.070000000007</v>
      </c>
      <c r="R378" s="4">
        <v>0</v>
      </c>
      <c r="S378" s="4">
        <v>111554.02</v>
      </c>
      <c r="T378" s="4">
        <v>11524.59</v>
      </c>
      <c r="U378" s="4">
        <v>0</v>
      </c>
      <c r="V378" s="4">
        <v>592878.67000000004</v>
      </c>
      <c r="W378" s="4">
        <v>7927225.2400000002</v>
      </c>
      <c r="X378" s="4">
        <v>347988.43</v>
      </c>
      <c r="Y378" s="4">
        <v>21911762.690000001</v>
      </c>
      <c r="Z378" s="4"/>
      <c r="AA378" s="4"/>
      <c r="AB378" s="4">
        <v>211102276.68000001</v>
      </c>
      <c r="AC378" s="4">
        <v>58790.57</v>
      </c>
      <c r="AD378" s="4">
        <v>1233166.1100000001</v>
      </c>
      <c r="AE378" s="4">
        <v>96997</v>
      </c>
      <c r="AF378" s="4">
        <v>67055.45</v>
      </c>
      <c r="AG378" s="4">
        <v>109316.98</v>
      </c>
      <c r="AH378" s="4">
        <v>181054.95</v>
      </c>
      <c r="AI378" s="4">
        <v>144644.69</v>
      </c>
      <c r="AJ378" s="4">
        <v>0</v>
      </c>
      <c r="AK378" s="4">
        <v>474193.23</v>
      </c>
      <c r="AL378" s="4">
        <v>0</v>
      </c>
      <c r="AM378" s="4">
        <v>20409.38</v>
      </c>
      <c r="AN378" s="4">
        <v>0</v>
      </c>
      <c r="AO378" s="4">
        <v>341822.14</v>
      </c>
      <c r="AP378" s="4">
        <v>0</v>
      </c>
      <c r="AQ378" s="4">
        <v>31112.66</v>
      </c>
      <c r="AR378" s="4">
        <v>0</v>
      </c>
      <c r="AS378" s="4">
        <v>0</v>
      </c>
      <c r="AT378" s="4">
        <v>14955.39</v>
      </c>
      <c r="AU378" s="4">
        <v>0</v>
      </c>
      <c r="AV378" s="4">
        <v>455697.52</v>
      </c>
      <c r="AW378" s="4">
        <v>2348597.87</v>
      </c>
      <c r="AX378" s="4">
        <v>1597622.48</v>
      </c>
      <c r="AY378" s="4">
        <v>1064988.42</v>
      </c>
      <c r="AZ378" s="4"/>
      <c r="BA378" s="4"/>
      <c r="BB378" s="4">
        <f t="shared" si="60"/>
        <v>252301676.59999993</v>
      </c>
    </row>
    <row r="379" spans="1:54" x14ac:dyDescent="0.2">
      <c r="A379" s="3">
        <v>35916</v>
      </c>
      <c r="B379" s="4">
        <v>0</v>
      </c>
      <c r="C379" s="4">
        <v>380157.58</v>
      </c>
      <c r="D379" s="4">
        <v>185550.24</v>
      </c>
      <c r="E379" s="4">
        <v>0</v>
      </c>
      <c r="F379" s="4">
        <v>183557.09</v>
      </c>
      <c r="G379" s="4">
        <v>164134.73000000001</v>
      </c>
      <c r="H379" s="4">
        <v>0</v>
      </c>
      <c r="I379" s="4">
        <v>0</v>
      </c>
      <c r="J379" s="4">
        <v>274685.31</v>
      </c>
      <c r="K379" s="4">
        <v>135304.79</v>
      </c>
      <c r="L379" s="4">
        <v>0</v>
      </c>
      <c r="M379" s="4">
        <v>161770.29999999999</v>
      </c>
      <c r="N379" s="4">
        <v>89046.8</v>
      </c>
      <c r="O379" s="4">
        <v>123747.47</v>
      </c>
      <c r="P379" s="4">
        <v>444111.89</v>
      </c>
      <c r="Q379" s="4">
        <v>84997.17</v>
      </c>
      <c r="R379" s="4">
        <v>0</v>
      </c>
      <c r="S379" s="4">
        <v>118218.2</v>
      </c>
      <c r="T379" s="4">
        <v>13051.5</v>
      </c>
      <c r="U379" s="4">
        <v>0</v>
      </c>
      <c r="V379" s="4">
        <v>589924.55000000005</v>
      </c>
      <c r="W379" s="4">
        <v>8015911.7399999993</v>
      </c>
      <c r="X379" s="4">
        <v>357464.48</v>
      </c>
      <c r="Y379" s="4">
        <v>22414733.259999998</v>
      </c>
      <c r="Z379" s="4"/>
      <c r="AA379" s="4"/>
      <c r="AB379" s="4">
        <v>216512947.40000001</v>
      </c>
      <c r="AC379" s="4">
        <v>73182.5</v>
      </c>
      <c r="AD379" s="4">
        <v>1252211.68</v>
      </c>
      <c r="AE379" s="4">
        <v>101745.24</v>
      </c>
      <c r="AF379" s="4">
        <v>78814.48</v>
      </c>
      <c r="AG379" s="4">
        <v>114300.36</v>
      </c>
      <c r="AH379" s="4">
        <v>191081.63</v>
      </c>
      <c r="AI379" s="4">
        <v>151677.9</v>
      </c>
      <c r="AJ379" s="4">
        <v>0</v>
      </c>
      <c r="AK379" s="4">
        <v>506964.78</v>
      </c>
      <c r="AL379" s="4">
        <v>0</v>
      </c>
      <c r="AM379" s="4">
        <v>26388.13</v>
      </c>
      <c r="AN379" s="4">
        <v>0</v>
      </c>
      <c r="AO379" s="4">
        <v>355938.45</v>
      </c>
      <c r="AP379" s="4">
        <v>0</v>
      </c>
      <c r="AQ379" s="4">
        <v>32872.35</v>
      </c>
      <c r="AR379" s="4">
        <v>0</v>
      </c>
      <c r="AS379" s="4">
        <v>0</v>
      </c>
      <c r="AT379" s="4">
        <v>15941.52</v>
      </c>
      <c r="AU379" s="4">
        <v>0</v>
      </c>
      <c r="AV379" s="4">
        <v>463866.7</v>
      </c>
      <c r="AW379" s="4">
        <v>2197733.6800000002</v>
      </c>
      <c r="AX379" s="4">
        <v>1615528.69</v>
      </c>
      <c r="AY379" s="4">
        <v>1076965.75</v>
      </c>
      <c r="AZ379" s="4"/>
      <c r="BA379" s="4"/>
      <c r="BB379" s="4">
        <f t="shared" si="60"/>
        <v>258504528.34</v>
      </c>
    </row>
    <row r="380" spans="1:54" x14ac:dyDescent="0.2">
      <c r="A380" s="3">
        <v>35947</v>
      </c>
      <c r="B380" s="4">
        <v>0</v>
      </c>
      <c r="C380" s="4">
        <v>478992.99</v>
      </c>
      <c r="D380" s="4">
        <v>270885.19</v>
      </c>
      <c r="E380" s="4">
        <v>0</v>
      </c>
      <c r="F380" s="4">
        <v>281351.09999999998</v>
      </c>
      <c r="G380" s="4">
        <v>277351.59000000003</v>
      </c>
      <c r="H380" s="4">
        <v>6010.15</v>
      </c>
      <c r="I380" s="4">
        <v>9817.2199999999993</v>
      </c>
      <c r="J380" s="4">
        <v>559235.77</v>
      </c>
      <c r="K380" s="4">
        <v>203300.31</v>
      </c>
      <c r="L380" s="4">
        <v>545.77</v>
      </c>
      <c r="M380" s="4">
        <v>297652.53000000003</v>
      </c>
      <c r="N380" s="4">
        <v>160126.82</v>
      </c>
      <c r="O380" s="4">
        <v>228886.38</v>
      </c>
      <c r="P380" s="4">
        <v>770932.99</v>
      </c>
      <c r="Q380" s="4">
        <v>184226.83</v>
      </c>
      <c r="R380" s="4">
        <v>0</v>
      </c>
      <c r="S380" s="4">
        <v>197233.79</v>
      </c>
      <c r="T380" s="4">
        <v>136125.41</v>
      </c>
      <c r="U380" s="4">
        <v>250.56</v>
      </c>
      <c r="V380" s="4">
        <v>879123.4</v>
      </c>
      <c r="W380" s="4">
        <v>17849638.469999999</v>
      </c>
      <c r="X380" s="4">
        <v>417993.21</v>
      </c>
      <c r="Y380" s="4">
        <v>35327733.310000002</v>
      </c>
      <c r="Z380" s="4"/>
      <c r="AA380" s="4"/>
      <c r="AB380" s="4">
        <v>330281031.05000001</v>
      </c>
      <c r="AC380" s="4">
        <v>43179.89</v>
      </c>
      <c r="AD380" s="4">
        <v>2088775.65</v>
      </c>
      <c r="AE380" s="4">
        <v>136196.13</v>
      </c>
      <c r="AF380" s="4">
        <v>131053.58</v>
      </c>
      <c r="AG380" s="4">
        <v>195876.68</v>
      </c>
      <c r="AH380" s="4">
        <v>257747.06</v>
      </c>
      <c r="AI380" s="4">
        <v>253271.63</v>
      </c>
      <c r="AJ380" s="4">
        <v>88.17</v>
      </c>
      <c r="AK380" s="4">
        <v>665380.41</v>
      </c>
      <c r="AL380" s="4">
        <v>0</v>
      </c>
      <c r="AM380" s="4">
        <v>13380.37</v>
      </c>
      <c r="AN380" s="4">
        <v>0</v>
      </c>
      <c r="AO380" s="4">
        <v>592062.77</v>
      </c>
      <c r="AP380" s="4">
        <v>0</v>
      </c>
      <c r="AQ380" s="4">
        <v>61260.43</v>
      </c>
      <c r="AR380" s="4">
        <v>418.89</v>
      </c>
      <c r="AS380" s="4">
        <v>0</v>
      </c>
      <c r="AT380" s="4">
        <v>33165.03</v>
      </c>
      <c r="AU380" s="4">
        <v>380.07</v>
      </c>
      <c r="AV380" s="4">
        <v>935140.34</v>
      </c>
      <c r="AW380" s="4">
        <v>1959095.94</v>
      </c>
      <c r="AX380" s="4">
        <v>2036606.32</v>
      </c>
      <c r="AY380" s="4">
        <v>1357500.02</v>
      </c>
      <c r="AZ380" s="4"/>
      <c r="BA380" s="4"/>
      <c r="BB380" s="4">
        <f t="shared" si="60"/>
        <v>399579024.21999991</v>
      </c>
    </row>
    <row r="381" spans="1:54" x14ac:dyDescent="0.2">
      <c r="A381" s="3">
        <v>35977</v>
      </c>
      <c r="B381" s="4">
        <v>0</v>
      </c>
      <c r="C381" s="4">
        <v>396273.08</v>
      </c>
      <c r="D381" s="4">
        <v>195056.48</v>
      </c>
      <c r="E381" s="4">
        <v>0</v>
      </c>
      <c r="F381" s="4">
        <v>213799.87</v>
      </c>
      <c r="G381" s="4">
        <v>199933.49</v>
      </c>
      <c r="H381" s="4">
        <v>0</v>
      </c>
      <c r="I381" s="4">
        <v>0</v>
      </c>
      <c r="J381" s="4">
        <v>300297.44</v>
      </c>
      <c r="K381" s="4">
        <v>136193.62</v>
      </c>
      <c r="L381" s="4">
        <v>0</v>
      </c>
      <c r="M381" s="4">
        <v>170001.98</v>
      </c>
      <c r="N381" s="4">
        <v>120693.66</v>
      </c>
      <c r="O381" s="4">
        <v>120681.79</v>
      </c>
      <c r="P381" s="4">
        <v>441996.77</v>
      </c>
      <c r="Q381" s="4">
        <v>100771.85</v>
      </c>
      <c r="R381" s="4">
        <v>0</v>
      </c>
      <c r="S381" s="4">
        <v>103128.7</v>
      </c>
      <c r="T381" s="4">
        <v>16891.63</v>
      </c>
      <c r="U381" s="4">
        <v>0</v>
      </c>
      <c r="V381" s="4">
        <v>619282.93999999994</v>
      </c>
      <c r="W381" s="4">
        <v>8414374.629999999</v>
      </c>
      <c r="X381" s="4">
        <v>443273.54</v>
      </c>
      <c r="Y381" s="4">
        <v>24090388.129999999</v>
      </c>
      <c r="Z381" s="4"/>
      <c r="AA381" s="4"/>
      <c r="AB381" s="4">
        <v>221925632.64000002</v>
      </c>
      <c r="AC381" s="4">
        <v>49216.83</v>
      </c>
      <c r="AD381" s="4">
        <v>1417286.43</v>
      </c>
      <c r="AE381" s="4">
        <v>87131.98</v>
      </c>
      <c r="AF381" s="4">
        <v>68251.05</v>
      </c>
      <c r="AG381" s="4">
        <v>124530.73</v>
      </c>
      <c r="AH381" s="4">
        <v>206814.85</v>
      </c>
      <c r="AI381" s="4">
        <v>156275.12</v>
      </c>
      <c r="AJ381" s="4">
        <v>0</v>
      </c>
      <c r="AK381" s="4">
        <v>501519.13</v>
      </c>
      <c r="AL381" s="4">
        <v>0</v>
      </c>
      <c r="AM381" s="4">
        <v>20111.099999999999</v>
      </c>
      <c r="AN381" s="4">
        <v>0</v>
      </c>
      <c r="AO381" s="4">
        <v>382097.99</v>
      </c>
      <c r="AP381" s="4">
        <v>0</v>
      </c>
      <c r="AQ381" s="4">
        <v>31870.400000000001</v>
      </c>
      <c r="AR381" s="4">
        <v>0</v>
      </c>
      <c r="AS381" s="4">
        <v>0</v>
      </c>
      <c r="AT381" s="4">
        <v>15810.6</v>
      </c>
      <c r="AU381" s="4">
        <v>0</v>
      </c>
      <c r="AV381" s="4">
        <v>503527.22</v>
      </c>
      <c r="AW381" s="4">
        <v>2271054.4300000002</v>
      </c>
      <c r="AX381" s="4">
        <v>1685626.76</v>
      </c>
      <c r="AY381" s="4">
        <v>1123720.21</v>
      </c>
      <c r="AZ381" s="4"/>
      <c r="BA381" s="4"/>
      <c r="BB381" s="4">
        <f t="shared" si="60"/>
        <v>266653517.07000002</v>
      </c>
    </row>
    <row r="382" spans="1:54" x14ac:dyDescent="0.2">
      <c r="A382" s="3">
        <v>36008</v>
      </c>
      <c r="B382" s="4">
        <v>0</v>
      </c>
      <c r="C382" s="4">
        <v>383789.17</v>
      </c>
      <c r="D382" s="4">
        <v>185994.14</v>
      </c>
      <c r="E382" s="4">
        <v>0</v>
      </c>
      <c r="F382" s="4">
        <v>206371.74</v>
      </c>
      <c r="G382" s="4">
        <v>181071.15</v>
      </c>
      <c r="H382" s="4">
        <v>0</v>
      </c>
      <c r="I382" s="4">
        <v>0</v>
      </c>
      <c r="J382" s="4">
        <v>293614.53000000003</v>
      </c>
      <c r="K382" s="4">
        <v>130385.61</v>
      </c>
      <c r="L382" s="4">
        <v>0</v>
      </c>
      <c r="M382" s="4">
        <v>165427.49</v>
      </c>
      <c r="N382" s="4">
        <v>86006.64</v>
      </c>
      <c r="O382" s="4">
        <v>109227.22</v>
      </c>
      <c r="P382" s="4">
        <v>429029.01</v>
      </c>
      <c r="Q382" s="4">
        <v>95207.84</v>
      </c>
      <c r="R382" s="4">
        <v>0</v>
      </c>
      <c r="S382" s="4">
        <v>99471.65</v>
      </c>
      <c r="T382" s="4">
        <v>14300.54</v>
      </c>
      <c r="U382" s="4">
        <v>0</v>
      </c>
      <c r="V382" s="4">
        <v>557502.37</v>
      </c>
      <c r="W382" s="4">
        <v>7803878.1499999994</v>
      </c>
      <c r="X382" s="4">
        <v>418097.99</v>
      </c>
      <c r="Y382" s="4">
        <v>22518714.949999999</v>
      </c>
      <c r="Z382" s="4"/>
      <c r="AA382" s="4"/>
      <c r="AB382" s="4">
        <v>206384153.15000001</v>
      </c>
      <c r="AC382" s="4">
        <v>54211.38</v>
      </c>
      <c r="AD382" s="4">
        <v>1348634.67</v>
      </c>
      <c r="AE382" s="4">
        <v>88390.34</v>
      </c>
      <c r="AF382" s="4">
        <v>67184.820000000007</v>
      </c>
      <c r="AG382" s="4">
        <v>112673.8</v>
      </c>
      <c r="AH382" s="4">
        <v>178774.93</v>
      </c>
      <c r="AI382" s="4">
        <v>151348.69</v>
      </c>
      <c r="AJ382" s="4">
        <v>0</v>
      </c>
      <c r="AK382" s="4">
        <v>479478.75</v>
      </c>
      <c r="AL382" s="4">
        <v>0</v>
      </c>
      <c r="AM382" s="4">
        <v>20465.759999999998</v>
      </c>
      <c r="AN382" s="4">
        <v>0</v>
      </c>
      <c r="AO382" s="4">
        <v>382696.46</v>
      </c>
      <c r="AP382" s="4">
        <v>0</v>
      </c>
      <c r="AQ382" s="4">
        <v>29549</v>
      </c>
      <c r="AR382" s="4">
        <v>0</v>
      </c>
      <c r="AS382" s="4">
        <v>0</v>
      </c>
      <c r="AT382" s="4">
        <v>15185.38</v>
      </c>
      <c r="AU382" s="4">
        <v>0</v>
      </c>
      <c r="AV382" s="4">
        <v>476229.97</v>
      </c>
      <c r="AW382" s="4">
        <v>2076555.54</v>
      </c>
      <c r="AX382" s="4">
        <v>1585386.85</v>
      </c>
      <c r="AY382" s="4">
        <v>1056918.31</v>
      </c>
      <c r="AZ382" s="4"/>
      <c r="BA382" s="4"/>
      <c r="BB382" s="4">
        <f t="shared" si="60"/>
        <v>248185927.98999998</v>
      </c>
    </row>
    <row r="383" spans="1:54" x14ac:dyDescent="0.2">
      <c r="A383" s="3">
        <v>36039</v>
      </c>
      <c r="B383" s="4">
        <v>1504.27</v>
      </c>
      <c r="C383" s="4">
        <v>701681.65</v>
      </c>
      <c r="D383" s="4">
        <v>374846.5</v>
      </c>
      <c r="E383" s="4">
        <v>0</v>
      </c>
      <c r="F383" s="4">
        <v>282460.02</v>
      </c>
      <c r="G383" s="4">
        <v>202018.17</v>
      </c>
      <c r="H383" s="4">
        <v>27921.35</v>
      </c>
      <c r="I383" s="4">
        <v>0</v>
      </c>
      <c r="J383" s="4">
        <v>512671.73</v>
      </c>
      <c r="K383" s="4">
        <v>202187.1</v>
      </c>
      <c r="L383" s="4">
        <v>53.24</v>
      </c>
      <c r="M383" s="4">
        <v>256708.85</v>
      </c>
      <c r="N383" s="4">
        <v>160940.19</v>
      </c>
      <c r="O383" s="4">
        <v>205981.42</v>
      </c>
      <c r="P383" s="4">
        <v>503018.45</v>
      </c>
      <c r="Q383" s="4">
        <v>131237.78</v>
      </c>
      <c r="R383" s="4">
        <v>0</v>
      </c>
      <c r="S383" s="4">
        <v>206348.24</v>
      </c>
      <c r="T383" s="4">
        <v>76846.7</v>
      </c>
      <c r="U383" s="4">
        <v>0</v>
      </c>
      <c r="V383" s="4">
        <v>1098104.82</v>
      </c>
      <c r="W383" s="4">
        <v>17083847.169999998</v>
      </c>
      <c r="X383" s="4">
        <v>501791.83</v>
      </c>
      <c r="Y383" s="4">
        <v>36403421.68</v>
      </c>
      <c r="Z383" s="4"/>
      <c r="AA383" s="4"/>
      <c r="AB383" s="4">
        <v>339240494.63</v>
      </c>
      <c r="AC383" s="4">
        <v>44400.07</v>
      </c>
      <c r="AD383" s="4">
        <v>1895686.28</v>
      </c>
      <c r="AE383" s="4">
        <v>106123.73</v>
      </c>
      <c r="AF383" s="4">
        <v>96486.5</v>
      </c>
      <c r="AG383" s="4">
        <v>138462.47</v>
      </c>
      <c r="AH383" s="4">
        <v>292668.03000000003</v>
      </c>
      <c r="AI383" s="4">
        <v>237738.94</v>
      </c>
      <c r="AJ383" s="4">
        <v>0</v>
      </c>
      <c r="AK383" s="4">
        <v>605953.38</v>
      </c>
      <c r="AL383" s="4">
        <v>0</v>
      </c>
      <c r="AM383" s="4">
        <v>20760.97</v>
      </c>
      <c r="AN383" s="4">
        <v>0</v>
      </c>
      <c r="AO383" s="4">
        <v>446046.64</v>
      </c>
      <c r="AP383" s="4">
        <v>0</v>
      </c>
      <c r="AQ383" s="4">
        <v>57114.2</v>
      </c>
      <c r="AR383" s="4">
        <v>499.58</v>
      </c>
      <c r="AS383" s="4">
        <v>622.07000000000005</v>
      </c>
      <c r="AT383" s="4">
        <v>26382.99</v>
      </c>
      <c r="AU383" s="4">
        <v>345.49</v>
      </c>
      <c r="AV383" s="4">
        <v>703162.65</v>
      </c>
      <c r="AW383" s="4">
        <v>4430420.93</v>
      </c>
      <c r="AX383" s="4">
        <v>2301801.87</v>
      </c>
      <c r="AY383" s="4">
        <v>1535952.31</v>
      </c>
      <c r="AZ383" s="4"/>
      <c r="BA383" s="4"/>
      <c r="BB383" s="4">
        <f t="shared" si="60"/>
        <v>411114714.88999993</v>
      </c>
    </row>
    <row r="384" spans="1:54" x14ac:dyDescent="0.2">
      <c r="A384" s="3">
        <v>36069</v>
      </c>
      <c r="B384" s="4">
        <v>0</v>
      </c>
      <c r="C384" s="4">
        <v>386675.56</v>
      </c>
      <c r="D384" s="4">
        <v>189209.23</v>
      </c>
      <c r="E384" s="4">
        <v>0</v>
      </c>
      <c r="F384" s="4">
        <v>172624.1</v>
      </c>
      <c r="G384" s="4">
        <v>168576.13</v>
      </c>
      <c r="H384" s="4">
        <v>0</v>
      </c>
      <c r="I384" s="4">
        <v>0</v>
      </c>
      <c r="J384" s="4">
        <v>292182.25</v>
      </c>
      <c r="K384" s="4">
        <v>125755.2</v>
      </c>
      <c r="L384" s="4">
        <v>0</v>
      </c>
      <c r="M384" s="4">
        <v>187866.05</v>
      </c>
      <c r="N384" s="4">
        <v>85630.59</v>
      </c>
      <c r="O384" s="4">
        <v>113902.61</v>
      </c>
      <c r="P384" s="4">
        <v>396504.33</v>
      </c>
      <c r="Q384" s="4">
        <v>86914.54</v>
      </c>
      <c r="R384" s="4">
        <v>0</v>
      </c>
      <c r="S384" s="4">
        <v>89241.67</v>
      </c>
      <c r="T384" s="4">
        <v>15115.08</v>
      </c>
      <c r="U384" s="4">
        <v>0</v>
      </c>
      <c r="V384" s="4">
        <v>564482.05000000005</v>
      </c>
      <c r="W384" s="4">
        <v>7688747.0499999998</v>
      </c>
      <c r="X384" s="4">
        <v>274620.18</v>
      </c>
      <c r="Y384" s="4">
        <v>22316906.48</v>
      </c>
      <c r="Z384" s="4"/>
      <c r="AA384" s="4"/>
      <c r="AB384" s="4">
        <v>210826762.59</v>
      </c>
      <c r="AC384" s="4">
        <v>51096.47</v>
      </c>
      <c r="AD384" s="4">
        <v>1299719.77</v>
      </c>
      <c r="AE384" s="4">
        <v>0</v>
      </c>
      <c r="AF384" s="4">
        <v>61041.88</v>
      </c>
      <c r="AG384" s="4">
        <v>118098.12</v>
      </c>
      <c r="AH384" s="4">
        <v>191266.21</v>
      </c>
      <c r="AI384" s="4">
        <v>156565.75</v>
      </c>
      <c r="AJ384" s="4">
        <v>0</v>
      </c>
      <c r="AK384" s="4">
        <v>463014.07</v>
      </c>
      <c r="AL384" s="4">
        <v>0</v>
      </c>
      <c r="AM384" s="4">
        <v>22304.400000000001</v>
      </c>
      <c r="AN384" s="4">
        <v>0</v>
      </c>
      <c r="AO384" s="4">
        <v>356288.37</v>
      </c>
      <c r="AP384" s="4">
        <v>0</v>
      </c>
      <c r="AQ384" s="4">
        <v>30621.1</v>
      </c>
      <c r="AR384" s="4">
        <v>0</v>
      </c>
      <c r="AS384" s="4">
        <v>0</v>
      </c>
      <c r="AT384" s="4">
        <v>15687.06</v>
      </c>
      <c r="AU384" s="4">
        <v>0</v>
      </c>
      <c r="AV384" s="4">
        <v>480007.84</v>
      </c>
      <c r="AW384" s="4">
        <v>2846644.2</v>
      </c>
      <c r="AX384" s="4">
        <v>1576181.71</v>
      </c>
      <c r="AY384" s="4">
        <v>1050787.75</v>
      </c>
      <c r="AZ384" s="4"/>
      <c r="BA384" s="4"/>
      <c r="BB384" s="4">
        <f t="shared" si="60"/>
        <v>252701040.39000002</v>
      </c>
    </row>
    <row r="385" spans="1:54" x14ac:dyDescent="0.2">
      <c r="A385" s="3">
        <v>36100</v>
      </c>
      <c r="B385" s="4">
        <v>0</v>
      </c>
      <c r="C385" s="4">
        <v>373729.56</v>
      </c>
      <c r="D385" s="4">
        <v>192560.01</v>
      </c>
      <c r="E385" s="4">
        <v>0</v>
      </c>
      <c r="F385" s="4">
        <v>185969.22</v>
      </c>
      <c r="G385" s="4">
        <v>171810.36</v>
      </c>
      <c r="H385" s="4">
        <v>0</v>
      </c>
      <c r="I385" s="4">
        <v>0</v>
      </c>
      <c r="J385" s="4">
        <v>283037.12</v>
      </c>
      <c r="K385" s="4">
        <v>129026.2</v>
      </c>
      <c r="L385" s="4">
        <v>0</v>
      </c>
      <c r="M385" s="4">
        <v>192559.17</v>
      </c>
      <c r="N385" s="4">
        <v>94557.58</v>
      </c>
      <c r="O385" s="4">
        <v>110800.48</v>
      </c>
      <c r="P385" s="4">
        <v>398537.45</v>
      </c>
      <c r="Q385" s="4">
        <v>84568.07</v>
      </c>
      <c r="R385" s="4">
        <v>0</v>
      </c>
      <c r="S385" s="4">
        <v>96057.600000000006</v>
      </c>
      <c r="T385" s="4">
        <v>13021.28</v>
      </c>
      <c r="U385" s="4">
        <v>0</v>
      </c>
      <c r="V385" s="4">
        <v>612572.72</v>
      </c>
      <c r="W385" s="4">
        <v>7534379.0500000007</v>
      </c>
      <c r="X385" s="4">
        <v>320644.40999999997</v>
      </c>
      <c r="Y385" s="4">
        <v>23319200.48</v>
      </c>
      <c r="Z385" s="4"/>
      <c r="AA385" s="4"/>
      <c r="AB385" s="4">
        <v>224335062.69999999</v>
      </c>
      <c r="AC385" s="4">
        <v>49402.57</v>
      </c>
      <c r="AD385" s="4">
        <v>1290834.8500000001</v>
      </c>
      <c r="AE385" s="4">
        <v>0</v>
      </c>
      <c r="AF385" s="4">
        <v>63887.58</v>
      </c>
      <c r="AG385" s="4">
        <v>109716.15</v>
      </c>
      <c r="AH385" s="4">
        <v>190169.97</v>
      </c>
      <c r="AI385" s="4">
        <v>149354.78</v>
      </c>
      <c r="AJ385" s="4">
        <v>0</v>
      </c>
      <c r="AK385" s="4">
        <v>446493.34</v>
      </c>
      <c r="AL385" s="4">
        <v>0</v>
      </c>
      <c r="AM385" s="4">
        <v>21574.3</v>
      </c>
      <c r="AN385" s="4">
        <v>0</v>
      </c>
      <c r="AO385" s="4">
        <v>337755.19</v>
      </c>
      <c r="AP385" s="4">
        <v>0</v>
      </c>
      <c r="AQ385" s="4">
        <v>31131.67</v>
      </c>
      <c r="AR385" s="4">
        <v>0</v>
      </c>
      <c r="AS385" s="4">
        <v>0</v>
      </c>
      <c r="AT385" s="4">
        <v>15460.13</v>
      </c>
      <c r="AU385" s="4">
        <v>0</v>
      </c>
      <c r="AV385" s="4">
        <v>479494.34</v>
      </c>
      <c r="AW385" s="4">
        <v>2638422.91</v>
      </c>
      <c r="AX385" s="4">
        <v>1608276.39</v>
      </c>
      <c r="AY385" s="4">
        <v>1071919.6000000001</v>
      </c>
      <c r="AZ385" s="4"/>
      <c r="BA385" s="4"/>
      <c r="BB385" s="4">
        <f t="shared" si="60"/>
        <v>266951987.22999996</v>
      </c>
    </row>
    <row r="386" spans="1:54" x14ac:dyDescent="0.2">
      <c r="A386" s="3">
        <v>36130</v>
      </c>
      <c r="B386" s="4">
        <v>0</v>
      </c>
      <c r="C386" s="4">
        <v>685946.44</v>
      </c>
      <c r="D386" s="4">
        <v>230030.93</v>
      </c>
      <c r="E386" s="4">
        <v>0</v>
      </c>
      <c r="F386" s="4">
        <v>281442.94</v>
      </c>
      <c r="G386" s="4">
        <v>339384.2</v>
      </c>
      <c r="H386" s="4">
        <v>4118.1899999999996</v>
      </c>
      <c r="I386" s="4">
        <v>0</v>
      </c>
      <c r="J386" s="4">
        <v>552225.68999999994</v>
      </c>
      <c r="K386" s="4">
        <v>204855.23</v>
      </c>
      <c r="L386" s="4">
        <v>140.16999999999999</v>
      </c>
      <c r="M386" s="4">
        <v>205519.2</v>
      </c>
      <c r="N386" s="4">
        <v>136904.26</v>
      </c>
      <c r="O386" s="4">
        <v>177666.52</v>
      </c>
      <c r="P386" s="4">
        <v>597170.12</v>
      </c>
      <c r="Q386" s="4">
        <v>130258.81</v>
      </c>
      <c r="R386" s="4">
        <v>0</v>
      </c>
      <c r="S386" s="4">
        <v>166172.4</v>
      </c>
      <c r="T386" s="4">
        <v>88541.05</v>
      </c>
      <c r="U386" s="4">
        <v>0</v>
      </c>
      <c r="V386" s="4">
        <v>971109.9</v>
      </c>
      <c r="W386" s="4">
        <v>16552535.460000001</v>
      </c>
      <c r="X386" s="4">
        <v>404960.35</v>
      </c>
      <c r="Y386" s="4">
        <v>35681126.980000004</v>
      </c>
      <c r="Z386" s="4"/>
      <c r="AA386" s="4"/>
      <c r="AB386" s="4">
        <v>333967480.30000001</v>
      </c>
      <c r="AC386" s="4">
        <v>64917.71</v>
      </c>
      <c r="AD386" s="4">
        <v>1923244.13</v>
      </c>
      <c r="AE386" s="4">
        <v>0</v>
      </c>
      <c r="AF386" s="4">
        <v>122327.6</v>
      </c>
      <c r="AG386" s="4">
        <v>157116.94</v>
      </c>
      <c r="AH386" s="4">
        <v>280302.92</v>
      </c>
      <c r="AI386" s="4">
        <v>275423.38</v>
      </c>
      <c r="AJ386" s="4">
        <v>0</v>
      </c>
      <c r="AK386" s="4">
        <v>846719.59</v>
      </c>
      <c r="AL386" s="4">
        <v>0</v>
      </c>
      <c r="AM386" s="4">
        <v>23363.63</v>
      </c>
      <c r="AN386" s="4">
        <v>0</v>
      </c>
      <c r="AO386" s="4">
        <v>552862.18000000005</v>
      </c>
      <c r="AP386" s="4">
        <v>0</v>
      </c>
      <c r="AQ386" s="4">
        <v>48607.05</v>
      </c>
      <c r="AR386" s="4">
        <v>1549.83</v>
      </c>
      <c r="AS386" s="4">
        <v>1366.15</v>
      </c>
      <c r="AT386" s="4">
        <v>36536.31</v>
      </c>
      <c r="AU386" s="4">
        <v>37.299999999999997</v>
      </c>
      <c r="AV386" s="4">
        <v>845657.95</v>
      </c>
      <c r="AW386" s="4">
        <v>2767648.19</v>
      </c>
      <c r="AX386" s="4">
        <v>2075756.37</v>
      </c>
      <c r="AY386" s="4">
        <v>1389049.99</v>
      </c>
      <c r="AZ386" s="4"/>
      <c r="BA386" s="4"/>
      <c r="BB386" s="4">
        <f t="shared" si="60"/>
        <v>402790076.35999995</v>
      </c>
    </row>
    <row r="387" spans="1:54" ht="15.75" thickBot="1" x14ac:dyDescent="0.25">
      <c r="A387" s="1" t="s">
        <v>7</v>
      </c>
      <c r="B387" s="5">
        <f t="shared" ref="B387:AY387" si="61">SUM(B375:B386)</f>
        <v>1504.27</v>
      </c>
      <c r="C387" s="5">
        <f t="shared" si="61"/>
        <v>5493749.0899999999</v>
      </c>
      <c r="D387" s="5">
        <f t="shared" si="61"/>
        <v>2603756.8400000003</v>
      </c>
      <c r="E387" s="5">
        <f t="shared" si="61"/>
        <v>0</v>
      </c>
      <c r="F387" s="5">
        <f t="shared" si="61"/>
        <v>2582907.2999999998</v>
      </c>
      <c r="G387" s="5">
        <f t="shared" si="61"/>
        <v>2416106.37</v>
      </c>
      <c r="H387" s="5">
        <f t="shared" si="61"/>
        <v>50285.04</v>
      </c>
      <c r="I387" s="5">
        <f t="shared" si="61"/>
        <v>9817.2199999999993</v>
      </c>
      <c r="J387" s="5">
        <f t="shared" si="61"/>
        <v>4265093.37</v>
      </c>
      <c r="K387" s="5">
        <f t="shared" si="61"/>
        <v>1915285.53</v>
      </c>
      <c r="L387" s="5">
        <f t="shared" si="61"/>
        <v>1755.51</v>
      </c>
      <c r="M387" s="5">
        <f t="shared" si="61"/>
        <v>2437095.3500000006</v>
      </c>
      <c r="N387" s="5">
        <f t="shared" si="61"/>
        <v>1315045.9100000001</v>
      </c>
      <c r="O387" s="5">
        <f t="shared" si="61"/>
        <v>1547999.7000000002</v>
      </c>
      <c r="P387" s="5">
        <f t="shared" si="61"/>
        <v>5893274.6700000009</v>
      </c>
      <c r="Q387" s="5">
        <f t="shared" si="61"/>
        <v>1332335.56</v>
      </c>
      <c r="R387" s="5">
        <f t="shared" si="61"/>
        <v>0</v>
      </c>
      <c r="S387" s="5">
        <f t="shared" si="61"/>
        <v>1605295.5499999998</v>
      </c>
      <c r="T387" s="5">
        <f t="shared" si="61"/>
        <v>507147.67000000004</v>
      </c>
      <c r="U387" s="5">
        <f t="shared" si="61"/>
        <v>259.74</v>
      </c>
      <c r="V387" s="5">
        <f t="shared" si="61"/>
        <v>8568074.379999999</v>
      </c>
      <c r="W387" s="5">
        <f t="shared" si="61"/>
        <v>134906409.81999999</v>
      </c>
      <c r="X387" s="5">
        <f t="shared" si="61"/>
        <v>4738714.4799999995</v>
      </c>
      <c r="Y387" s="5">
        <f t="shared" si="61"/>
        <v>319946315.34999996</v>
      </c>
      <c r="Z387" s="5"/>
      <c r="AA387" s="5"/>
      <c r="AB387" s="5">
        <f t="shared" si="61"/>
        <v>3032729765.5800004</v>
      </c>
      <c r="AC387" s="5">
        <f t="shared" si="61"/>
        <v>701773.37999999989</v>
      </c>
      <c r="AD387" s="5">
        <f t="shared" si="61"/>
        <v>18032993.489999998</v>
      </c>
      <c r="AE387" s="5">
        <f t="shared" si="61"/>
        <v>998727.7</v>
      </c>
      <c r="AF387" s="5">
        <f t="shared" si="61"/>
        <v>1023055.0499999999</v>
      </c>
      <c r="AG387" s="5">
        <f t="shared" si="61"/>
        <v>1571260.0699999998</v>
      </c>
      <c r="AH387" s="5">
        <f t="shared" si="61"/>
        <v>2788426.77</v>
      </c>
      <c r="AI387" s="5">
        <f t="shared" si="61"/>
        <v>2195136.3199999998</v>
      </c>
      <c r="AJ387" s="5">
        <f t="shared" si="61"/>
        <v>199.37</v>
      </c>
      <c r="AK387" s="5">
        <f t="shared" si="61"/>
        <v>6390087.4100000001</v>
      </c>
      <c r="AL387" s="5">
        <f t="shared" si="61"/>
        <v>0</v>
      </c>
      <c r="AM387" s="5">
        <f t="shared" si="61"/>
        <v>276728.75</v>
      </c>
      <c r="AN387" s="5">
        <f t="shared" si="61"/>
        <v>0</v>
      </c>
      <c r="AO387" s="5">
        <f t="shared" si="61"/>
        <v>5040333.47</v>
      </c>
      <c r="AP387" s="5">
        <f t="shared" si="61"/>
        <v>0</v>
      </c>
      <c r="AQ387" s="5">
        <f t="shared" si="61"/>
        <v>474950.6</v>
      </c>
      <c r="AR387" s="5">
        <f t="shared" si="61"/>
        <v>2793.2299999999996</v>
      </c>
      <c r="AS387" s="5">
        <f t="shared" si="61"/>
        <v>1988.2200000000003</v>
      </c>
      <c r="AT387" s="5">
        <f t="shared" si="61"/>
        <v>260109.75</v>
      </c>
      <c r="AU387" s="5">
        <f t="shared" si="61"/>
        <v>1710.04</v>
      </c>
      <c r="AV387" s="5">
        <f t="shared" si="61"/>
        <v>7055647.0099999998</v>
      </c>
      <c r="AW387" s="5">
        <f t="shared" si="61"/>
        <v>31513836.91</v>
      </c>
      <c r="AX387" s="5">
        <f t="shared" si="61"/>
        <v>21581005.07</v>
      </c>
      <c r="AY387" s="5">
        <f t="shared" si="61"/>
        <v>14393227.869999999</v>
      </c>
      <c r="AZ387" s="5"/>
      <c r="BA387" s="5"/>
      <c r="BB387" s="5">
        <f t="shared" si="60"/>
        <v>3649171984.7799997</v>
      </c>
    </row>
    <row r="388" spans="1:54" ht="15.75" thickTop="1" x14ac:dyDescent="0.2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</row>
    <row r="389" spans="1:54" x14ac:dyDescent="0.2">
      <c r="A389" s="3">
        <v>35431</v>
      </c>
      <c r="B389" s="4">
        <v>0</v>
      </c>
      <c r="C389" s="4">
        <v>352167.71</v>
      </c>
      <c r="D389" s="4">
        <v>204166.53</v>
      </c>
      <c r="E389" s="4">
        <v>0</v>
      </c>
      <c r="F389" s="4">
        <v>192210.02</v>
      </c>
      <c r="G389" s="4">
        <v>215145.34</v>
      </c>
      <c r="H389" s="4">
        <v>0</v>
      </c>
      <c r="I389" s="4">
        <v>0</v>
      </c>
      <c r="J389" s="4">
        <v>287145.75</v>
      </c>
      <c r="K389" s="4">
        <v>127345.43</v>
      </c>
      <c r="L389" s="4">
        <v>0</v>
      </c>
      <c r="M389" s="4">
        <v>252939.86</v>
      </c>
      <c r="N389" s="4">
        <v>84946.34</v>
      </c>
      <c r="O389" s="4">
        <v>120016.65</v>
      </c>
      <c r="P389" s="4">
        <v>374409.75</v>
      </c>
      <c r="Q389" s="4">
        <v>97510.02</v>
      </c>
      <c r="R389" s="4">
        <v>0</v>
      </c>
      <c r="S389" s="4">
        <v>121464.2</v>
      </c>
      <c r="T389" s="4">
        <v>12974.12</v>
      </c>
      <c r="U389" s="4">
        <v>0</v>
      </c>
      <c r="V389" s="4">
        <v>733739.09</v>
      </c>
      <c r="W389" s="4">
        <v>8599835.2400000002</v>
      </c>
      <c r="X389" s="4">
        <v>397310.26</v>
      </c>
      <c r="Y389" s="4">
        <v>24452515.739999998</v>
      </c>
      <c r="Z389" s="4"/>
      <c r="AA389" s="4"/>
      <c r="AB389" s="4">
        <v>243950164.53</v>
      </c>
      <c r="AC389" s="4">
        <v>88982.57</v>
      </c>
      <c r="AD389" s="4">
        <v>1102062.92</v>
      </c>
      <c r="AE389" s="4">
        <v>145743.51</v>
      </c>
      <c r="AF389" s="4">
        <v>79617.149999999994</v>
      </c>
      <c r="AG389" s="4">
        <v>152010.35</v>
      </c>
      <c r="AH389" s="4">
        <v>276322.48</v>
      </c>
      <c r="AI389" s="4">
        <v>154281.43</v>
      </c>
      <c r="AJ389" s="4">
        <v>0</v>
      </c>
      <c r="AK389" s="4">
        <v>524805.87</v>
      </c>
      <c r="AL389" s="4">
        <v>0</v>
      </c>
      <c r="AM389" s="4">
        <v>40174.94</v>
      </c>
      <c r="AN389" s="4">
        <v>0</v>
      </c>
      <c r="AO389" s="4">
        <v>435583.44</v>
      </c>
      <c r="AP389" s="4">
        <v>0</v>
      </c>
      <c r="AQ389" s="4">
        <v>40098.769999999997</v>
      </c>
      <c r="AR389" s="4">
        <v>0</v>
      </c>
      <c r="AS389" s="4">
        <v>0</v>
      </c>
      <c r="AT389" s="4">
        <v>11558.47</v>
      </c>
      <c r="AU389" s="4">
        <v>0</v>
      </c>
      <c r="AV389" s="4">
        <v>558390.16</v>
      </c>
      <c r="AW389" s="4">
        <v>2890466.84</v>
      </c>
      <c r="AX389" s="4">
        <v>2022313.31</v>
      </c>
      <c r="AY389" s="4">
        <v>1347457.82</v>
      </c>
      <c r="AZ389" s="4"/>
      <c r="BA389" s="4"/>
      <c r="BB389" s="4">
        <f t="shared" ref="BB389:BB401" si="62">SUM(B389:AY389)</f>
        <v>290445876.61000001</v>
      </c>
    </row>
    <row r="390" spans="1:54" x14ac:dyDescent="0.2">
      <c r="A390" s="3">
        <v>35462</v>
      </c>
      <c r="B390" s="4">
        <v>0</v>
      </c>
      <c r="C390" s="4">
        <v>283626.78999999998</v>
      </c>
      <c r="D390" s="4">
        <v>162043.24</v>
      </c>
      <c r="E390" s="4">
        <v>0</v>
      </c>
      <c r="F390" s="4">
        <v>153861.70000000001</v>
      </c>
      <c r="G390" s="4">
        <v>168291.22</v>
      </c>
      <c r="H390" s="4">
        <v>0</v>
      </c>
      <c r="I390" s="4">
        <v>0</v>
      </c>
      <c r="J390" s="4">
        <v>221993.39</v>
      </c>
      <c r="K390" s="4">
        <v>107464.26</v>
      </c>
      <c r="L390" s="4">
        <v>0</v>
      </c>
      <c r="M390" s="4">
        <v>169551.49</v>
      </c>
      <c r="N390" s="4">
        <v>69117.990000000005</v>
      </c>
      <c r="O390" s="4">
        <v>96009.76</v>
      </c>
      <c r="P390" s="4">
        <v>322628.59000000003</v>
      </c>
      <c r="Q390" s="4">
        <v>79695.78</v>
      </c>
      <c r="R390" s="4">
        <v>0</v>
      </c>
      <c r="S390" s="4">
        <v>95294.29</v>
      </c>
      <c r="T390" s="4">
        <v>7728.42</v>
      </c>
      <c r="U390" s="4">
        <v>0</v>
      </c>
      <c r="V390" s="4">
        <v>617671.82999999996</v>
      </c>
      <c r="W390" s="4">
        <v>6897654.7999999998</v>
      </c>
      <c r="X390" s="4">
        <v>321215.05</v>
      </c>
      <c r="Y390" s="4">
        <v>20144481.440000001</v>
      </c>
      <c r="Z390" s="4"/>
      <c r="AA390" s="4"/>
      <c r="AB390" s="4">
        <v>199789687.66</v>
      </c>
      <c r="AC390" s="4">
        <v>70688.28</v>
      </c>
      <c r="AD390" s="4">
        <v>902946.57</v>
      </c>
      <c r="AE390" s="4">
        <v>116380.6</v>
      </c>
      <c r="AF390" s="4">
        <v>64226.36</v>
      </c>
      <c r="AG390" s="4">
        <v>120160.55</v>
      </c>
      <c r="AH390" s="4">
        <v>225652.9</v>
      </c>
      <c r="AI390" s="4">
        <v>122383.44</v>
      </c>
      <c r="AJ390" s="4">
        <v>0</v>
      </c>
      <c r="AK390" s="4">
        <v>410608.6</v>
      </c>
      <c r="AL390" s="4">
        <v>0</v>
      </c>
      <c r="AM390" s="4">
        <v>31975.7</v>
      </c>
      <c r="AN390" s="4">
        <v>0</v>
      </c>
      <c r="AO390" s="4">
        <v>346106.43</v>
      </c>
      <c r="AP390" s="4">
        <v>0</v>
      </c>
      <c r="AQ390" s="4">
        <v>31211.03</v>
      </c>
      <c r="AR390" s="4">
        <v>0</v>
      </c>
      <c r="AS390" s="4">
        <v>0</v>
      </c>
      <c r="AT390" s="4">
        <v>14147.18</v>
      </c>
      <c r="AU390" s="4">
        <v>0</v>
      </c>
      <c r="AV390" s="4">
        <v>437761.35</v>
      </c>
      <c r="AW390" s="4">
        <v>2729461.15</v>
      </c>
      <c r="AX390" s="4">
        <v>1600516</v>
      </c>
      <c r="AY390" s="4">
        <v>1066963.44</v>
      </c>
      <c r="AZ390" s="4"/>
      <c r="BA390" s="4"/>
      <c r="BB390" s="4">
        <f t="shared" si="62"/>
        <v>237999207.28</v>
      </c>
    </row>
    <row r="391" spans="1:54" x14ac:dyDescent="0.2">
      <c r="A391" s="3">
        <v>35490</v>
      </c>
      <c r="B391" s="4">
        <v>11873.79</v>
      </c>
      <c r="C391" s="4">
        <v>727675.75</v>
      </c>
      <c r="D391" s="4">
        <v>267287.15999999997</v>
      </c>
      <c r="E391" s="4">
        <v>0</v>
      </c>
      <c r="F391" s="4">
        <v>197487.41</v>
      </c>
      <c r="G391" s="4">
        <v>207058.99</v>
      </c>
      <c r="H391" s="4">
        <v>9703.61</v>
      </c>
      <c r="I391" s="4">
        <v>23804.06</v>
      </c>
      <c r="J391" s="4">
        <v>335355.61</v>
      </c>
      <c r="K391" s="4">
        <v>182418.85</v>
      </c>
      <c r="L391" s="4">
        <v>2187.02</v>
      </c>
      <c r="M391" s="4">
        <v>174418.91</v>
      </c>
      <c r="N391" s="4">
        <v>150630.57</v>
      </c>
      <c r="O391" s="4">
        <v>291223.58</v>
      </c>
      <c r="P391" s="4">
        <v>444668.02</v>
      </c>
      <c r="Q391" s="4">
        <v>115718.72</v>
      </c>
      <c r="R391" s="4">
        <v>0</v>
      </c>
      <c r="S391" s="4">
        <v>184023.34</v>
      </c>
      <c r="T391" s="4">
        <v>40847.9</v>
      </c>
      <c r="U391" s="4">
        <v>0</v>
      </c>
      <c r="V391" s="4">
        <v>1182886.1599999999</v>
      </c>
      <c r="W391" s="4">
        <v>14630894.27</v>
      </c>
      <c r="X391" s="4">
        <v>453311.16</v>
      </c>
      <c r="Y391" s="4">
        <v>29599374.510000002</v>
      </c>
      <c r="Z391" s="4"/>
      <c r="AA391" s="4"/>
      <c r="AB391" s="4">
        <v>292174711</v>
      </c>
      <c r="AC391" s="4">
        <v>94727.19</v>
      </c>
      <c r="AD391" s="4">
        <v>1901122.71</v>
      </c>
      <c r="AE391" s="4">
        <v>163699</v>
      </c>
      <c r="AF391" s="4">
        <v>97886.42</v>
      </c>
      <c r="AG391" s="4">
        <v>127936.72</v>
      </c>
      <c r="AH391" s="4">
        <v>367293.97</v>
      </c>
      <c r="AI391" s="4">
        <v>203101.82</v>
      </c>
      <c r="AJ391" s="4">
        <v>9315.0300000000007</v>
      </c>
      <c r="AK391" s="4">
        <v>767042.99</v>
      </c>
      <c r="AL391" s="4">
        <v>0</v>
      </c>
      <c r="AM391" s="4">
        <v>25306.41</v>
      </c>
      <c r="AN391" s="4">
        <v>0</v>
      </c>
      <c r="AO391" s="4">
        <v>406867.96</v>
      </c>
      <c r="AP391" s="4">
        <v>0</v>
      </c>
      <c r="AQ391" s="4">
        <v>41450.76</v>
      </c>
      <c r="AR391" s="4">
        <v>2666.72</v>
      </c>
      <c r="AS391" s="4">
        <v>31094.83</v>
      </c>
      <c r="AT391" s="4">
        <v>26458.57</v>
      </c>
      <c r="AU391" s="4">
        <v>250.8</v>
      </c>
      <c r="AV391" s="4">
        <v>725434.43</v>
      </c>
      <c r="AW391" s="4">
        <v>3950302.17</v>
      </c>
      <c r="AX391" s="4">
        <v>1941762.81</v>
      </c>
      <c r="AY391" s="4">
        <v>1295852.07</v>
      </c>
      <c r="AZ391" s="4"/>
      <c r="BA391" s="4"/>
      <c r="BB391" s="4">
        <f t="shared" si="62"/>
        <v>353587133.77000004</v>
      </c>
    </row>
    <row r="392" spans="1:54" x14ac:dyDescent="0.2">
      <c r="A392" s="3">
        <v>35521</v>
      </c>
      <c r="B392" s="4">
        <v>0</v>
      </c>
      <c r="C392" s="4">
        <v>359727.13</v>
      </c>
      <c r="D392" s="4">
        <v>171006.51</v>
      </c>
      <c r="E392" s="4">
        <v>0</v>
      </c>
      <c r="F392" s="4">
        <v>176017.24</v>
      </c>
      <c r="G392" s="4">
        <v>172476.52</v>
      </c>
      <c r="H392" s="4">
        <v>0</v>
      </c>
      <c r="I392" s="4">
        <v>0</v>
      </c>
      <c r="J392" s="4">
        <v>247376.93</v>
      </c>
      <c r="K392" s="4">
        <v>113178.41</v>
      </c>
      <c r="L392" s="4">
        <v>0</v>
      </c>
      <c r="M392" s="4">
        <v>187435.37</v>
      </c>
      <c r="N392" s="4">
        <v>89181.67</v>
      </c>
      <c r="O392" s="4">
        <v>100213.88</v>
      </c>
      <c r="P392" s="4">
        <v>353448.98</v>
      </c>
      <c r="Q392" s="4">
        <v>87307.74</v>
      </c>
      <c r="R392" s="4">
        <v>0</v>
      </c>
      <c r="S392" s="4">
        <v>109563.62</v>
      </c>
      <c r="T392" s="4">
        <v>10542.61</v>
      </c>
      <c r="U392" s="4">
        <v>0</v>
      </c>
      <c r="V392" s="4">
        <v>640289.68000000005</v>
      </c>
      <c r="W392" s="4">
        <v>7639482.9199999999</v>
      </c>
      <c r="X392" s="4">
        <v>331040.48</v>
      </c>
      <c r="Y392" s="4">
        <v>21028433.710000001</v>
      </c>
      <c r="Z392" s="4"/>
      <c r="AA392" s="4"/>
      <c r="AB392" s="4">
        <v>203830707.94</v>
      </c>
      <c r="AC392" s="4">
        <v>75441.539999999994</v>
      </c>
      <c r="AD392" s="4">
        <v>962945.69</v>
      </c>
      <c r="AE392" s="4">
        <v>103042.82</v>
      </c>
      <c r="AF392" s="4">
        <v>68715.53</v>
      </c>
      <c r="AG392" s="4">
        <v>95151.66</v>
      </c>
      <c r="AH392" s="4">
        <v>237015.56</v>
      </c>
      <c r="AI392" s="4">
        <v>121498.02</v>
      </c>
      <c r="AJ392" s="4">
        <v>0</v>
      </c>
      <c r="AK392" s="4">
        <v>474582.94</v>
      </c>
      <c r="AL392" s="4">
        <v>0</v>
      </c>
      <c r="AM392" s="4">
        <v>26927.8</v>
      </c>
      <c r="AN392" s="4">
        <v>0</v>
      </c>
      <c r="AO392" s="4">
        <v>356219.51</v>
      </c>
      <c r="AP392" s="4">
        <v>0</v>
      </c>
      <c r="AQ392" s="4">
        <v>33756.93</v>
      </c>
      <c r="AR392" s="4">
        <v>0</v>
      </c>
      <c r="AS392" s="4">
        <v>0</v>
      </c>
      <c r="AT392" s="4">
        <v>17153.46</v>
      </c>
      <c r="AU392" s="4">
        <v>0</v>
      </c>
      <c r="AV392" s="4">
        <v>488661.73</v>
      </c>
      <c r="AW392" s="4">
        <v>2154361.73</v>
      </c>
      <c r="AX392" s="4">
        <v>1616765.27</v>
      </c>
      <c r="AY392" s="4">
        <v>1071518.81</v>
      </c>
      <c r="AZ392" s="4"/>
      <c r="BA392" s="4"/>
      <c r="BB392" s="4">
        <f t="shared" si="62"/>
        <v>243551190.34</v>
      </c>
    </row>
    <row r="393" spans="1:54" x14ac:dyDescent="0.2">
      <c r="A393" s="3">
        <v>35551</v>
      </c>
      <c r="B393" s="4">
        <v>0</v>
      </c>
      <c r="C393" s="4">
        <v>379545.55</v>
      </c>
      <c r="D393" s="4">
        <v>177811.3</v>
      </c>
      <c r="E393" s="4">
        <v>0</v>
      </c>
      <c r="F393" s="4">
        <v>180341.71</v>
      </c>
      <c r="G393" s="4">
        <v>174537.3</v>
      </c>
      <c r="H393" s="4">
        <v>0</v>
      </c>
      <c r="I393" s="4">
        <v>0</v>
      </c>
      <c r="J393" s="4">
        <v>249878.26</v>
      </c>
      <c r="K393" s="4">
        <v>118566.79</v>
      </c>
      <c r="L393" s="4">
        <v>0</v>
      </c>
      <c r="M393" s="4">
        <v>187919.9</v>
      </c>
      <c r="N393" s="4">
        <v>89774.31</v>
      </c>
      <c r="O393" s="4">
        <v>103194.81</v>
      </c>
      <c r="P393" s="4">
        <v>404502.55</v>
      </c>
      <c r="Q393" s="4">
        <v>90877.49</v>
      </c>
      <c r="R393" s="4">
        <v>0</v>
      </c>
      <c r="S393" s="4">
        <v>124906.38</v>
      </c>
      <c r="T393" s="4">
        <v>9062.77</v>
      </c>
      <c r="U393" s="4">
        <v>0</v>
      </c>
      <c r="V393" s="4">
        <v>633127.92000000004</v>
      </c>
      <c r="W393" s="4">
        <v>7666141.8799999999</v>
      </c>
      <c r="X393" s="4">
        <v>343627.06</v>
      </c>
      <c r="Y393" s="4">
        <v>20830527.25</v>
      </c>
      <c r="Z393" s="4"/>
      <c r="AA393" s="4"/>
      <c r="AB393" s="4">
        <v>201948014.81999999</v>
      </c>
      <c r="AC393" s="4">
        <v>79574.600000000006</v>
      </c>
      <c r="AD393" s="4">
        <v>1011496.17</v>
      </c>
      <c r="AE393" s="4">
        <v>107251.65</v>
      </c>
      <c r="AF393" s="4">
        <v>72654.820000000007</v>
      </c>
      <c r="AG393" s="4">
        <v>114906.18</v>
      </c>
      <c r="AH393" s="4">
        <v>247209.07</v>
      </c>
      <c r="AI393" s="4">
        <v>124359.87</v>
      </c>
      <c r="AJ393" s="4">
        <v>0</v>
      </c>
      <c r="AK393" s="4">
        <v>454429.04</v>
      </c>
      <c r="AL393" s="4">
        <v>0</v>
      </c>
      <c r="AM393" s="4">
        <v>33378.81</v>
      </c>
      <c r="AN393" s="4">
        <v>0</v>
      </c>
      <c r="AO393" s="4">
        <v>349667.43</v>
      </c>
      <c r="AP393" s="4">
        <v>0</v>
      </c>
      <c r="AQ393" s="4">
        <v>34790.17</v>
      </c>
      <c r="AR393" s="4">
        <v>0</v>
      </c>
      <c r="AS393" s="4">
        <v>0</v>
      </c>
      <c r="AT393" s="4">
        <v>14945.48</v>
      </c>
      <c r="AU393" s="4">
        <v>0</v>
      </c>
      <c r="AV393" s="4">
        <v>505674.99</v>
      </c>
      <c r="AW393" s="4">
        <v>2162821.73</v>
      </c>
      <c r="AX393" s="4">
        <v>1619033.79</v>
      </c>
      <c r="AY393" s="4">
        <v>1079229.21</v>
      </c>
      <c r="AZ393" s="4"/>
      <c r="BA393" s="4"/>
      <c r="BB393" s="4">
        <f t="shared" si="62"/>
        <v>241723781.05999994</v>
      </c>
    </row>
    <row r="394" spans="1:54" x14ac:dyDescent="0.2">
      <c r="A394" s="3">
        <v>35582</v>
      </c>
      <c r="B394" s="4">
        <v>2130.5300000000002</v>
      </c>
      <c r="C394" s="4">
        <v>742510.79</v>
      </c>
      <c r="D394" s="4">
        <v>366971.65</v>
      </c>
      <c r="E394" s="4">
        <v>0</v>
      </c>
      <c r="F394" s="4">
        <v>288668.67</v>
      </c>
      <c r="G394" s="4">
        <v>308587.09999999998</v>
      </c>
      <c r="H394" s="4">
        <v>11080.94</v>
      </c>
      <c r="I394" s="4">
        <v>43138.7</v>
      </c>
      <c r="J394" s="4">
        <v>421500.72</v>
      </c>
      <c r="K394" s="4">
        <v>235909.89</v>
      </c>
      <c r="L394" s="4">
        <v>6751.88</v>
      </c>
      <c r="M394" s="4">
        <v>205907.56</v>
      </c>
      <c r="N394" s="4">
        <v>161468.18</v>
      </c>
      <c r="O394" s="4">
        <v>120621.66</v>
      </c>
      <c r="P394" s="4">
        <v>751807.87</v>
      </c>
      <c r="Q394" s="4">
        <v>163620.97</v>
      </c>
      <c r="R394" s="4">
        <v>0</v>
      </c>
      <c r="S394" s="4">
        <v>172403.23</v>
      </c>
      <c r="T394" s="4">
        <v>87160.62</v>
      </c>
      <c r="U394" s="4">
        <v>9598.9</v>
      </c>
      <c r="V394" s="4">
        <v>910207.35</v>
      </c>
      <c r="W394" s="4">
        <v>16664415.73</v>
      </c>
      <c r="X394" s="4">
        <v>608971.17000000004</v>
      </c>
      <c r="Y394" s="4">
        <v>33161168.350000001</v>
      </c>
      <c r="Z394" s="4"/>
      <c r="AA394" s="4"/>
      <c r="AB394" s="4">
        <v>297632277.56</v>
      </c>
      <c r="AC394" s="4">
        <v>67713.509999999995</v>
      </c>
      <c r="AD394" s="4">
        <v>1520020.45</v>
      </c>
      <c r="AE394" s="4">
        <v>123303.45</v>
      </c>
      <c r="AF394" s="4">
        <v>91272.94</v>
      </c>
      <c r="AG394" s="4">
        <v>182688.21</v>
      </c>
      <c r="AH394" s="4">
        <v>412326.57</v>
      </c>
      <c r="AI394" s="4">
        <v>220564.59</v>
      </c>
      <c r="AJ394" s="4">
        <v>155.16</v>
      </c>
      <c r="AK394" s="4">
        <v>685163.48</v>
      </c>
      <c r="AL394" s="4">
        <v>0</v>
      </c>
      <c r="AM394" s="4">
        <v>26713.040000000001</v>
      </c>
      <c r="AN394" s="4">
        <v>0</v>
      </c>
      <c r="AO394" s="4">
        <v>504838.8</v>
      </c>
      <c r="AP394" s="4">
        <v>0</v>
      </c>
      <c r="AQ394" s="4">
        <v>47286.22</v>
      </c>
      <c r="AR394" s="4">
        <v>457.28</v>
      </c>
      <c r="AS394" s="4">
        <v>3272.27</v>
      </c>
      <c r="AT394" s="4">
        <v>16438.38</v>
      </c>
      <c r="AU394" s="4">
        <v>444.39</v>
      </c>
      <c r="AV394" s="4">
        <v>657043.21</v>
      </c>
      <c r="AW394" s="4">
        <v>3155121.2</v>
      </c>
      <c r="AX394" s="4">
        <v>2467590.15</v>
      </c>
      <c r="AY394" s="4">
        <v>1643919.98</v>
      </c>
      <c r="AZ394" s="4"/>
      <c r="BA394" s="4"/>
      <c r="BB394" s="4">
        <f t="shared" si="62"/>
        <v>364903213.29999989</v>
      </c>
    </row>
    <row r="395" spans="1:54" x14ac:dyDescent="0.2">
      <c r="A395" s="3">
        <v>35612</v>
      </c>
      <c r="B395" s="4">
        <v>0</v>
      </c>
      <c r="C395" s="4">
        <v>373290.88</v>
      </c>
      <c r="D395" s="4">
        <v>194551.45</v>
      </c>
      <c r="E395" s="4">
        <v>0</v>
      </c>
      <c r="F395" s="4">
        <v>204506.17</v>
      </c>
      <c r="G395" s="4">
        <v>185622.89</v>
      </c>
      <c r="H395" s="4">
        <v>0</v>
      </c>
      <c r="I395" s="4">
        <v>0</v>
      </c>
      <c r="J395" s="4">
        <v>247144.93</v>
      </c>
      <c r="K395" s="4">
        <v>122746.95</v>
      </c>
      <c r="L395" s="4">
        <v>0</v>
      </c>
      <c r="M395" s="4">
        <v>145643.56</v>
      </c>
      <c r="N395" s="4">
        <v>87267.85</v>
      </c>
      <c r="O395" s="4">
        <v>110121.21</v>
      </c>
      <c r="P395" s="4">
        <v>369135.32</v>
      </c>
      <c r="Q395" s="4">
        <v>120124.83</v>
      </c>
      <c r="R395" s="4">
        <v>0</v>
      </c>
      <c r="S395" s="4">
        <v>84112.71</v>
      </c>
      <c r="T395" s="4">
        <v>14977.83</v>
      </c>
      <c r="U395" s="4">
        <v>0</v>
      </c>
      <c r="V395" s="4">
        <v>604072.30000000005</v>
      </c>
      <c r="W395" s="4">
        <v>8632995.4299999997</v>
      </c>
      <c r="X395" s="4">
        <v>411903.27</v>
      </c>
      <c r="Y395" s="4">
        <v>22502497.170000002</v>
      </c>
      <c r="Z395" s="4"/>
      <c r="AA395" s="4"/>
      <c r="AB395" s="4">
        <v>202650486.93000001</v>
      </c>
      <c r="AC395" s="4">
        <v>57912.2</v>
      </c>
      <c r="AD395" s="4">
        <v>1138526.6299999999</v>
      </c>
      <c r="AE395" s="4">
        <v>83186.2</v>
      </c>
      <c r="AF395" s="4">
        <v>27938</v>
      </c>
      <c r="AG395" s="4">
        <v>120965.59</v>
      </c>
      <c r="AH395" s="4">
        <v>244986.03</v>
      </c>
      <c r="AI395" s="4">
        <v>147680.51999999999</v>
      </c>
      <c r="AJ395" s="4">
        <v>0</v>
      </c>
      <c r="AK395" s="4">
        <v>477869.83</v>
      </c>
      <c r="AL395" s="4">
        <v>0</v>
      </c>
      <c r="AM395" s="4">
        <v>21773.96</v>
      </c>
      <c r="AN395" s="4">
        <v>0</v>
      </c>
      <c r="AO395" s="4">
        <v>364197.08</v>
      </c>
      <c r="AP395" s="4">
        <v>0</v>
      </c>
      <c r="AQ395" s="4">
        <v>29465.34</v>
      </c>
      <c r="AR395" s="4">
        <v>0</v>
      </c>
      <c r="AS395" s="4">
        <v>0</v>
      </c>
      <c r="AT395" s="4">
        <v>15182.38</v>
      </c>
      <c r="AU395" s="4">
        <v>0</v>
      </c>
      <c r="AV395" s="4">
        <v>491765.44</v>
      </c>
      <c r="AW395" s="4">
        <v>2469152.7000000002</v>
      </c>
      <c r="AX395" s="4">
        <v>1722831.51</v>
      </c>
      <c r="AY395" s="4">
        <v>1148541.55</v>
      </c>
      <c r="AZ395" s="4"/>
      <c r="BA395" s="4"/>
      <c r="BB395" s="4">
        <f t="shared" si="62"/>
        <v>245623176.64000002</v>
      </c>
    </row>
    <row r="396" spans="1:54" x14ac:dyDescent="0.2">
      <c r="A396" s="3">
        <v>35643</v>
      </c>
      <c r="B396" s="4">
        <v>0</v>
      </c>
      <c r="C396" s="4">
        <v>373141.4</v>
      </c>
      <c r="D396" s="4">
        <v>193773.24</v>
      </c>
      <c r="E396" s="4">
        <v>0</v>
      </c>
      <c r="F396" s="4">
        <v>201592.22</v>
      </c>
      <c r="G396" s="4">
        <v>178793.7</v>
      </c>
      <c r="H396" s="4">
        <v>0</v>
      </c>
      <c r="I396" s="4">
        <v>0</v>
      </c>
      <c r="J396" s="4">
        <v>314236.62</v>
      </c>
      <c r="K396" s="4">
        <v>122287.64</v>
      </c>
      <c r="L396" s="4">
        <v>0</v>
      </c>
      <c r="M396" s="4">
        <v>172602.16</v>
      </c>
      <c r="N396" s="4">
        <v>86843.62</v>
      </c>
      <c r="O396" s="4">
        <v>110141.84</v>
      </c>
      <c r="P396" s="4">
        <v>355691.09</v>
      </c>
      <c r="Q396" s="4">
        <v>99820.98</v>
      </c>
      <c r="R396" s="4">
        <v>0</v>
      </c>
      <c r="S396" s="4">
        <v>83944.19</v>
      </c>
      <c r="T396" s="4">
        <v>10531.8</v>
      </c>
      <c r="U396" s="4">
        <v>0</v>
      </c>
      <c r="V396" s="4">
        <v>595013.65</v>
      </c>
      <c r="W396" s="4">
        <v>7410882.0599999996</v>
      </c>
      <c r="X396" s="4">
        <v>396061.14</v>
      </c>
      <c r="Y396" s="4">
        <v>21661787.690000001</v>
      </c>
      <c r="Z396" s="4"/>
      <c r="AA396" s="4"/>
      <c r="AB396" s="4">
        <v>194621133.96000001</v>
      </c>
      <c r="AC396" s="4">
        <v>57787.81</v>
      </c>
      <c r="AD396" s="4">
        <v>1085934.96</v>
      </c>
      <c r="AE396" s="4">
        <v>81956.02</v>
      </c>
      <c r="AF396" s="4">
        <v>68514.06</v>
      </c>
      <c r="AG396" s="4">
        <v>115348.57</v>
      </c>
      <c r="AH396" s="4">
        <v>246411.17</v>
      </c>
      <c r="AI396" s="4">
        <v>144715.87</v>
      </c>
      <c r="AJ396" s="4">
        <v>0</v>
      </c>
      <c r="AK396" s="4">
        <v>465685.15</v>
      </c>
      <c r="AL396" s="4">
        <v>0</v>
      </c>
      <c r="AM396" s="4">
        <v>22381.57</v>
      </c>
      <c r="AN396" s="4">
        <v>0</v>
      </c>
      <c r="AO396" s="4">
        <v>365205.95</v>
      </c>
      <c r="AP396" s="4">
        <v>0</v>
      </c>
      <c r="AQ396" s="4">
        <v>33021.160000000003</v>
      </c>
      <c r="AR396" s="4">
        <v>0</v>
      </c>
      <c r="AS396" s="4">
        <v>0</v>
      </c>
      <c r="AT396" s="4">
        <v>15587.5</v>
      </c>
      <c r="AU396" s="4">
        <v>0</v>
      </c>
      <c r="AV396" s="4">
        <v>501393.76</v>
      </c>
      <c r="AW396" s="4">
        <v>2425087.67</v>
      </c>
      <c r="AX396" s="4">
        <v>1604298.34</v>
      </c>
      <c r="AY396" s="4">
        <v>1069516.53</v>
      </c>
      <c r="AZ396" s="4"/>
      <c r="BA396" s="4"/>
      <c r="BB396" s="4">
        <f t="shared" si="62"/>
        <v>235291125.08999997</v>
      </c>
    </row>
    <row r="397" spans="1:54" x14ac:dyDescent="0.2">
      <c r="A397" s="3">
        <v>35674</v>
      </c>
      <c r="B397" s="4">
        <v>0</v>
      </c>
      <c r="C397" s="4">
        <v>620942.97</v>
      </c>
      <c r="D397" s="4">
        <v>298953.44</v>
      </c>
      <c r="E397" s="4">
        <v>0</v>
      </c>
      <c r="F397" s="4">
        <v>295239.92</v>
      </c>
      <c r="G397" s="4">
        <v>264691.52</v>
      </c>
      <c r="H397" s="4">
        <v>14107.01</v>
      </c>
      <c r="I397" s="4">
        <v>0</v>
      </c>
      <c r="J397" s="4">
        <v>584921.22</v>
      </c>
      <c r="K397" s="4">
        <v>203360.39</v>
      </c>
      <c r="L397" s="4">
        <v>2423.4299999999998</v>
      </c>
      <c r="M397" s="4">
        <v>238145.35</v>
      </c>
      <c r="N397" s="4">
        <v>162075.12</v>
      </c>
      <c r="O397" s="4">
        <v>54677.279999999999</v>
      </c>
      <c r="P397" s="4">
        <v>748434.21</v>
      </c>
      <c r="Q397" s="4">
        <v>128461.91</v>
      </c>
      <c r="R397" s="4">
        <v>0</v>
      </c>
      <c r="S397" s="4">
        <v>165083.48000000001</v>
      </c>
      <c r="T397" s="4">
        <v>94604.47</v>
      </c>
      <c r="U397" s="4">
        <v>3.78</v>
      </c>
      <c r="V397" s="4">
        <v>822436.07</v>
      </c>
      <c r="W397" s="4">
        <v>16094060.16</v>
      </c>
      <c r="X397" s="4">
        <v>695224.04</v>
      </c>
      <c r="Y397" s="4">
        <v>33136128.73</v>
      </c>
      <c r="Z397" s="4"/>
      <c r="AA397" s="4"/>
      <c r="AB397" s="4">
        <v>299313097.51999998</v>
      </c>
      <c r="AC397" s="4">
        <v>43904.66</v>
      </c>
      <c r="AD397" s="4">
        <v>2496973.4700000002</v>
      </c>
      <c r="AE397" s="4">
        <v>115845.6</v>
      </c>
      <c r="AF397" s="4">
        <v>112779.28</v>
      </c>
      <c r="AG397" s="4">
        <v>180707.37</v>
      </c>
      <c r="AH397" s="4">
        <v>344340.78</v>
      </c>
      <c r="AI397" s="4">
        <v>195846.96</v>
      </c>
      <c r="AJ397" s="4">
        <v>98.16</v>
      </c>
      <c r="AK397" s="4">
        <v>757207.69</v>
      </c>
      <c r="AL397" s="4">
        <v>0</v>
      </c>
      <c r="AM397" s="4">
        <v>22647.03</v>
      </c>
      <c r="AN397" s="4">
        <v>0</v>
      </c>
      <c r="AO397" s="4">
        <v>526979.67000000004</v>
      </c>
      <c r="AP397" s="4">
        <v>0</v>
      </c>
      <c r="AQ397" s="4">
        <v>48551.01</v>
      </c>
      <c r="AR397" s="4">
        <v>707.34</v>
      </c>
      <c r="AS397" s="4">
        <v>0</v>
      </c>
      <c r="AT397" s="4">
        <v>35820.43</v>
      </c>
      <c r="AU397" s="4">
        <v>1029.77</v>
      </c>
      <c r="AV397" s="4">
        <v>651242.84</v>
      </c>
      <c r="AW397" s="4">
        <v>2035027.68</v>
      </c>
      <c r="AX397" s="4">
        <v>2037201.87</v>
      </c>
      <c r="AY397" s="4">
        <v>1394660.79</v>
      </c>
      <c r="AZ397" s="4"/>
      <c r="BA397" s="4"/>
      <c r="BB397" s="4">
        <f t="shared" si="62"/>
        <v>364938644.41999996</v>
      </c>
    </row>
    <row r="398" spans="1:54" x14ac:dyDescent="0.2">
      <c r="A398" s="3">
        <v>35704</v>
      </c>
      <c r="B398" s="4">
        <v>0</v>
      </c>
      <c r="C398" s="4">
        <v>360692.36</v>
      </c>
      <c r="D398" s="4">
        <v>176294.17</v>
      </c>
      <c r="E398" s="4">
        <v>0</v>
      </c>
      <c r="F398" s="4">
        <v>157392.72</v>
      </c>
      <c r="G398" s="4">
        <v>177924.6</v>
      </c>
      <c r="H398" s="4">
        <v>0</v>
      </c>
      <c r="I398" s="4">
        <v>0</v>
      </c>
      <c r="J398" s="4">
        <v>270891.59000000003</v>
      </c>
      <c r="K398" s="4">
        <v>120281.44</v>
      </c>
      <c r="L398" s="4">
        <v>0</v>
      </c>
      <c r="M398" s="4">
        <v>168108.26</v>
      </c>
      <c r="N398" s="4">
        <v>83965.79</v>
      </c>
      <c r="O398" s="4">
        <v>121443.48</v>
      </c>
      <c r="P398" s="4">
        <v>375580.97</v>
      </c>
      <c r="Q398" s="4">
        <v>77851.509999999995</v>
      </c>
      <c r="R398" s="4">
        <v>0</v>
      </c>
      <c r="S398" s="4">
        <v>79581.69</v>
      </c>
      <c r="T398" s="4">
        <v>13280.76</v>
      </c>
      <c r="U398" s="4">
        <v>0</v>
      </c>
      <c r="V398" s="4">
        <v>638184.19999999995</v>
      </c>
      <c r="W398" s="4">
        <v>8429578.6099999994</v>
      </c>
      <c r="X398" s="4">
        <v>304155.09000000003</v>
      </c>
      <c r="Y398" s="4">
        <v>21899799.870000001</v>
      </c>
      <c r="Z398" s="4"/>
      <c r="AA398" s="4"/>
      <c r="AB398" s="4">
        <v>206954505.06</v>
      </c>
      <c r="AC398" s="4">
        <v>51053.13</v>
      </c>
      <c r="AD398" s="4">
        <v>1085459.3600000001</v>
      </c>
      <c r="AE398" s="4">
        <v>85195.74</v>
      </c>
      <c r="AF398" s="4">
        <v>64257.14</v>
      </c>
      <c r="AG398" s="4">
        <v>138934.04</v>
      </c>
      <c r="AH398" s="4">
        <v>232855.49</v>
      </c>
      <c r="AI398" s="4">
        <v>154861.4</v>
      </c>
      <c r="AJ398" s="4">
        <v>0</v>
      </c>
      <c r="AK398" s="4">
        <v>558921.42000000004</v>
      </c>
      <c r="AL398" s="4">
        <v>0</v>
      </c>
      <c r="AM398" s="4">
        <v>20669.22</v>
      </c>
      <c r="AN398" s="4">
        <v>0</v>
      </c>
      <c r="AO398" s="4">
        <v>390713.75</v>
      </c>
      <c r="AP398" s="4">
        <v>0</v>
      </c>
      <c r="AQ398" s="4">
        <v>30262.05</v>
      </c>
      <c r="AR398" s="4">
        <v>0</v>
      </c>
      <c r="AS398" s="4">
        <v>0</v>
      </c>
      <c r="AT398" s="4">
        <v>14133.82</v>
      </c>
      <c r="AU398" s="4">
        <v>0</v>
      </c>
      <c r="AV398" s="4">
        <v>541655.84</v>
      </c>
      <c r="AW398" s="4">
        <v>1547599.66</v>
      </c>
      <c r="AX398" s="4">
        <v>1634424.82</v>
      </c>
      <c r="AY398" s="4">
        <v>1084383.53</v>
      </c>
      <c r="AZ398" s="4"/>
      <c r="BA398" s="4"/>
      <c r="BB398" s="4">
        <f t="shared" si="62"/>
        <v>248044892.58000001</v>
      </c>
    </row>
    <row r="399" spans="1:54" x14ac:dyDescent="0.2">
      <c r="A399" s="3">
        <v>35735</v>
      </c>
      <c r="B399" s="4">
        <v>0</v>
      </c>
      <c r="C399" s="4">
        <v>363581.69</v>
      </c>
      <c r="D399" s="4">
        <v>179289.42</v>
      </c>
      <c r="E399" s="4">
        <v>0</v>
      </c>
      <c r="F399" s="4">
        <v>164192.06</v>
      </c>
      <c r="G399" s="4">
        <v>177101.05</v>
      </c>
      <c r="H399" s="4">
        <v>0</v>
      </c>
      <c r="I399" s="4">
        <v>0</v>
      </c>
      <c r="J399" s="4">
        <v>263225.34999999998</v>
      </c>
      <c r="K399" s="4">
        <v>131233.25</v>
      </c>
      <c r="L399" s="4">
        <v>0</v>
      </c>
      <c r="M399" s="4">
        <v>173861.07</v>
      </c>
      <c r="N399" s="4">
        <v>82092.539999999994</v>
      </c>
      <c r="O399" s="4">
        <v>127362.53</v>
      </c>
      <c r="P399" s="4">
        <v>374259.32</v>
      </c>
      <c r="Q399" s="4">
        <v>87294.63</v>
      </c>
      <c r="R399" s="4">
        <v>0</v>
      </c>
      <c r="S399" s="4">
        <v>80746.990000000005</v>
      </c>
      <c r="T399" s="4">
        <v>9540.16</v>
      </c>
      <c r="U399" s="4">
        <v>0</v>
      </c>
      <c r="V399" s="4">
        <v>593802.93999999994</v>
      </c>
      <c r="W399" s="4">
        <v>7455553.6900000004</v>
      </c>
      <c r="X399" s="4">
        <v>310207.53000000003</v>
      </c>
      <c r="Y399" s="4">
        <v>21673700.420000002</v>
      </c>
      <c r="Z399" s="4"/>
      <c r="AA399" s="4"/>
      <c r="AB399" s="4">
        <v>203713047.86000001</v>
      </c>
      <c r="AC399" s="4">
        <v>55288.74</v>
      </c>
      <c r="AD399" s="4">
        <v>1083543.03</v>
      </c>
      <c r="AE399" s="4">
        <v>84592.93</v>
      </c>
      <c r="AF399" s="4">
        <v>63835.67</v>
      </c>
      <c r="AG399" s="4">
        <v>140961.63</v>
      </c>
      <c r="AH399" s="4">
        <v>240198.68</v>
      </c>
      <c r="AI399" s="4">
        <v>158650.34</v>
      </c>
      <c r="AJ399" s="4">
        <v>0</v>
      </c>
      <c r="AK399" s="4">
        <v>543380.85</v>
      </c>
      <c r="AL399" s="4">
        <v>0</v>
      </c>
      <c r="AM399" s="4">
        <v>21173.75</v>
      </c>
      <c r="AN399" s="4">
        <v>0</v>
      </c>
      <c r="AO399" s="4">
        <v>382292.47</v>
      </c>
      <c r="AP399" s="4">
        <v>0</v>
      </c>
      <c r="AQ399" s="4">
        <v>28423.06</v>
      </c>
      <c r="AR399" s="4">
        <v>0</v>
      </c>
      <c r="AS399" s="4">
        <v>0</v>
      </c>
      <c r="AT399" s="4">
        <v>14485.9</v>
      </c>
      <c r="AU399" s="4">
        <v>0</v>
      </c>
      <c r="AV399" s="4">
        <v>547206.01</v>
      </c>
      <c r="AW399" s="4">
        <v>2459439.5</v>
      </c>
      <c r="AX399" s="4">
        <v>1577689.88</v>
      </c>
      <c r="AY399" s="4">
        <v>1051753.8400000001</v>
      </c>
      <c r="AZ399" s="4"/>
      <c r="BA399" s="4"/>
      <c r="BB399" s="4">
        <f t="shared" si="62"/>
        <v>244413008.78</v>
      </c>
    </row>
    <row r="400" spans="1:54" x14ac:dyDescent="0.2">
      <c r="A400" s="3">
        <v>35765</v>
      </c>
      <c r="B400" s="4">
        <v>0</v>
      </c>
      <c r="C400" s="4">
        <v>795125.41</v>
      </c>
      <c r="D400" s="4">
        <v>281952.73</v>
      </c>
      <c r="E400" s="4">
        <v>0</v>
      </c>
      <c r="F400" s="4">
        <v>286938.31</v>
      </c>
      <c r="G400" s="4">
        <v>215726.14</v>
      </c>
      <c r="H400" s="4">
        <v>42758.05</v>
      </c>
      <c r="I400" s="4">
        <v>5742.91</v>
      </c>
      <c r="J400" s="4">
        <v>402880.08</v>
      </c>
      <c r="K400" s="4">
        <v>206638.65</v>
      </c>
      <c r="L400" s="4">
        <v>3828.96</v>
      </c>
      <c r="M400" s="4">
        <v>213383.6</v>
      </c>
      <c r="N400" s="4">
        <v>188478.07</v>
      </c>
      <c r="O400" s="4">
        <v>158777.4</v>
      </c>
      <c r="P400" s="4">
        <v>708818.54</v>
      </c>
      <c r="Q400" s="4">
        <v>149313.76</v>
      </c>
      <c r="R400" s="4">
        <v>0</v>
      </c>
      <c r="S400" s="4">
        <v>191784.47</v>
      </c>
      <c r="T400" s="4">
        <v>86892.1</v>
      </c>
      <c r="U400" s="4">
        <v>2.27</v>
      </c>
      <c r="V400" s="4">
        <v>976279.54</v>
      </c>
      <c r="W400" s="4">
        <v>19486584.920000002</v>
      </c>
      <c r="X400" s="4">
        <v>618339.43999999994</v>
      </c>
      <c r="Y400" s="4">
        <v>35229028</v>
      </c>
      <c r="Z400" s="4"/>
      <c r="AA400" s="4"/>
      <c r="AB400" s="4">
        <v>335530539.55000001</v>
      </c>
      <c r="AC400" s="4">
        <v>56557.440000000002</v>
      </c>
      <c r="AD400" s="4">
        <v>3005918.5</v>
      </c>
      <c r="AE400" s="4">
        <v>172199.3</v>
      </c>
      <c r="AF400" s="4">
        <v>108387.51</v>
      </c>
      <c r="AG400" s="4">
        <v>128644.37</v>
      </c>
      <c r="AH400" s="4">
        <v>393957.42</v>
      </c>
      <c r="AI400" s="4">
        <v>206547.55</v>
      </c>
      <c r="AJ400" s="4">
        <v>109.27</v>
      </c>
      <c r="AK400" s="4">
        <v>604890.56000000006</v>
      </c>
      <c r="AL400" s="4">
        <v>0</v>
      </c>
      <c r="AM400" s="4">
        <v>33135.629999999997</v>
      </c>
      <c r="AN400" s="4">
        <v>0</v>
      </c>
      <c r="AO400" s="4">
        <v>408105.01</v>
      </c>
      <c r="AP400" s="4">
        <v>0</v>
      </c>
      <c r="AQ400" s="4">
        <v>64199.06</v>
      </c>
      <c r="AR400" s="4">
        <v>378.73</v>
      </c>
      <c r="AS400" s="4">
        <v>0</v>
      </c>
      <c r="AT400" s="4">
        <v>34851.199999999997</v>
      </c>
      <c r="AU400" s="4">
        <v>460.3</v>
      </c>
      <c r="AV400" s="4">
        <v>816911.53</v>
      </c>
      <c r="AW400" s="4">
        <v>3798702.8</v>
      </c>
      <c r="AX400" s="4">
        <v>2674228.34</v>
      </c>
      <c r="AY400" s="4">
        <v>1782776.67</v>
      </c>
      <c r="AZ400" s="4"/>
      <c r="BA400" s="4"/>
      <c r="BB400" s="4">
        <f t="shared" si="62"/>
        <v>410070774.09000003</v>
      </c>
    </row>
    <row r="401" spans="1:54" ht="15.75" thickBot="1" x14ac:dyDescent="0.25">
      <c r="A401" s="11" t="s">
        <v>8</v>
      </c>
      <c r="B401" s="5">
        <f t="shared" ref="B401:AY401" si="63">SUM(B389:B400)</f>
        <v>14004.320000000002</v>
      </c>
      <c r="C401" s="5">
        <f t="shared" si="63"/>
        <v>5732028.4300000006</v>
      </c>
      <c r="D401" s="5">
        <f t="shared" si="63"/>
        <v>2674100.84</v>
      </c>
      <c r="E401" s="5">
        <f t="shared" si="63"/>
        <v>0</v>
      </c>
      <c r="F401" s="5">
        <f t="shared" si="63"/>
        <v>2498448.15</v>
      </c>
      <c r="G401" s="5">
        <f t="shared" si="63"/>
        <v>2445956.3700000006</v>
      </c>
      <c r="H401" s="5">
        <f t="shared" si="63"/>
        <v>77649.610000000015</v>
      </c>
      <c r="I401" s="5">
        <f t="shared" si="63"/>
        <v>72685.67</v>
      </c>
      <c r="J401" s="5">
        <f t="shared" si="63"/>
        <v>3846550.4499999997</v>
      </c>
      <c r="K401" s="5">
        <f t="shared" si="63"/>
        <v>1791431.9499999997</v>
      </c>
      <c r="L401" s="5">
        <f t="shared" si="63"/>
        <v>15191.29</v>
      </c>
      <c r="M401" s="5">
        <f t="shared" si="63"/>
        <v>2289917.0900000003</v>
      </c>
      <c r="N401" s="5">
        <f t="shared" si="63"/>
        <v>1335842.05</v>
      </c>
      <c r="O401" s="5">
        <f t="shared" si="63"/>
        <v>1513804.0799999998</v>
      </c>
      <c r="P401" s="5">
        <f t="shared" si="63"/>
        <v>5583385.21</v>
      </c>
      <c r="Q401" s="5">
        <f t="shared" si="63"/>
        <v>1297598.3400000001</v>
      </c>
      <c r="R401" s="5">
        <f t="shared" si="63"/>
        <v>0</v>
      </c>
      <c r="S401" s="5">
        <f t="shared" si="63"/>
        <v>1492908.5899999999</v>
      </c>
      <c r="T401" s="5">
        <f t="shared" si="63"/>
        <v>398143.55999999994</v>
      </c>
      <c r="U401" s="5">
        <f t="shared" si="63"/>
        <v>9604.9500000000007</v>
      </c>
      <c r="V401" s="5">
        <f t="shared" si="63"/>
        <v>8947710.7300000004</v>
      </c>
      <c r="W401" s="5">
        <f t="shared" si="63"/>
        <v>129608079.71000001</v>
      </c>
      <c r="X401" s="5">
        <f t="shared" si="63"/>
        <v>5191365.6900000013</v>
      </c>
      <c r="Y401" s="5">
        <f t="shared" si="63"/>
        <v>305319442.88</v>
      </c>
      <c r="Z401" s="5"/>
      <c r="AA401" s="5"/>
      <c r="AB401" s="5">
        <f t="shared" si="63"/>
        <v>2882108374.3900003</v>
      </c>
      <c r="AC401" s="5">
        <f t="shared" si="63"/>
        <v>799631.66999999993</v>
      </c>
      <c r="AD401" s="5">
        <f t="shared" si="63"/>
        <v>17296950.460000001</v>
      </c>
      <c r="AE401" s="5">
        <f t="shared" si="63"/>
        <v>1382396.8199999998</v>
      </c>
      <c r="AF401" s="5">
        <f t="shared" si="63"/>
        <v>920084.88000000012</v>
      </c>
      <c r="AG401" s="5">
        <f t="shared" si="63"/>
        <v>1618415.2399999998</v>
      </c>
      <c r="AH401" s="5">
        <f t="shared" si="63"/>
        <v>3468570.1200000006</v>
      </c>
      <c r="AI401" s="5">
        <f t="shared" si="63"/>
        <v>1954491.81</v>
      </c>
      <c r="AJ401" s="5">
        <f t="shared" si="63"/>
        <v>9677.6200000000008</v>
      </c>
      <c r="AK401" s="5">
        <f t="shared" si="63"/>
        <v>6724588.4199999999</v>
      </c>
      <c r="AL401" s="5">
        <f t="shared" si="63"/>
        <v>0</v>
      </c>
      <c r="AM401" s="5">
        <f t="shared" si="63"/>
        <v>326257.86</v>
      </c>
      <c r="AN401" s="5">
        <f t="shared" si="63"/>
        <v>0</v>
      </c>
      <c r="AO401" s="5">
        <f t="shared" si="63"/>
        <v>4836777.5</v>
      </c>
      <c r="AP401" s="5">
        <f t="shared" si="63"/>
        <v>0</v>
      </c>
      <c r="AQ401" s="5">
        <f t="shared" si="63"/>
        <v>462515.56</v>
      </c>
      <c r="AR401" s="5">
        <f t="shared" si="63"/>
        <v>4210.07</v>
      </c>
      <c r="AS401" s="5">
        <f t="shared" si="63"/>
        <v>34367.1</v>
      </c>
      <c r="AT401" s="5">
        <f t="shared" si="63"/>
        <v>230762.76999999996</v>
      </c>
      <c r="AU401" s="5">
        <f t="shared" si="63"/>
        <v>2185.2600000000002</v>
      </c>
      <c r="AV401" s="5">
        <f t="shared" si="63"/>
        <v>6923141.29</v>
      </c>
      <c r="AW401" s="5">
        <f t="shared" si="63"/>
        <v>31777544.829999998</v>
      </c>
      <c r="AX401" s="5">
        <f t="shared" si="63"/>
        <v>22518656.09</v>
      </c>
      <c r="AY401" s="5">
        <f t="shared" si="63"/>
        <v>15036574.239999998</v>
      </c>
      <c r="AZ401" s="5"/>
      <c r="BA401" s="5"/>
      <c r="BB401" s="5">
        <f t="shared" si="62"/>
        <v>3480592023.9600005</v>
      </c>
    </row>
    <row r="402" spans="1:54" ht="15.75" thickTop="1" x14ac:dyDescent="0.2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</row>
    <row r="403" spans="1:54" x14ac:dyDescent="0.2">
      <c r="A403" s="3">
        <v>35065</v>
      </c>
      <c r="B403" s="4">
        <v>0</v>
      </c>
      <c r="C403" s="4">
        <v>0</v>
      </c>
      <c r="D403" s="4">
        <v>191459.04</v>
      </c>
      <c r="E403" s="4">
        <v>0</v>
      </c>
      <c r="F403" s="4">
        <v>190592.01</v>
      </c>
      <c r="G403" s="4">
        <v>181706.42</v>
      </c>
      <c r="H403" s="4">
        <v>0</v>
      </c>
      <c r="I403" s="4">
        <v>0</v>
      </c>
      <c r="J403" s="4">
        <v>232210.18</v>
      </c>
      <c r="K403" s="4">
        <v>126634.97</v>
      </c>
      <c r="L403" s="4">
        <v>0</v>
      </c>
      <c r="M403" s="4">
        <v>207746.61</v>
      </c>
      <c r="N403" s="4">
        <v>92676.14</v>
      </c>
      <c r="O403" s="4">
        <v>119767.37</v>
      </c>
      <c r="P403" s="4">
        <v>425002.13</v>
      </c>
      <c r="Q403" s="4">
        <v>97701.2</v>
      </c>
      <c r="R403" s="4">
        <v>0</v>
      </c>
      <c r="S403" s="4">
        <v>116414.06</v>
      </c>
      <c r="T403" s="4">
        <v>14799.51</v>
      </c>
      <c r="U403" s="4">
        <v>0</v>
      </c>
      <c r="V403" s="4">
        <v>685145.08</v>
      </c>
      <c r="W403" s="4">
        <v>8323665.3799999999</v>
      </c>
      <c r="X403" s="4">
        <v>350635.47</v>
      </c>
      <c r="Y403" s="4">
        <v>22344399.93</v>
      </c>
      <c r="Z403" s="4"/>
      <c r="AA403" s="4"/>
      <c r="AB403" s="4">
        <v>220245641.31</v>
      </c>
      <c r="AC403" s="4">
        <v>78346.94</v>
      </c>
      <c r="AD403" s="4">
        <v>1007196.15</v>
      </c>
      <c r="AE403" s="4">
        <v>123814.13</v>
      </c>
      <c r="AF403" s="4">
        <v>74491.399999999994</v>
      </c>
      <c r="AG403" s="4">
        <v>126656.23</v>
      </c>
      <c r="AH403" s="4">
        <v>267833.56</v>
      </c>
      <c r="AI403" s="4">
        <v>140916.73000000001</v>
      </c>
      <c r="AJ403" s="4">
        <v>0</v>
      </c>
      <c r="AK403" s="4">
        <v>324485.96999999997</v>
      </c>
      <c r="AL403" s="4">
        <v>0</v>
      </c>
      <c r="AM403" s="4">
        <v>31886.87</v>
      </c>
      <c r="AN403" s="4">
        <v>0</v>
      </c>
      <c r="AO403" s="4">
        <v>397637.51</v>
      </c>
      <c r="AP403" s="4">
        <v>0</v>
      </c>
      <c r="AQ403" s="4">
        <v>33737.800000000003</v>
      </c>
      <c r="AR403" s="4">
        <v>0</v>
      </c>
      <c r="AS403" s="4">
        <v>0</v>
      </c>
      <c r="AT403" s="4">
        <v>16354.55</v>
      </c>
      <c r="AU403" s="4">
        <v>0</v>
      </c>
      <c r="AV403" s="4">
        <v>519622.84</v>
      </c>
      <c r="AW403" s="4">
        <v>2612515.5699999998</v>
      </c>
      <c r="AX403" s="4">
        <v>1904911.02</v>
      </c>
      <c r="AY403" s="4">
        <v>1269844.1499999999</v>
      </c>
      <c r="AZ403" s="4"/>
      <c r="BA403" s="4"/>
      <c r="BB403" s="4">
        <f t="shared" ref="BB403:BB415" si="64">SUM(B403:AY403)</f>
        <v>262876448.23000002</v>
      </c>
    </row>
    <row r="404" spans="1:54" x14ac:dyDescent="0.2">
      <c r="A404" s="3">
        <v>35096</v>
      </c>
      <c r="B404" s="4">
        <v>0</v>
      </c>
      <c r="C404" s="4">
        <v>0</v>
      </c>
      <c r="D404" s="4">
        <v>152679.73000000001</v>
      </c>
      <c r="E404" s="4">
        <v>0</v>
      </c>
      <c r="F404" s="4">
        <v>153410.09</v>
      </c>
      <c r="G404" s="4">
        <v>158934.47</v>
      </c>
      <c r="H404" s="4">
        <v>0</v>
      </c>
      <c r="I404" s="4">
        <v>0</v>
      </c>
      <c r="J404" s="4">
        <v>189565.6</v>
      </c>
      <c r="K404" s="4">
        <v>108103.22</v>
      </c>
      <c r="L404" s="4">
        <v>0</v>
      </c>
      <c r="M404" s="4">
        <v>165672.66</v>
      </c>
      <c r="N404" s="4">
        <v>66265.81</v>
      </c>
      <c r="O404" s="4">
        <v>91829.68</v>
      </c>
      <c r="P404" s="4">
        <v>328551.73</v>
      </c>
      <c r="Q404" s="4">
        <v>78520.97</v>
      </c>
      <c r="R404" s="4">
        <v>0</v>
      </c>
      <c r="S404" s="4">
        <v>92382.89</v>
      </c>
      <c r="T404" s="4">
        <v>15280.02</v>
      </c>
      <c r="U404" s="4">
        <v>0</v>
      </c>
      <c r="V404" s="4">
        <v>534005.89</v>
      </c>
      <c r="W404" s="4">
        <v>6455190.8300000001</v>
      </c>
      <c r="X404" s="4">
        <v>279238.84999999998</v>
      </c>
      <c r="Y404" s="4">
        <v>17652716.460000001</v>
      </c>
      <c r="Z404" s="4"/>
      <c r="AA404" s="4"/>
      <c r="AB404" s="4">
        <v>172119431.47999999</v>
      </c>
      <c r="AC404" s="4">
        <v>63383.59</v>
      </c>
      <c r="AD404" s="4">
        <v>802382.01</v>
      </c>
      <c r="AE404" s="4">
        <v>105885.35</v>
      </c>
      <c r="AF404" s="4">
        <v>62879.61</v>
      </c>
      <c r="AG404" s="4">
        <v>103186.2</v>
      </c>
      <c r="AH404" s="4">
        <v>216947.82</v>
      </c>
      <c r="AI404" s="4">
        <v>129391.44</v>
      </c>
      <c r="AJ404" s="4">
        <v>0</v>
      </c>
      <c r="AK404" s="4">
        <v>396382.3</v>
      </c>
      <c r="AL404" s="4">
        <v>0</v>
      </c>
      <c r="AM404" s="4">
        <v>25825.89</v>
      </c>
      <c r="AN404" s="4">
        <v>0</v>
      </c>
      <c r="AO404" s="4">
        <v>322909.34000000003</v>
      </c>
      <c r="AP404" s="4">
        <v>0</v>
      </c>
      <c r="AQ404" s="4">
        <v>27285.64</v>
      </c>
      <c r="AR404" s="4">
        <v>0</v>
      </c>
      <c r="AS404" s="4">
        <v>0</v>
      </c>
      <c r="AT404" s="4">
        <v>12447.05</v>
      </c>
      <c r="AU404" s="4">
        <v>0</v>
      </c>
      <c r="AV404" s="4">
        <v>434425.56</v>
      </c>
      <c r="AW404" s="4">
        <v>1805988.28</v>
      </c>
      <c r="AX404" s="4">
        <v>1447038.32</v>
      </c>
      <c r="AY404" s="4">
        <v>964625.72</v>
      </c>
      <c r="AZ404" s="4"/>
      <c r="BA404" s="4"/>
      <c r="BB404" s="4">
        <f t="shared" si="64"/>
        <v>205562764.49999997</v>
      </c>
    </row>
    <row r="405" spans="1:54" x14ac:dyDescent="0.2">
      <c r="A405" s="3">
        <v>35125</v>
      </c>
      <c r="B405" s="4">
        <v>12492.1</v>
      </c>
      <c r="C405" s="4">
        <v>248873.01</v>
      </c>
      <c r="D405" s="4">
        <v>270488.28999999998</v>
      </c>
      <c r="E405" s="4">
        <v>0</v>
      </c>
      <c r="F405" s="4">
        <v>191445.2</v>
      </c>
      <c r="G405" s="4">
        <v>309731.06</v>
      </c>
      <c r="H405" s="4">
        <v>0</v>
      </c>
      <c r="I405" s="4">
        <v>4004.95</v>
      </c>
      <c r="J405" s="4">
        <v>534156.39</v>
      </c>
      <c r="K405" s="4">
        <v>247394.09</v>
      </c>
      <c r="L405" s="4">
        <v>0</v>
      </c>
      <c r="M405" s="4">
        <v>206310.33</v>
      </c>
      <c r="N405" s="4">
        <v>149218.04999999999</v>
      </c>
      <c r="O405" s="4">
        <v>156032.24</v>
      </c>
      <c r="P405" s="4">
        <v>617857.27</v>
      </c>
      <c r="Q405" s="4">
        <v>146882.65</v>
      </c>
      <c r="R405" s="4">
        <v>0</v>
      </c>
      <c r="S405" s="4">
        <v>142722.81</v>
      </c>
      <c r="T405" s="4">
        <v>70134.63</v>
      </c>
      <c r="U405" s="4">
        <v>0</v>
      </c>
      <c r="V405" s="4">
        <v>860821.86</v>
      </c>
      <c r="W405" s="4">
        <v>16040283.220000001</v>
      </c>
      <c r="X405" s="4">
        <v>425481.36</v>
      </c>
      <c r="Y405" s="4">
        <v>28022283.41</v>
      </c>
      <c r="Z405" s="4"/>
      <c r="AA405" s="4"/>
      <c r="AB405" s="4">
        <v>273203674.02999997</v>
      </c>
      <c r="AC405" s="4">
        <v>76683.320000000007</v>
      </c>
      <c r="AD405" s="4">
        <v>1428039.88</v>
      </c>
      <c r="AE405" s="4">
        <v>151307.85</v>
      </c>
      <c r="AF405" s="4">
        <v>93996.55</v>
      </c>
      <c r="AG405" s="4">
        <v>187982.31</v>
      </c>
      <c r="AH405" s="4">
        <v>299339.51</v>
      </c>
      <c r="AI405" s="4">
        <v>160563.53</v>
      </c>
      <c r="AJ405" s="4">
        <v>0</v>
      </c>
      <c r="AK405" s="4">
        <v>559251.38</v>
      </c>
      <c r="AL405" s="4">
        <v>0</v>
      </c>
      <c r="AM405" s="4">
        <v>40465.89</v>
      </c>
      <c r="AN405" s="4">
        <v>0</v>
      </c>
      <c r="AO405" s="4">
        <v>513904.39</v>
      </c>
      <c r="AP405" s="4">
        <v>0</v>
      </c>
      <c r="AQ405" s="4">
        <v>52975.51</v>
      </c>
      <c r="AR405" s="4">
        <v>1181.27</v>
      </c>
      <c r="AS405" s="4">
        <v>2978.64</v>
      </c>
      <c r="AT405" s="4">
        <v>18405.13</v>
      </c>
      <c r="AU405" s="4">
        <v>4596.8500000000004</v>
      </c>
      <c r="AV405" s="4">
        <v>839045.21</v>
      </c>
      <c r="AW405" s="4">
        <v>4097356.05</v>
      </c>
      <c r="AX405" s="4">
        <v>2082064.2</v>
      </c>
      <c r="AY405" s="4">
        <v>1388003.6</v>
      </c>
      <c r="AZ405" s="4"/>
      <c r="BA405" s="4"/>
      <c r="BB405" s="4">
        <f t="shared" si="64"/>
        <v>333858428.01999992</v>
      </c>
    </row>
    <row r="406" spans="1:54" x14ac:dyDescent="0.2">
      <c r="A406" s="3">
        <v>35156</v>
      </c>
      <c r="B406" s="4">
        <v>0</v>
      </c>
      <c r="C406" s="4">
        <v>172105.3</v>
      </c>
      <c r="D406" s="4">
        <v>168731.43</v>
      </c>
      <c r="E406" s="4">
        <v>0</v>
      </c>
      <c r="F406" s="4">
        <v>197432.55</v>
      </c>
      <c r="G406" s="4">
        <v>153676.15</v>
      </c>
      <c r="H406" s="4">
        <v>0</v>
      </c>
      <c r="I406" s="4">
        <v>0</v>
      </c>
      <c r="J406" s="4">
        <v>241091.22</v>
      </c>
      <c r="K406" s="4">
        <v>107728.95</v>
      </c>
      <c r="L406" s="4">
        <v>0</v>
      </c>
      <c r="M406" s="4">
        <v>183965.95</v>
      </c>
      <c r="N406" s="4">
        <v>79188.56</v>
      </c>
      <c r="O406" s="4">
        <v>75414.14</v>
      </c>
      <c r="P406" s="4">
        <v>356548.9</v>
      </c>
      <c r="Q406" s="4">
        <v>93132.85</v>
      </c>
      <c r="R406" s="4">
        <v>0</v>
      </c>
      <c r="S406" s="4">
        <v>105975.19</v>
      </c>
      <c r="T406" s="4">
        <v>12111.1</v>
      </c>
      <c r="U406" s="4">
        <v>0</v>
      </c>
      <c r="V406" s="4">
        <v>573985.85</v>
      </c>
      <c r="W406" s="4">
        <v>7230610.5899999999</v>
      </c>
      <c r="X406" s="4">
        <v>317452.53999999998</v>
      </c>
      <c r="Y406" s="4">
        <v>19344205.149999999</v>
      </c>
      <c r="Z406" s="4"/>
      <c r="AA406" s="4"/>
      <c r="AB406" s="4">
        <v>186272325.53</v>
      </c>
      <c r="AC406" s="4">
        <v>66122.149999999994</v>
      </c>
      <c r="AD406" s="4">
        <v>861664.21</v>
      </c>
      <c r="AE406" s="4">
        <v>102680.9</v>
      </c>
      <c r="AF406" s="4">
        <v>67057.56</v>
      </c>
      <c r="AG406" s="4">
        <v>116290.32</v>
      </c>
      <c r="AH406" s="4">
        <v>219302.56</v>
      </c>
      <c r="AI406" s="4">
        <v>114895.89</v>
      </c>
      <c r="AJ406" s="4">
        <v>0</v>
      </c>
      <c r="AK406" s="4">
        <v>456746.45</v>
      </c>
      <c r="AL406" s="4">
        <v>0</v>
      </c>
      <c r="AM406" s="4">
        <v>23345.94</v>
      </c>
      <c r="AN406" s="4">
        <v>0</v>
      </c>
      <c r="AO406" s="4">
        <v>347742.8</v>
      </c>
      <c r="AP406" s="4">
        <v>0</v>
      </c>
      <c r="AQ406" s="4">
        <v>33522.1</v>
      </c>
      <c r="AR406" s="4">
        <v>0</v>
      </c>
      <c r="AS406" s="4">
        <v>0</v>
      </c>
      <c r="AT406" s="4">
        <v>13260.63</v>
      </c>
      <c r="AU406" s="4">
        <v>0</v>
      </c>
      <c r="AV406" s="4">
        <v>498627.31</v>
      </c>
      <c r="AW406" s="4">
        <v>1968048.67</v>
      </c>
      <c r="AX406" s="4">
        <v>1475978.78</v>
      </c>
      <c r="AY406" s="4">
        <v>983825.67</v>
      </c>
      <c r="AZ406" s="4"/>
      <c r="BA406" s="4"/>
      <c r="BB406" s="4">
        <f t="shared" si="64"/>
        <v>223034793.88999996</v>
      </c>
    </row>
    <row r="407" spans="1:54" x14ac:dyDescent="0.2">
      <c r="A407" s="3">
        <v>35186</v>
      </c>
      <c r="B407" s="4">
        <v>0</v>
      </c>
      <c r="C407" s="4">
        <v>307657.53000000003</v>
      </c>
      <c r="D407" s="4">
        <v>174467.22</v>
      </c>
      <c r="E407" s="4">
        <v>0</v>
      </c>
      <c r="F407" s="4">
        <v>175645.38</v>
      </c>
      <c r="G407" s="4">
        <v>161993.34</v>
      </c>
      <c r="H407" s="4">
        <v>0</v>
      </c>
      <c r="I407" s="4">
        <v>0</v>
      </c>
      <c r="J407" s="4">
        <v>245666.54</v>
      </c>
      <c r="K407" s="4">
        <v>107743.22</v>
      </c>
      <c r="L407" s="4">
        <v>0</v>
      </c>
      <c r="M407" s="4">
        <v>187659.87</v>
      </c>
      <c r="N407" s="4">
        <v>86597.09</v>
      </c>
      <c r="O407" s="4">
        <v>77606.11</v>
      </c>
      <c r="P407" s="4">
        <v>364129.19</v>
      </c>
      <c r="Q407" s="4">
        <v>96697.29</v>
      </c>
      <c r="R407" s="4">
        <v>0</v>
      </c>
      <c r="S407" s="4">
        <v>107906.93</v>
      </c>
      <c r="T407" s="4">
        <v>11182.64</v>
      </c>
      <c r="U407" s="4">
        <v>0</v>
      </c>
      <c r="V407" s="4">
        <v>579198.26</v>
      </c>
      <c r="W407" s="4">
        <v>7306793.6100000003</v>
      </c>
      <c r="X407" s="4">
        <v>313442.99</v>
      </c>
      <c r="Y407" s="4">
        <v>19923341.370000001</v>
      </c>
      <c r="Z407" s="4"/>
      <c r="AA407" s="4"/>
      <c r="AB407" s="4">
        <v>188620056.52000001</v>
      </c>
      <c r="AC407" s="4">
        <v>69178.27</v>
      </c>
      <c r="AD407" s="4">
        <v>885794.71</v>
      </c>
      <c r="AE407" s="4">
        <v>106062.01</v>
      </c>
      <c r="AF407" s="4">
        <v>92477.61</v>
      </c>
      <c r="AG407" s="4">
        <v>120502.86</v>
      </c>
      <c r="AH407" s="4">
        <v>224294.78</v>
      </c>
      <c r="AI407" s="4">
        <v>121215.63</v>
      </c>
      <c r="AJ407" s="4">
        <v>0</v>
      </c>
      <c r="AK407" s="4">
        <v>503999.53</v>
      </c>
      <c r="AL407" s="4">
        <v>0</v>
      </c>
      <c r="AM407" s="4">
        <v>24429.59</v>
      </c>
      <c r="AN407" s="4">
        <v>0</v>
      </c>
      <c r="AO407" s="4">
        <v>354272.73</v>
      </c>
      <c r="AP407" s="4">
        <v>0</v>
      </c>
      <c r="AQ407" s="4">
        <v>35783.620000000003</v>
      </c>
      <c r="AR407" s="4">
        <v>0</v>
      </c>
      <c r="AS407" s="4">
        <v>1696.6</v>
      </c>
      <c r="AT407" s="4">
        <v>14015.21</v>
      </c>
      <c r="AU407" s="4">
        <v>0</v>
      </c>
      <c r="AV407" s="4">
        <v>495875.48</v>
      </c>
      <c r="AW407" s="4">
        <v>2068164.76</v>
      </c>
      <c r="AX407" s="4">
        <v>1543158.21</v>
      </c>
      <c r="AY407" s="4">
        <v>1028613.72</v>
      </c>
      <c r="AZ407" s="4"/>
      <c r="BA407" s="4"/>
      <c r="BB407" s="4">
        <f t="shared" si="64"/>
        <v>226537320.42000005</v>
      </c>
    </row>
    <row r="408" spans="1:54" x14ac:dyDescent="0.2">
      <c r="A408" s="3">
        <v>35217</v>
      </c>
      <c r="B408" s="4">
        <v>5834.74</v>
      </c>
      <c r="C408" s="4">
        <v>677283.07</v>
      </c>
      <c r="D408" s="4">
        <v>327366.08</v>
      </c>
      <c r="E408" s="4">
        <v>0</v>
      </c>
      <c r="F408" s="4">
        <v>271039.62</v>
      </c>
      <c r="G408" s="4">
        <v>252539.61</v>
      </c>
      <c r="H408" s="4">
        <v>42301.64</v>
      </c>
      <c r="I408" s="4">
        <v>18887.91</v>
      </c>
      <c r="J408" s="4">
        <v>369902</v>
      </c>
      <c r="K408" s="4">
        <v>181788.63</v>
      </c>
      <c r="L408" s="4">
        <v>1757.35</v>
      </c>
      <c r="M408" s="4">
        <v>219057.03</v>
      </c>
      <c r="N408" s="4">
        <v>192838.81</v>
      </c>
      <c r="O408" s="4">
        <v>239594.38</v>
      </c>
      <c r="P408" s="4">
        <v>736283.84</v>
      </c>
      <c r="Q408" s="4">
        <v>141212.9</v>
      </c>
      <c r="R408" s="4">
        <v>0</v>
      </c>
      <c r="S408" s="4">
        <v>161937.85</v>
      </c>
      <c r="T408" s="4">
        <v>98201.18</v>
      </c>
      <c r="U408" s="4">
        <v>0</v>
      </c>
      <c r="V408" s="4">
        <v>1027128.41</v>
      </c>
      <c r="W408" s="4">
        <v>15567766.189999999</v>
      </c>
      <c r="X408" s="4">
        <v>525957.24</v>
      </c>
      <c r="Y408" s="4">
        <v>31086824.719999999</v>
      </c>
      <c r="Z408" s="4"/>
      <c r="AA408" s="4"/>
      <c r="AB408" s="4">
        <v>294509415.49000001</v>
      </c>
      <c r="AC408" s="4">
        <v>59164.81</v>
      </c>
      <c r="AD408" s="4">
        <v>1277107.03</v>
      </c>
      <c r="AE408" s="4">
        <v>123840.07</v>
      </c>
      <c r="AF408" s="4">
        <v>112909.53</v>
      </c>
      <c r="AG408" s="4">
        <v>103106.04</v>
      </c>
      <c r="AH408" s="4">
        <v>561265.37</v>
      </c>
      <c r="AI408" s="4">
        <v>206332.21</v>
      </c>
      <c r="AJ408" s="4">
        <v>0</v>
      </c>
      <c r="AK408" s="4">
        <v>581975.56999999995</v>
      </c>
      <c r="AL408" s="4">
        <v>0</v>
      </c>
      <c r="AM408" s="4">
        <v>16891.689999999999</v>
      </c>
      <c r="AN408" s="4">
        <v>0</v>
      </c>
      <c r="AO408" s="4">
        <v>512718.47</v>
      </c>
      <c r="AP408" s="4">
        <v>0</v>
      </c>
      <c r="AQ408" s="4">
        <v>67794.12</v>
      </c>
      <c r="AR408" s="4">
        <v>1132.94</v>
      </c>
      <c r="AS408" s="4">
        <v>0</v>
      </c>
      <c r="AT408" s="4">
        <v>26794.44</v>
      </c>
      <c r="AU408" s="4">
        <v>525.65</v>
      </c>
      <c r="AV408" s="4">
        <v>840961.92</v>
      </c>
      <c r="AW408" s="4">
        <v>3407183.39</v>
      </c>
      <c r="AX408" s="4">
        <v>2445867.6</v>
      </c>
      <c r="AY408" s="4">
        <v>1630533.37</v>
      </c>
      <c r="AZ408" s="4"/>
      <c r="BA408" s="4"/>
      <c r="BB408" s="4">
        <f t="shared" si="64"/>
        <v>358631022.90999997</v>
      </c>
    </row>
    <row r="409" spans="1:54" x14ac:dyDescent="0.2">
      <c r="A409" s="3">
        <v>35247</v>
      </c>
      <c r="B409" s="4">
        <v>0</v>
      </c>
      <c r="C409" s="4">
        <v>306952.43</v>
      </c>
      <c r="D409" s="4">
        <v>190375.66</v>
      </c>
      <c r="E409" s="4">
        <v>0</v>
      </c>
      <c r="F409" s="4">
        <v>201029.11</v>
      </c>
      <c r="G409" s="4">
        <v>191916.44</v>
      </c>
      <c r="H409" s="4">
        <v>0</v>
      </c>
      <c r="I409" s="4">
        <v>0</v>
      </c>
      <c r="J409" s="4">
        <v>241475.63</v>
      </c>
      <c r="K409" s="4">
        <v>120368.69</v>
      </c>
      <c r="L409" s="4">
        <v>0</v>
      </c>
      <c r="M409" s="4">
        <v>214422.21</v>
      </c>
      <c r="N409" s="4">
        <v>89574.14</v>
      </c>
      <c r="O409" s="4">
        <v>83521.11</v>
      </c>
      <c r="P409" s="4">
        <v>394421.31</v>
      </c>
      <c r="Q409" s="4">
        <v>94187.97</v>
      </c>
      <c r="R409" s="4">
        <v>0</v>
      </c>
      <c r="S409" s="4">
        <v>83794.960000000006</v>
      </c>
      <c r="T409" s="4">
        <v>15142.35</v>
      </c>
      <c r="U409" s="4">
        <v>0</v>
      </c>
      <c r="V409" s="4">
        <v>598317.36</v>
      </c>
      <c r="W409" s="4">
        <v>8120033.8399999999</v>
      </c>
      <c r="X409" s="4">
        <v>370740.74</v>
      </c>
      <c r="Y409" s="4">
        <v>21123815.579999998</v>
      </c>
      <c r="Z409" s="4"/>
      <c r="AA409" s="4"/>
      <c r="AB409" s="4">
        <v>189538208.66</v>
      </c>
      <c r="AC409" s="4">
        <v>56058.27</v>
      </c>
      <c r="AD409" s="4">
        <v>1051144.28</v>
      </c>
      <c r="AE409" s="4">
        <v>89870.17</v>
      </c>
      <c r="AF409" s="4">
        <v>65318.07</v>
      </c>
      <c r="AG409" s="4">
        <v>124786.94</v>
      </c>
      <c r="AH409" s="4">
        <v>252084.66</v>
      </c>
      <c r="AI409" s="4">
        <v>125450.8</v>
      </c>
      <c r="AJ409" s="4">
        <v>0</v>
      </c>
      <c r="AK409" s="4">
        <v>444395.59</v>
      </c>
      <c r="AL409" s="4">
        <v>0</v>
      </c>
      <c r="AM409" s="4">
        <v>17484.16</v>
      </c>
      <c r="AN409" s="4">
        <v>0</v>
      </c>
      <c r="AO409" s="4">
        <v>387498.13</v>
      </c>
      <c r="AP409" s="4">
        <v>0</v>
      </c>
      <c r="AQ409" s="4">
        <v>32617.9</v>
      </c>
      <c r="AR409" s="4">
        <v>0</v>
      </c>
      <c r="AS409" s="4">
        <v>0</v>
      </c>
      <c r="AT409" s="4">
        <v>14927.34</v>
      </c>
      <c r="AU409" s="4">
        <v>0</v>
      </c>
      <c r="AV409" s="4">
        <v>533536.76</v>
      </c>
      <c r="AW409" s="4">
        <v>2148894.58</v>
      </c>
      <c r="AX409" s="4">
        <v>1599972.44</v>
      </c>
      <c r="AY409" s="4">
        <v>1066627.26</v>
      </c>
      <c r="AZ409" s="4"/>
      <c r="BA409" s="4"/>
      <c r="BB409" s="4">
        <f t="shared" si="64"/>
        <v>229988965.53999999</v>
      </c>
    </row>
    <row r="410" spans="1:54" x14ac:dyDescent="0.2">
      <c r="A410" s="3">
        <v>35278</v>
      </c>
      <c r="B410" s="4">
        <v>0</v>
      </c>
      <c r="C410" s="4">
        <v>299191.43</v>
      </c>
      <c r="D410" s="4">
        <v>186144.28</v>
      </c>
      <c r="E410" s="4">
        <v>0</v>
      </c>
      <c r="F410" s="4">
        <v>195795.12</v>
      </c>
      <c r="G410" s="4">
        <v>181025.28</v>
      </c>
      <c r="H410" s="4">
        <v>0</v>
      </c>
      <c r="I410" s="4">
        <v>0</v>
      </c>
      <c r="J410" s="4">
        <v>228932.08</v>
      </c>
      <c r="K410" s="4">
        <v>115445.39</v>
      </c>
      <c r="L410" s="4">
        <v>0</v>
      </c>
      <c r="M410" s="4">
        <v>172543.09</v>
      </c>
      <c r="N410" s="4">
        <v>89291.51</v>
      </c>
      <c r="O410" s="4">
        <v>82791.44</v>
      </c>
      <c r="P410" s="4">
        <v>379560.27</v>
      </c>
      <c r="Q410" s="4">
        <v>114892.98</v>
      </c>
      <c r="R410" s="4">
        <v>0</v>
      </c>
      <c r="S410" s="4">
        <v>79599</v>
      </c>
      <c r="T410" s="4">
        <v>13612.34</v>
      </c>
      <c r="U410" s="4">
        <v>0</v>
      </c>
      <c r="V410" s="4">
        <v>569602.77</v>
      </c>
      <c r="W410" s="4">
        <v>7138677.6699999999</v>
      </c>
      <c r="X410" s="4">
        <v>348533.36</v>
      </c>
      <c r="Y410" s="4">
        <v>19799811.539999999</v>
      </c>
      <c r="Z410" s="4"/>
      <c r="AA410" s="4"/>
      <c r="AB410" s="4">
        <v>177194116.28999999</v>
      </c>
      <c r="AC410" s="4">
        <v>50256.04</v>
      </c>
      <c r="AD410" s="4">
        <v>998754.85</v>
      </c>
      <c r="AE410" s="4">
        <v>83186.36</v>
      </c>
      <c r="AF410" s="4">
        <v>62570.17</v>
      </c>
      <c r="AG410" s="4">
        <v>118293.79</v>
      </c>
      <c r="AH410" s="4">
        <v>246408.97</v>
      </c>
      <c r="AI410" s="4">
        <v>119351.72</v>
      </c>
      <c r="AJ410" s="4">
        <v>0</v>
      </c>
      <c r="AK410" s="4">
        <v>452405.83</v>
      </c>
      <c r="AL410" s="4">
        <v>0</v>
      </c>
      <c r="AM410" s="4">
        <v>19200.38</v>
      </c>
      <c r="AN410" s="4">
        <v>0</v>
      </c>
      <c r="AO410" s="4">
        <v>374591.23</v>
      </c>
      <c r="AP410" s="4">
        <v>0</v>
      </c>
      <c r="AQ410" s="4">
        <v>33422.58</v>
      </c>
      <c r="AR410" s="4">
        <v>0</v>
      </c>
      <c r="AS410" s="4">
        <v>0</v>
      </c>
      <c r="AT410" s="4">
        <v>15099.73</v>
      </c>
      <c r="AU410" s="4">
        <v>0</v>
      </c>
      <c r="AV410" s="4">
        <v>513940.34</v>
      </c>
      <c r="AW410" s="4">
        <v>2074572.11</v>
      </c>
      <c r="AX410" s="4">
        <v>1519505.02</v>
      </c>
      <c r="AY410" s="4">
        <v>1012907.2</v>
      </c>
      <c r="AZ410" s="4"/>
      <c r="BA410" s="4"/>
      <c r="BB410" s="4">
        <f t="shared" si="64"/>
        <v>214884032.15999997</v>
      </c>
    </row>
    <row r="411" spans="1:54" x14ac:dyDescent="0.2">
      <c r="A411" s="3">
        <v>35309</v>
      </c>
      <c r="B411" s="4">
        <v>8036.26</v>
      </c>
      <c r="C411" s="4">
        <v>639463.96</v>
      </c>
      <c r="D411" s="4">
        <v>332244.03000000003</v>
      </c>
      <c r="E411" s="4">
        <v>0</v>
      </c>
      <c r="F411" s="4">
        <v>277834.69</v>
      </c>
      <c r="G411" s="4">
        <v>323948.69</v>
      </c>
      <c r="H411" s="4">
        <v>37874.800000000003</v>
      </c>
      <c r="I411" s="4">
        <v>8346.73</v>
      </c>
      <c r="J411" s="4">
        <v>366217.51</v>
      </c>
      <c r="K411" s="4">
        <v>178604.44</v>
      </c>
      <c r="L411" s="4">
        <v>405.75</v>
      </c>
      <c r="M411" s="4">
        <v>325162.74</v>
      </c>
      <c r="N411" s="4">
        <v>158512.74</v>
      </c>
      <c r="O411" s="4">
        <v>209476.72</v>
      </c>
      <c r="P411" s="4">
        <v>516142.69</v>
      </c>
      <c r="Q411" s="4">
        <v>143071.26</v>
      </c>
      <c r="R411" s="4">
        <v>0</v>
      </c>
      <c r="S411" s="4">
        <v>189870.54</v>
      </c>
      <c r="T411" s="4">
        <v>126597.62</v>
      </c>
      <c r="U411" s="4">
        <v>0</v>
      </c>
      <c r="V411" s="4">
        <v>848104.28</v>
      </c>
      <c r="W411" s="4">
        <v>14900884.24</v>
      </c>
      <c r="X411" s="4">
        <v>658488.38</v>
      </c>
      <c r="Y411" s="4">
        <v>32296869.350000001</v>
      </c>
      <c r="Z411" s="4"/>
      <c r="AA411" s="4"/>
      <c r="AB411" s="4">
        <v>296246726.41000003</v>
      </c>
      <c r="AC411" s="4">
        <v>63752.56</v>
      </c>
      <c r="AD411" s="4">
        <v>1370691.12</v>
      </c>
      <c r="AE411" s="4">
        <v>113131.41</v>
      </c>
      <c r="AF411" s="4">
        <v>107243</v>
      </c>
      <c r="AG411" s="4">
        <v>127557.94</v>
      </c>
      <c r="AH411" s="4">
        <v>389424.66</v>
      </c>
      <c r="AI411" s="4">
        <v>302446.23</v>
      </c>
      <c r="AJ411" s="4">
        <v>38.4</v>
      </c>
      <c r="AK411" s="4">
        <v>585298.72</v>
      </c>
      <c r="AL411" s="4">
        <v>0</v>
      </c>
      <c r="AM411" s="4">
        <v>24398.65</v>
      </c>
      <c r="AN411" s="4">
        <v>0</v>
      </c>
      <c r="AO411" s="4">
        <v>454893.62</v>
      </c>
      <c r="AP411" s="4">
        <v>0</v>
      </c>
      <c r="AQ411" s="4">
        <v>73328.5</v>
      </c>
      <c r="AR411" s="4">
        <v>505.09</v>
      </c>
      <c r="AS411" s="4">
        <v>1867.13</v>
      </c>
      <c r="AT411" s="4">
        <v>27877.77</v>
      </c>
      <c r="AU411" s="4">
        <v>355.07</v>
      </c>
      <c r="AV411" s="4">
        <v>774396.38</v>
      </c>
      <c r="AW411" s="4">
        <v>2810233.42</v>
      </c>
      <c r="AX411" s="4">
        <v>2286785.39</v>
      </c>
      <c r="AY411" s="4">
        <v>1525163</v>
      </c>
      <c r="AZ411" s="4"/>
      <c r="BA411" s="4"/>
      <c r="BB411" s="4">
        <f t="shared" si="64"/>
        <v>359832271.89000005</v>
      </c>
    </row>
    <row r="412" spans="1:54" x14ac:dyDescent="0.2">
      <c r="A412" s="3">
        <v>35339</v>
      </c>
      <c r="B412" s="4">
        <v>0</v>
      </c>
      <c r="C412" s="4">
        <v>299775.02</v>
      </c>
      <c r="D412" s="4">
        <v>187394.82</v>
      </c>
      <c r="E412" s="4">
        <v>0</v>
      </c>
      <c r="F412" s="4">
        <v>162061</v>
      </c>
      <c r="G412" s="4">
        <v>190501.03</v>
      </c>
      <c r="H412" s="4">
        <v>0</v>
      </c>
      <c r="I412" s="4">
        <v>0</v>
      </c>
      <c r="J412" s="4">
        <v>258156.84</v>
      </c>
      <c r="K412" s="4">
        <v>114720.24</v>
      </c>
      <c r="L412" s="4">
        <v>0</v>
      </c>
      <c r="M412" s="4">
        <v>192999.3</v>
      </c>
      <c r="N412" s="4">
        <v>80588.800000000003</v>
      </c>
      <c r="O412" s="4">
        <v>100330.01</v>
      </c>
      <c r="P412" s="4">
        <v>422682.22</v>
      </c>
      <c r="Q412" s="4">
        <v>77730.39</v>
      </c>
      <c r="R412" s="4">
        <v>0</v>
      </c>
      <c r="S412" s="4">
        <v>78754.39</v>
      </c>
      <c r="T412" s="4">
        <v>11210.9</v>
      </c>
      <c r="U412" s="4">
        <v>0</v>
      </c>
      <c r="V412" s="4">
        <v>579833.15</v>
      </c>
      <c r="W412" s="4">
        <v>7061640.5499999998</v>
      </c>
      <c r="X412" s="4">
        <v>317657.17</v>
      </c>
      <c r="Y412" s="4">
        <v>20621454.57</v>
      </c>
      <c r="Z412" s="4"/>
      <c r="AA412" s="4"/>
      <c r="AB412" s="4">
        <v>196071081.71000001</v>
      </c>
      <c r="AC412" s="4">
        <v>53026.75</v>
      </c>
      <c r="AD412" s="4">
        <v>944163.2</v>
      </c>
      <c r="AE412" s="4">
        <v>76709.740000000005</v>
      </c>
      <c r="AF412" s="4">
        <v>64505.89</v>
      </c>
      <c r="AG412" s="4">
        <v>123817.63</v>
      </c>
      <c r="AH412" s="4">
        <v>225085.37</v>
      </c>
      <c r="AI412" s="4">
        <v>119932.86</v>
      </c>
      <c r="AJ412" s="4">
        <v>0</v>
      </c>
      <c r="AK412" s="4">
        <v>429717.81</v>
      </c>
      <c r="AL412" s="4">
        <v>0</v>
      </c>
      <c r="AM412" s="4">
        <v>22248.98</v>
      </c>
      <c r="AN412" s="4">
        <v>0</v>
      </c>
      <c r="AO412" s="4">
        <v>343354.87</v>
      </c>
      <c r="AP412" s="4">
        <v>0</v>
      </c>
      <c r="AQ412" s="4">
        <v>30749.89</v>
      </c>
      <c r="AR412" s="4">
        <v>0</v>
      </c>
      <c r="AS412" s="4">
        <v>0</v>
      </c>
      <c r="AT412" s="4">
        <v>16390.830000000002</v>
      </c>
      <c r="AU412" s="4">
        <v>0</v>
      </c>
      <c r="AV412" s="4">
        <v>525161.98</v>
      </c>
      <c r="AW412" s="4">
        <v>2346797.19</v>
      </c>
      <c r="AX412" s="4">
        <v>1517263.06</v>
      </c>
      <c r="AY412" s="4">
        <v>1011467.18</v>
      </c>
      <c r="AZ412" s="4"/>
      <c r="BA412" s="4"/>
      <c r="BB412" s="4">
        <f t="shared" si="64"/>
        <v>234678965.34</v>
      </c>
    </row>
    <row r="413" spans="1:54" x14ac:dyDescent="0.2">
      <c r="A413" s="3">
        <v>35370</v>
      </c>
      <c r="B413" s="4">
        <v>0</v>
      </c>
      <c r="C413" s="4">
        <v>313499.98</v>
      </c>
      <c r="D413" s="4">
        <v>188413.56</v>
      </c>
      <c r="E413" s="4">
        <v>0</v>
      </c>
      <c r="F413" s="4">
        <v>164711.85</v>
      </c>
      <c r="G413" s="4">
        <v>188380.96</v>
      </c>
      <c r="H413" s="4">
        <v>0</v>
      </c>
      <c r="I413" s="4">
        <v>0</v>
      </c>
      <c r="J413" s="4">
        <v>255338.59</v>
      </c>
      <c r="K413" s="4">
        <v>114288.78</v>
      </c>
      <c r="L413" s="4">
        <v>0</v>
      </c>
      <c r="M413" s="4">
        <v>184115.12</v>
      </c>
      <c r="N413" s="4">
        <v>86473.47</v>
      </c>
      <c r="O413" s="4">
        <v>100773.1</v>
      </c>
      <c r="P413" s="4">
        <v>424329.36</v>
      </c>
      <c r="Q413" s="4">
        <v>101212.74</v>
      </c>
      <c r="R413" s="4">
        <v>0</v>
      </c>
      <c r="S413" s="4">
        <v>81804.149999999994</v>
      </c>
      <c r="T413" s="4">
        <v>13789.15</v>
      </c>
      <c r="U413" s="4">
        <v>0</v>
      </c>
      <c r="V413" s="4">
        <v>610086.22</v>
      </c>
      <c r="W413" s="4">
        <v>7464380.3499999996</v>
      </c>
      <c r="X413" s="4">
        <v>328296.94</v>
      </c>
      <c r="Y413" s="4">
        <v>21137812.789999999</v>
      </c>
      <c r="Z413" s="4"/>
      <c r="AA413" s="4"/>
      <c r="AB413" s="4">
        <v>198142308.27000001</v>
      </c>
      <c r="AC413" s="4">
        <v>55147.59</v>
      </c>
      <c r="AD413" s="4">
        <v>1001814.5</v>
      </c>
      <c r="AE413" s="4">
        <v>79149.3</v>
      </c>
      <c r="AF413" s="4">
        <v>60880.51</v>
      </c>
      <c r="AG413" s="4">
        <v>123519.41</v>
      </c>
      <c r="AH413" s="4">
        <v>231964.61</v>
      </c>
      <c r="AI413" s="4">
        <v>124016.25</v>
      </c>
      <c r="AJ413" s="4">
        <v>0</v>
      </c>
      <c r="AK413" s="4">
        <v>937916.22</v>
      </c>
      <c r="AL413" s="4">
        <v>0</v>
      </c>
      <c r="AM413" s="4">
        <v>22991.19</v>
      </c>
      <c r="AN413" s="4">
        <v>0</v>
      </c>
      <c r="AO413" s="4">
        <v>365561.29</v>
      </c>
      <c r="AP413" s="4">
        <v>0</v>
      </c>
      <c r="AQ413" s="4">
        <v>29560.01</v>
      </c>
      <c r="AR413" s="4">
        <v>0</v>
      </c>
      <c r="AS413" s="4">
        <v>0</v>
      </c>
      <c r="AT413" s="4">
        <v>16770.41</v>
      </c>
      <c r="AU413" s="4">
        <v>0</v>
      </c>
      <c r="AV413" s="4">
        <v>524417.68000000005</v>
      </c>
      <c r="AW413" s="4">
        <v>2417048.65</v>
      </c>
      <c r="AX413" s="4">
        <v>1614942.24</v>
      </c>
      <c r="AY413" s="4">
        <v>1076559.4099999999</v>
      </c>
      <c r="AZ413" s="4"/>
      <c r="BA413" s="4"/>
      <c r="BB413" s="4">
        <f t="shared" si="64"/>
        <v>238582274.65000001</v>
      </c>
    </row>
    <row r="414" spans="1:54" x14ac:dyDescent="0.2">
      <c r="A414" s="3">
        <v>35400</v>
      </c>
      <c r="B414" s="4">
        <v>53257.59</v>
      </c>
      <c r="C414" s="4">
        <v>570745.78</v>
      </c>
      <c r="D414" s="4">
        <v>272182.8</v>
      </c>
      <c r="E414" s="4">
        <v>0</v>
      </c>
      <c r="F414" s="4">
        <v>221416.68</v>
      </c>
      <c r="G414" s="4">
        <v>246346.68</v>
      </c>
      <c r="H414" s="4">
        <v>2803.83</v>
      </c>
      <c r="I414" s="4">
        <v>1320.6</v>
      </c>
      <c r="J414" s="4">
        <v>393497.96</v>
      </c>
      <c r="K414" s="4">
        <v>193981.11</v>
      </c>
      <c r="L414" s="4">
        <v>0</v>
      </c>
      <c r="M414" s="4">
        <v>231091.91</v>
      </c>
      <c r="N414" s="4">
        <v>147316.70000000001</v>
      </c>
      <c r="O414" s="4">
        <v>299488.09999999998</v>
      </c>
      <c r="P414" s="4">
        <v>530982.35</v>
      </c>
      <c r="Q414" s="4">
        <v>134901.38</v>
      </c>
      <c r="R414" s="4">
        <v>0</v>
      </c>
      <c r="S414" s="4">
        <v>184792.22</v>
      </c>
      <c r="T414" s="4">
        <v>58099.43</v>
      </c>
      <c r="U414" s="4">
        <v>0</v>
      </c>
      <c r="V414" s="4">
        <v>997147.08</v>
      </c>
      <c r="W414" s="4">
        <v>18777393.760000002</v>
      </c>
      <c r="X414" s="4">
        <v>550992.5</v>
      </c>
      <c r="Y414" s="4">
        <v>33175545.010000002</v>
      </c>
      <c r="Z414" s="4"/>
      <c r="AA414" s="4"/>
      <c r="AB414" s="4">
        <v>317533099.49000001</v>
      </c>
      <c r="AC414" s="4">
        <v>57399.5</v>
      </c>
      <c r="AD414" s="4">
        <v>2236597.41</v>
      </c>
      <c r="AE414" s="4">
        <v>182835.77</v>
      </c>
      <c r="AF414" s="4">
        <v>142000.32999999999</v>
      </c>
      <c r="AG414" s="4">
        <v>156652.35999999999</v>
      </c>
      <c r="AH414" s="4">
        <v>352577.29</v>
      </c>
      <c r="AI414" s="4">
        <v>325238.73</v>
      </c>
      <c r="AJ414" s="4">
        <v>88.93</v>
      </c>
      <c r="AK414" s="4">
        <v>783481.36</v>
      </c>
      <c r="AL414" s="4">
        <v>0</v>
      </c>
      <c r="AM414" s="4">
        <v>32680.13</v>
      </c>
      <c r="AN414" s="4">
        <v>0</v>
      </c>
      <c r="AO414" s="4">
        <v>456822.93</v>
      </c>
      <c r="AP414" s="4">
        <v>0</v>
      </c>
      <c r="AQ414" s="4">
        <v>60578.3</v>
      </c>
      <c r="AR414" s="4">
        <v>395.92</v>
      </c>
      <c r="AS414" s="4">
        <v>5220.9399999999996</v>
      </c>
      <c r="AT414" s="4">
        <v>22114.54</v>
      </c>
      <c r="AU414" s="4">
        <v>400.01</v>
      </c>
      <c r="AV414" s="4">
        <v>689371.25</v>
      </c>
      <c r="AW414" s="4">
        <v>3062978.02</v>
      </c>
      <c r="AX414" s="4">
        <v>1996382.8</v>
      </c>
      <c r="AY414" s="4">
        <v>1331064.82</v>
      </c>
      <c r="AZ414" s="4"/>
      <c r="BA414" s="4"/>
      <c r="BB414" s="4">
        <f t="shared" si="64"/>
        <v>386471284.30000013</v>
      </c>
    </row>
    <row r="415" spans="1:54" ht="15.75" thickBot="1" x14ac:dyDescent="0.25">
      <c r="A415" s="1" t="s">
        <v>9</v>
      </c>
      <c r="B415" s="5">
        <f t="shared" ref="B415:AY415" si="65">SUM(B403:B414)</f>
        <v>79620.69</v>
      </c>
      <c r="C415" s="5">
        <f t="shared" si="65"/>
        <v>3835547.51</v>
      </c>
      <c r="D415" s="5">
        <f t="shared" si="65"/>
        <v>2641946.94</v>
      </c>
      <c r="E415" s="5">
        <f t="shared" si="65"/>
        <v>0</v>
      </c>
      <c r="F415" s="5">
        <f t="shared" si="65"/>
        <v>2402413.3000000003</v>
      </c>
      <c r="G415" s="5">
        <f t="shared" si="65"/>
        <v>2540700.13</v>
      </c>
      <c r="H415" s="5">
        <f t="shared" si="65"/>
        <v>82980.27</v>
      </c>
      <c r="I415" s="5">
        <f t="shared" si="65"/>
        <v>32560.19</v>
      </c>
      <c r="J415" s="5">
        <f t="shared" si="65"/>
        <v>3556210.54</v>
      </c>
      <c r="K415" s="5">
        <f t="shared" si="65"/>
        <v>1716801.73</v>
      </c>
      <c r="L415" s="5">
        <f t="shared" si="65"/>
        <v>2163.1</v>
      </c>
      <c r="M415" s="5">
        <f t="shared" si="65"/>
        <v>2490746.8200000003</v>
      </c>
      <c r="N415" s="5">
        <f t="shared" si="65"/>
        <v>1318541.8199999998</v>
      </c>
      <c r="O415" s="5">
        <f t="shared" si="65"/>
        <v>1636624.4</v>
      </c>
      <c r="P415" s="5">
        <f t="shared" si="65"/>
        <v>5496491.2599999998</v>
      </c>
      <c r="Q415" s="5">
        <f t="shared" si="65"/>
        <v>1320144.5799999996</v>
      </c>
      <c r="R415" s="5">
        <f t="shared" si="65"/>
        <v>0</v>
      </c>
      <c r="S415" s="5">
        <f t="shared" si="65"/>
        <v>1425954.9899999998</v>
      </c>
      <c r="T415" s="5">
        <f t="shared" si="65"/>
        <v>460160.87000000005</v>
      </c>
      <c r="U415" s="5">
        <f t="shared" si="65"/>
        <v>0</v>
      </c>
      <c r="V415" s="5">
        <f t="shared" si="65"/>
        <v>8463376.2100000009</v>
      </c>
      <c r="W415" s="5">
        <f t="shared" si="65"/>
        <v>124387320.22999999</v>
      </c>
      <c r="X415" s="5">
        <f t="shared" si="65"/>
        <v>4786917.54</v>
      </c>
      <c r="Y415" s="5">
        <f t="shared" si="65"/>
        <v>286529079.88</v>
      </c>
      <c r="Z415" s="5"/>
      <c r="AA415" s="5"/>
      <c r="AB415" s="5">
        <f t="shared" si="65"/>
        <v>2709696085.1899996</v>
      </c>
      <c r="AC415" s="5">
        <f t="shared" si="65"/>
        <v>748519.78999999992</v>
      </c>
      <c r="AD415" s="5">
        <f t="shared" si="65"/>
        <v>13865349.35</v>
      </c>
      <c r="AE415" s="5">
        <f t="shared" si="65"/>
        <v>1338473.0600000003</v>
      </c>
      <c r="AF415" s="5">
        <f t="shared" si="65"/>
        <v>1006330.23</v>
      </c>
      <c r="AG415" s="5">
        <f t="shared" si="65"/>
        <v>1532352.0300000003</v>
      </c>
      <c r="AH415" s="5">
        <f t="shared" si="65"/>
        <v>3486529.16</v>
      </c>
      <c r="AI415" s="5">
        <f t="shared" si="65"/>
        <v>1989752.0200000003</v>
      </c>
      <c r="AJ415" s="5">
        <f t="shared" si="65"/>
        <v>127.33000000000001</v>
      </c>
      <c r="AK415" s="5">
        <f t="shared" si="65"/>
        <v>6456056.7299999995</v>
      </c>
      <c r="AL415" s="5">
        <f t="shared" si="65"/>
        <v>0</v>
      </c>
      <c r="AM415" s="5">
        <f t="shared" si="65"/>
        <v>301849.36</v>
      </c>
      <c r="AN415" s="5">
        <f t="shared" si="65"/>
        <v>0</v>
      </c>
      <c r="AO415" s="5">
        <f t="shared" si="65"/>
        <v>4831907.3099999996</v>
      </c>
      <c r="AP415" s="5">
        <f t="shared" si="65"/>
        <v>0</v>
      </c>
      <c r="AQ415" s="5">
        <f t="shared" si="65"/>
        <v>511355.97000000003</v>
      </c>
      <c r="AR415" s="5">
        <f t="shared" si="65"/>
        <v>3215.2200000000003</v>
      </c>
      <c r="AS415" s="5">
        <f t="shared" si="65"/>
        <v>11763.31</v>
      </c>
      <c r="AT415" s="5">
        <f t="shared" si="65"/>
        <v>214457.63</v>
      </c>
      <c r="AU415" s="5">
        <f t="shared" si="65"/>
        <v>5877.58</v>
      </c>
      <c r="AV415" s="5">
        <f t="shared" si="65"/>
        <v>7189382.709999999</v>
      </c>
      <c r="AW415" s="5">
        <f t="shared" si="65"/>
        <v>30819780.689999998</v>
      </c>
      <c r="AX415" s="5">
        <f t="shared" si="65"/>
        <v>21433869.079999998</v>
      </c>
      <c r="AY415" s="5">
        <f t="shared" si="65"/>
        <v>14289235.1</v>
      </c>
      <c r="AZ415" s="5"/>
      <c r="BA415" s="5"/>
      <c r="BB415" s="5">
        <f t="shared" si="64"/>
        <v>3274938571.849999</v>
      </c>
    </row>
    <row r="416" spans="1:54" ht="15.75" thickTop="1" x14ac:dyDescent="0.2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</row>
    <row r="417" spans="1:54" x14ac:dyDescent="0.2">
      <c r="A417" s="3">
        <v>34700</v>
      </c>
      <c r="B417" s="4">
        <v>0</v>
      </c>
      <c r="C417" s="4">
        <v>0</v>
      </c>
      <c r="D417" s="4">
        <v>209991.5</v>
      </c>
      <c r="E417" s="4">
        <v>0</v>
      </c>
      <c r="F417" s="4">
        <v>181971.56</v>
      </c>
      <c r="G417" s="4">
        <v>157267.01999999999</v>
      </c>
      <c r="H417" s="4">
        <v>194198.85</v>
      </c>
      <c r="I417" s="4">
        <v>0</v>
      </c>
      <c r="J417" s="4">
        <v>193186.39</v>
      </c>
      <c r="K417" s="4">
        <v>123989.14</v>
      </c>
      <c r="L417" s="4">
        <v>0</v>
      </c>
      <c r="M417" s="4">
        <v>193732.49</v>
      </c>
      <c r="N417" s="4">
        <v>85576.87</v>
      </c>
      <c r="O417" s="4">
        <v>101412.1</v>
      </c>
      <c r="P417" s="4">
        <v>401106.72</v>
      </c>
      <c r="Q417" s="4">
        <v>98825.19</v>
      </c>
      <c r="R417" s="4">
        <v>0</v>
      </c>
      <c r="S417" s="4">
        <v>113213.73</v>
      </c>
      <c r="T417" s="4">
        <v>12118.94</v>
      </c>
      <c r="U417" s="4">
        <v>0</v>
      </c>
      <c r="V417" s="4">
        <v>684309.06</v>
      </c>
      <c r="W417" s="4">
        <v>8209817.4500000002</v>
      </c>
      <c r="X417" s="4">
        <v>375708.31</v>
      </c>
      <c r="Y417" s="4">
        <v>21654841.93</v>
      </c>
      <c r="Z417" s="4"/>
      <c r="AA417" s="4"/>
      <c r="AB417" s="4">
        <v>224925138.87</v>
      </c>
      <c r="AC417" s="4">
        <v>89411.28</v>
      </c>
      <c r="AD417" s="4">
        <v>973294.55</v>
      </c>
      <c r="AE417" s="4">
        <v>132934.48000000001</v>
      </c>
      <c r="AF417" s="4">
        <v>78312.89</v>
      </c>
      <c r="AG417" s="4">
        <v>120130.44</v>
      </c>
      <c r="AH417" s="4">
        <v>245381.03</v>
      </c>
      <c r="AI417" s="4">
        <v>149028.53</v>
      </c>
      <c r="AJ417" s="4">
        <v>0</v>
      </c>
      <c r="AK417" s="4">
        <v>418472.58</v>
      </c>
      <c r="AL417" s="4">
        <v>0</v>
      </c>
      <c r="AM417" s="4">
        <v>38411.42</v>
      </c>
      <c r="AN417" s="4">
        <v>0</v>
      </c>
      <c r="AO417" s="4">
        <v>345063.62</v>
      </c>
      <c r="AP417" s="4">
        <v>0</v>
      </c>
      <c r="AQ417" s="4">
        <v>37381.18</v>
      </c>
      <c r="AR417" s="4">
        <v>0</v>
      </c>
      <c r="AS417" s="4">
        <v>0</v>
      </c>
      <c r="AT417" s="4">
        <v>15783.95</v>
      </c>
      <c r="AU417" s="4">
        <v>0</v>
      </c>
      <c r="AV417" s="4">
        <v>531348.24</v>
      </c>
      <c r="AW417" s="4">
        <v>2219841.9300000002</v>
      </c>
      <c r="AX417" s="4">
        <v>1827288.99</v>
      </c>
      <c r="AY417" s="4">
        <v>1218175.04</v>
      </c>
      <c r="AZ417" s="4"/>
      <c r="BA417" s="4"/>
      <c r="BB417" s="4">
        <f t="shared" ref="BB417:BB429" si="66">SUM(B417:AY417)</f>
        <v>266356666.27000001</v>
      </c>
    </row>
    <row r="418" spans="1:54" x14ac:dyDescent="0.2">
      <c r="A418" s="3">
        <v>34731</v>
      </c>
      <c r="B418" s="4">
        <v>0</v>
      </c>
      <c r="C418" s="4">
        <v>0</v>
      </c>
      <c r="D418" s="4">
        <v>175024.79</v>
      </c>
      <c r="E418" s="4">
        <v>0</v>
      </c>
      <c r="F418" s="4">
        <v>147124.44</v>
      </c>
      <c r="G418" s="4">
        <v>130172.48</v>
      </c>
      <c r="H418" s="4">
        <v>166649.19</v>
      </c>
      <c r="I418" s="4">
        <v>0</v>
      </c>
      <c r="J418" s="4">
        <v>221892.84</v>
      </c>
      <c r="K418" s="4">
        <v>107640.19</v>
      </c>
      <c r="L418" s="4">
        <v>0</v>
      </c>
      <c r="M418" s="4">
        <v>173245.41</v>
      </c>
      <c r="N418" s="4">
        <v>71349.08</v>
      </c>
      <c r="O418" s="4">
        <v>86969</v>
      </c>
      <c r="P418" s="4">
        <v>333497.12</v>
      </c>
      <c r="Q418" s="4">
        <v>81054.05</v>
      </c>
      <c r="R418" s="4">
        <v>0</v>
      </c>
      <c r="S418" s="4">
        <v>92789.62</v>
      </c>
      <c r="T418" s="4">
        <v>8659.17</v>
      </c>
      <c r="U418" s="4">
        <v>0</v>
      </c>
      <c r="V418" s="4">
        <v>544601.27</v>
      </c>
      <c r="W418" s="4">
        <v>6247678.2300000004</v>
      </c>
      <c r="X418" s="4">
        <v>315007.02</v>
      </c>
      <c r="Y418" s="4">
        <v>17758658.469999999</v>
      </c>
      <c r="Z418" s="4"/>
      <c r="AA418" s="4"/>
      <c r="AB418" s="4">
        <v>178116554.75999999</v>
      </c>
      <c r="AC418" s="4">
        <v>70358.559999999998</v>
      </c>
      <c r="AD418" s="4">
        <v>790174.57</v>
      </c>
      <c r="AE418" s="4">
        <v>112985.77</v>
      </c>
      <c r="AF418" s="4">
        <v>67231.87</v>
      </c>
      <c r="AG418" s="4">
        <v>105132.56</v>
      </c>
      <c r="AH418" s="4">
        <v>211771.98</v>
      </c>
      <c r="AI418" s="4">
        <v>135301.16</v>
      </c>
      <c r="AJ418" s="4">
        <v>0</v>
      </c>
      <c r="AK418" s="4">
        <v>332095.73</v>
      </c>
      <c r="AL418" s="4">
        <v>0</v>
      </c>
      <c r="AM418" s="4">
        <v>32641.33</v>
      </c>
      <c r="AN418" s="4">
        <v>0</v>
      </c>
      <c r="AO418" s="4">
        <v>316832.58</v>
      </c>
      <c r="AP418" s="4">
        <v>0</v>
      </c>
      <c r="AQ418" s="4">
        <v>32706.93</v>
      </c>
      <c r="AR418" s="4">
        <v>0</v>
      </c>
      <c r="AS418" s="4">
        <v>0</v>
      </c>
      <c r="AT418" s="4">
        <v>11950.32</v>
      </c>
      <c r="AU418" s="4">
        <v>0</v>
      </c>
      <c r="AV418" s="4">
        <v>505899.85</v>
      </c>
      <c r="AW418" s="4">
        <v>1833667.91</v>
      </c>
      <c r="AX418" s="4">
        <v>1620063.3</v>
      </c>
      <c r="AY418" s="4">
        <v>1080049.6399999999</v>
      </c>
      <c r="AZ418" s="4"/>
      <c r="BA418" s="4"/>
      <c r="BB418" s="4">
        <f t="shared" si="66"/>
        <v>212037431.19</v>
      </c>
    </row>
    <row r="419" spans="1:54" x14ac:dyDescent="0.2">
      <c r="A419" s="3">
        <v>34759</v>
      </c>
      <c r="B419" s="4">
        <v>11071.35</v>
      </c>
      <c r="C419" s="4">
        <v>0</v>
      </c>
      <c r="D419" s="4">
        <v>285089.93</v>
      </c>
      <c r="E419" s="4">
        <v>0</v>
      </c>
      <c r="F419" s="4">
        <v>265595.48</v>
      </c>
      <c r="G419" s="4">
        <v>242618.54</v>
      </c>
      <c r="H419" s="4">
        <v>146475.59</v>
      </c>
      <c r="I419" s="4">
        <v>85.63</v>
      </c>
      <c r="J419" s="4">
        <v>281832.75</v>
      </c>
      <c r="K419" s="4">
        <v>194830.19</v>
      </c>
      <c r="L419" s="4">
        <v>112.05</v>
      </c>
      <c r="M419" s="4">
        <v>193568.63</v>
      </c>
      <c r="N419" s="4">
        <v>173000.49</v>
      </c>
      <c r="O419" s="4">
        <v>110818.09</v>
      </c>
      <c r="P419" s="4">
        <v>438399.68</v>
      </c>
      <c r="Q419" s="4">
        <v>147163.74</v>
      </c>
      <c r="R419" s="4">
        <v>0</v>
      </c>
      <c r="S419" s="4">
        <v>135718.06</v>
      </c>
      <c r="T419" s="4">
        <v>52491.47</v>
      </c>
      <c r="U419" s="4">
        <v>1469.89</v>
      </c>
      <c r="V419" s="4">
        <v>879252.15</v>
      </c>
      <c r="W419" s="4">
        <v>18181662.059999999</v>
      </c>
      <c r="X419" s="4">
        <v>390169.18</v>
      </c>
      <c r="Y419" s="4">
        <v>27130730.420000002</v>
      </c>
      <c r="Z419" s="4"/>
      <c r="AA419" s="4"/>
      <c r="AB419" s="4">
        <v>248231218.91</v>
      </c>
      <c r="AC419" s="4">
        <v>40898.730000000003</v>
      </c>
      <c r="AD419" s="4">
        <v>1207362.28</v>
      </c>
      <c r="AE419" s="4">
        <v>104606.28</v>
      </c>
      <c r="AF419" s="4">
        <v>111070.39</v>
      </c>
      <c r="AG419" s="4">
        <v>122682.2</v>
      </c>
      <c r="AH419" s="4">
        <v>178199.75</v>
      </c>
      <c r="AI419" s="4">
        <v>173763.9</v>
      </c>
      <c r="AJ419" s="4">
        <v>874.81</v>
      </c>
      <c r="AK419" s="4">
        <v>675639.48</v>
      </c>
      <c r="AL419" s="4">
        <v>0</v>
      </c>
      <c r="AM419" s="4">
        <v>21956.47</v>
      </c>
      <c r="AN419" s="4">
        <v>0</v>
      </c>
      <c r="AO419" s="4">
        <v>608507.81000000006</v>
      </c>
      <c r="AP419" s="4">
        <v>0</v>
      </c>
      <c r="AQ419" s="4">
        <v>46183.47</v>
      </c>
      <c r="AR419" s="4">
        <v>530.58000000000004</v>
      </c>
      <c r="AS419" s="4">
        <v>0</v>
      </c>
      <c r="AT419" s="4">
        <v>25321.21</v>
      </c>
      <c r="AU419" s="4">
        <v>354.93</v>
      </c>
      <c r="AV419" s="4">
        <v>504033.15</v>
      </c>
      <c r="AW419" s="4">
        <v>2418210.7200000002</v>
      </c>
      <c r="AX419" s="4">
        <v>1830478.79</v>
      </c>
      <c r="AY419" s="4">
        <v>1220148.98</v>
      </c>
      <c r="AZ419" s="4"/>
      <c r="BA419" s="4"/>
      <c r="BB419" s="4">
        <f t="shared" si="66"/>
        <v>306784198.20999998</v>
      </c>
    </row>
    <row r="420" spans="1:54" x14ac:dyDescent="0.2">
      <c r="A420" s="3">
        <v>34790</v>
      </c>
      <c r="B420" s="4">
        <v>0</v>
      </c>
      <c r="C420" s="4">
        <v>0</v>
      </c>
      <c r="D420" s="4">
        <v>186583.8</v>
      </c>
      <c r="E420" s="4">
        <v>0</v>
      </c>
      <c r="F420" s="4">
        <v>169514.8</v>
      </c>
      <c r="G420" s="4">
        <v>149358.19</v>
      </c>
      <c r="H420" s="4">
        <v>0</v>
      </c>
      <c r="I420" s="4">
        <v>0</v>
      </c>
      <c r="J420" s="4">
        <v>180544.66</v>
      </c>
      <c r="K420" s="4">
        <v>107013.64</v>
      </c>
      <c r="L420" s="4">
        <v>0</v>
      </c>
      <c r="M420" s="4">
        <v>164085.18</v>
      </c>
      <c r="N420" s="4">
        <v>73788.03</v>
      </c>
      <c r="O420" s="4">
        <v>130115.48</v>
      </c>
      <c r="P420" s="4">
        <v>360338.21</v>
      </c>
      <c r="Q420" s="4">
        <v>85511.53</v>
      </c>
      <c r="R420" s="4">
        <v>0</v>
      </c>
      <c r="S420" s="4">
        <v>102359.69</v>
      </c>
      <c r="T420" s="4">
        <v>10193.280000000001</v>
      </c>
      <c r="U420" s="4">
        <v>0</v>
      </c>
      <c r="V420" s="4">
        <v>562206.06000000006</v>
      </c>
      <c r="W420" s="4">
        <v>6471319.3200000003</v>
      </c>
      <c r="X420" s="4">
        <v>313852.40999999997</v>
      </c>
      <c r="Y420" s="4">
        <v>18093786.02</v>
      </c>
      <c r="Z420" s="4"/>
      <c r="AA420" s="4"/>
      <c r="AB420" s="4">
        <v>175667623.91999999</v>
      </c>
      <c r="AC420" s="4">
        <v>45197.5</v>
      </c>
      <c r="AD420" s="4">
        <v>760303.78</v>
      </c>
      <c r="AE420" s="4">
        <v>97181.759999999995</v>
      </c>
      <c r="AF420" s="4">
        <v>73058.86</v>
      </c>
      <c r="AG420" s="4">
        <v>105875.16</v>
      </c>
      <c r="AH420" s="4">
        <v>210247.42</v>
      </c>
      <c r="AI420" s="4">
        <v>125053.4</v>
      </c>
      <c r="AJ420" s="4">
        <v>0</v>
      </c>
      <c r="AK420" s="4">
        <v>457757.6</v>
      </c>
      <c r="AL420" s="4">
        <v>0</v>
      </c>
      <c r="AM420" s="4">
        <v>12440.42</v>
      </c>
      <c r="AN420" s="4">
        <v>0</v>
      </c>
      <c r="AO420" s="4">
        <v>308115.17</v>
      </c>
      <c r="AP420" s="4">
        <v>0</v>
      </c>
      <c r="AQ420" s="4">
        <v>14727.38</v>
      </c>
      <c r="AR420" s="4">
        <v>0</v>
      </c>
      <c r="AS420" s="4">
        <v>0</v>
      </c>
      <c r="AT420" s="4">
        <v>15510.85</v>
      </c>
      <c r="AU420" s="4">
        <v>0</v>
      </c>
      <c r="AV420" s="4">
        <v>397187.64</v>
      </c>
      <c r="AW420" s="4">
        <v>1554246.88</v>
      </c>
      <c r="AX420" s="4">
        <v>1437872.76</v>
      </c>
      <c r="AY420" s="4">
        <v>958555.05</v>
      </c>
      <c r="AZ420" s="4"/>
      <c r="BA420" s="4"/>
      <c r="BB420" s="4">
        <f t="shared" si="66"/>
        <v>209401525.84999993</v>
      </c>
    </row>
    <row r="421" spans="1:54" x14ac:dyDescent="0.2">
      <c r="A421" s="3">
        <v>34820</v>
      </c>
      <c r="B421" s="4">
        <v>0</v>
      </c>
      <c r="C421" s="4">
        <v>0</v>
      </c>
      <c r="D421" s="4">
        <v>179475.26</v>
      </c>
      <c r="E421" s="4">
        <v>0</v>
      </c>
      <c r="F421" s="4">
        <v>166340.81</v>
      </c>
      <c r="G421" s="4">
        <v>152495.5</v>
      </c>
      <c r="H421" s="4">
        <v>0</v>
      </c>
      <c r="I421" s="4">
        <v>0</v>
      </c>
      <c r="J421" s="4">
        <v>215025.46</v>
      </c>
      <c r="K421" s="4">
        <v>116847.37</v>
      </c>
      <c r="L421" s="4">
        <v>0</v>
      </c>
      <c r="M421" s="4">
        <v>155931.06</v>
      </c>
      <c r="N421" s="4">
        <v>77502.36</v>
      </c>
      <c r="O421" s="4">
        <v>80451.320000000007</v>
      </c>
      <c r="P421" s="4">
        <v>357788.81</v>
      </c>
      <c r="Q421" s="4">
        <v>88315.04</v>
      </c>
      <c r="R421" s="4">
        <v>0</v>
      </c>
      <c r="S421" s="4">
        <v>102680.08</v>
      </c>
      <c r="T421" s="4">
        <v>10748.55</v>
      </c>
      <c r="U421" s="4">
        <v>0</v>
      </c>
      <c r="V421" s="4">
        <v>536204.77</v>
      </c>
      <c r="W421" s="4">
        <v>6529736.4900000002</v>
      </c>
      <c r="X421" s="4">
        <v>312017.93</v>
      </c>
      <c r="Y421" s="4">
        <v>18146582.289999999</v>
      </c>
      <c r="Z421" s="4"/>
      <c r="AA421" s="4"/>
      <c r="AB421" s="4">
        <v>175160870</v>
      </c>
      <c r="AC421" s="4">
        <v>68557.81</v>
      </c>
      <c r="AD421" s="4">
        <v>780882.2</v>
      </c>
      <c r="AE421" s="4">
        <v>97272.48</v>
      </c>
      <c r="AF421" s="4">
        <v>78977.67</v>
      </c>
      <c r="AG421" s="4">
        <v>114793.78</v>
      </c>
      <c r="AH421" s="4">
        <v>214569.42</v>
      </c>
      <c r="AI421" s="4">
        <v>124975.07</v>
      </c>
      <c r="AJ421" s="4">
        <v>0</v>
      </c>
      <c r="AK421" s="4">
        <v>456789.3</v>
      </c>
      <c r="AL421" s="4">
        <v>0</v>
      </c>
      <c r="AM421" s="4">
        <v>27405.98</v>
      </c>
      <c r="AN421" s="4">
        <v>0</v>
      </c>
      <c r="AO421" s="4">
        <v>316510.46999999997</v>
      </c>
      <c r="AP421" s="4">
        <v>0</v>
      </c>
      <c r="AQ421" s="4">
        <v>30188.080000000002</v>
      </c>
      <c r="AR421" s="4">
        <v>0</v>
      </c>
      <c r="AS421" s="4">
        <v>0</v>
      </c>
      <c r="AT421" s="4">
        <v>14765.36</v>
      </c>
      <c r="AU421" s="4">
        <v>0</v>
      </c>
      <c r="AV421" s="4">
        <v>464375.21</v>
      </c>
      <c r="AW421" s="4">
        <v>1601162.25</v>
      </c>
      <c r="AX421" s="4">
        <v>1451272.73</v>
      </c>
      <c r="AY421" s="4">
        <v>967475.83</v>
      </c>
      <c r="AZ421" s="4"/>
      <c r="BA421" s="4"/>
      <c r="BB421" s="4">
        <f t="shared" si="66"/>
        <v>209198986.73999998</v>
      </c>
    </row>
    <row r="422" spans="1:54" x14ac:dyDescent="0.2">
      <c r="A422" s="3">
        <v>34851</v>
      </c>
      <c r="B422" s="4">
        <v>0</v>
      </c>
      <c r="C422" s="4">
        <v>0</v>
      </c>
      <c r="D422" s="4">
        <v>342928.03</v>
      </c>
      <c r="E422" s="4">
        <v>0</v>
      </c>
      <c r="F422" s="4">
        <v>274867.52</v>
      </c>
      <c r="G422" s="4">
        <v>269540.51</v>
      </c>
      <c r="H422" s="4">
        <v>36078.01</v>
      </c>
      <c r="I422" s="4">
        <v>11384.37</v>
      </c>
      <c r="J422" s="4">
        <v>437351.45</v>
      </c>
      <c r="K422" s="4">
        <v>227613.7</v>
      </c>
      <c r="L422" s="4">
        <v>0</v>
      </c>
      <c r="M422" s="4">
        <v>262368.77</v>
      </c>
      <c r="N422" s="4">
        <v>163872.87</v>
      </c>
      <c r="O422" s="4">
        <v>117050.12</v>
      </c>
      <c r="P422" s="4">
        <v>535829.18999999994</v>
      </c>
      <c r="Q422" s="4">
        <v>158586.10999999999</v>
      </c>
      <c r="R422" s="4">
        <v>0</v>
      </c>
      <c r="S422" s="4">
        <v>149297.85999999999</v>
      </c>
      <c r="T422" s="4">
        <v>53838.31</v>
      </c>
      <c r="U422" s="4">
        <v>399.89</v>
      </c>
      <c r="V422" s="4">
        <v>870714.37</v>
      </c>
      <c r="W422" s="4">
        <v>17597516.489999998</v>
      </c>
      <c r="X422" s="4">
        <v>566543.42000000004</v>
      </c>
      <c r="Y422" s="4">
        <v>30011111.27</v>
      </c>
      <c r="Z422" s="4"/>
      <c r="AA422" s="4"/>
      <c r="AB422" s="4">
        <v>281797819.69</v>
      </c>
      <c r="AC422" s="4">
        <v>45304.21</v>
      </c>
      <c r="AD422" s="4">
        <v>1650857.49</v>
      </c>
      <c r="AE422" s="4">
        <v>121462.57</v>
      </c>
      <c r="AF422" s="4">
        <v>109153.15</v>
      </c>
      <c r="AG422" s="4">
        <v>164070.01999999999</v>
      </c>
      <c r="AH422" s="4">
        <v>299483.07</v>
      </c>
      <c r="AI422" s="4">
        <v>204985.86</v>
      </c>
      <c r="AJ422" s="4">
        <v>1012.89</v>
      </c>
      <c r="AK422" s="4">
        <v>604706.81999999995</v>
      </c>
      <c r="AL422" s="4">
        <v>0</v>
      </c>
      <c r="AM422" s="4">
        <v>18744.900000000001</v>
      </c>
      <c r="AN422" s="4">
        <v>0</v>
      </c>
      <c r="AO422" s="4">
        <v>578349.92000000004</v>
      </c>
      <c r="AP422" s="4">
        <v>0</v>
      </c>
      <c r="AQ422" s="4">
        <v>69399.53</v>
      </c>
      <c r="AR422" s="4">
        <v>837.58</v>
      </c>
      <c r="AS422" s="4">
        <v>0</v>
      </c>
      <c r="AT422" s="4">
        <v>34436.160000000003</v>
      </c>
      <c r="AU422" s="4">
        <v>514.75</v>
      </c>
      <c r="AV422" s="4">
        <v>853160.01</v>
      </c>
      <c r="AW422" s="4">
        <v>3183557.43</v>
      </c>
      <c r="AX422" s="4">
        <v>1830249.82</v>
      </c>
      <c r="AY422" s="4">
        <v>1219977.81</v>
      </c>
      <c r="AZ422" s="4"/>
      <c r="BA422" s="4"/>
      <c r="BB422" s="4">
        <f t="shared" si="66"/>
        <v>344874975.93999988</v>
      </c>
    </row>
    <row r="423" spans="1:54" x14ac:dyDescent="0.2">
      <c r="A423" s="3">
        <v>34881</v>
      </c>
      <c r="B423" s="4">
        <v>0</v>
      </c>
      <c r="C423" s="4">
        <v>0</v>
      </c>
      <c r="D423" s="4">
        <v>203754.74</v>
      </c>
      <c r="E423" s="4">
        <v>0</v>
      </c>
      <c r="F423" s="4">
        <v>182408.66</v>
      </c>
      <c r="G423" s="4">
        <v>168003.56</v>
      </c>
      <c r="H423" s="4">
        <v>0</v>
      </c>
      <c r="I423" s="4">
        <v>0</v>
      </c>
      <c r="J423" s="4">
        <v>245747.08</v>
      </c>
      <c r="K423" s="4">
        <v>119170.29</v>
      </c>
      <c r="L423" s="4">
        <v>0</v>
      </c>
      <c r="M423" s="4">
        <v>165868.46</v>
      </c>
      <c r="N423" s="4">
        <v>78931.789999999994</v>
      </c>
      <c r="O423" s="4">
        <v>73299.42</v>
      </c>
      <c r="P423" s="4">
        <v>417611.91</v>
      </c>
      <c r="Q423" s="4">
        <v>99685.2</v>
      </c>
      <c r="R423" s="4">
        <v>0</v>
      </c>
      <c r="S423" s="4">
        <v>82959.34</v>
      </c>
      <c r="T423" s="4">
        <v>9265.1</v>
      </c>
      <c r="U423" s="4">
        <v>0</v>
      </c>
      <c r="V423" s="4">
        <v>743027.48</v>
      </c>
      <c r="W423" s="4">
        <v>7082445.9400000004</v>
      </c>
      <c r="X423" s="4">
        <v>373490.95</v>
      </c>
      <c r="Y423" s="4">
        <v>19658037.239999998</v>
      </c>
      <c r="Z423" s="4"/>
      <c r="AA423" s="4"/>
      <c r="AB423" s="4">
        <v>176534310.06</v>
      </c>
      <c r="AC423" s="4">
        <v>45515.32</v>
      </c>
      <c r="AD423" s="4">
        <v>968140.64</v>
      </c>
      <c r="AE423" s="4">
        <v>80430.19</v>
      </c>
      <c r="AF423" s="4">
        <v>74415.899999999994</v>
      </c>
      <c r="AG423" s="4">
        <v>128934.96</v>
      </c>
      <c r="AH423" s="4">
        <v>227137.6</v>
      </c>
      <c r="AI423" s="4">
        <v>132099.19</v>
      </c>
      <c r="AJ423" s="4">
        <v>0</v>
      </c>
      <c r="AK423" s="4">
        <v>434580.12</v>
      </c>
      <c r="AL423" s="4">
        <v>0</v>
      </c>
      <c r="AM423" s="4">
        <v>10762.81</v>
      </c>
      <c r="AN423" s="4">
        <v>0</v>
      </c>
      <c r="AO423" s="4">
        <v>345595.7</v>
      </c>
      <c r="AP423" s="4">
        <v>0</v>
      </c>
      <c r="AQ423" s="4">
        <v>28314.39</v>
      </c>
      <c r="AR423" s="4">
        <v>0</v>
      </c>
      <c r="AS423" s="4">
        <v>0</v>
      </c>
      <c r="AT423" s="4">
        <v>17080.3</v>
      </c>
      <c r="AU423" s="4">
        <v>0</v>
      </c>
      <c r="AV423" s="4">
        <v>507768.08</v>
      </c>
      <c r="AW423" s="4">
        <v>1782717.19</v>
      </c>
      <c r="AX423" s="4">
        <v>1556580.74</v>
      </c>
      <c r="AY423" s="4">
        <v>1037625.94</v>
      </c>
      <c r="AZ423" s="4"/>
      <c r="BA423" s="4"/>
      <c r="BB423" s="4">
        <f t="shared" si="66"/>
        <v>213615716.28999999</v>
      </c>
    </row>
    <row r="424" spans="1:54" x14ac:dyDescent="0.2">
      <c r="A424" s="3">
        <v>34912</v>
      </c>
      <c r="B424" s="4">
        <v>0</v>
      </c>
      <c r="C424" s="4">
        <v>0</v>
      </c>
      <c r="D424" s="4">
        <v>190526.42</v>
      </c>
      <c r="E424" s="4">
        <v>0</v>
      </c>
      <c r="F424" s="4">
        <v>171564.45</v>
      </c>
      <c r="G424" s="4">
        <v>162974.76</v>
      </c>
      <c r="H424" s="4">
        <v>0</v>
      </c>
      <c r="I424" s="4">
        <v>0</v>
      </c>
      <c r="J424" s="4">
        <v>228674.98</v>
      </c>
      <c r="K424" s="4">
        <v>108508.22</v>
      </c>
      <c r="L424" s="4">
        <v>0</v>
      </c>
      <c r="M424" s="4">
        <v>159342.47</v>
      </c>
      <c r="N424" s="4">
        <v>78930.89</v>
      </c>
      <c r="O424" s="4">
        <v>69082.13</v>
      </c>
      <c r="P424" s="4">
        <v>383485.38</v>
      </c>
      <c r="Q424" s="4">
        <v>94776.76</v>
      </c>
      <c r="R424" s="4">
        <v>0</v>
      </c>
      <c r="S424" s="4">
        <v>77231.94</v>
      </c>
      <c r="T424" s="4">
        <v>6266.36</v>
      </c>
      <c r="U424" s="4">
        <v>0</v>
      </c>
      <c r="V424" s="4">
        <v>537566.78</v>
      </c>
      <c r="W424" s="4">
        <v>6623818.3700000001</v>
      </c>
      <c r="X424" s="4">
        <v>333935.14</v>
      </c>
      <c r="Y424" s="4">
        <v>18423925.359999999</v>
      </c>
      <c r="Z424" s="4"/>
      <c r="AA424" s="4"/>
      <c r="AB424" s="4">
        <v>168148937.99000001</v>
      </c>
      <c r="AC424" s="4">
        <v>46842.46</v>
      </c>
      <c r="AD424" s="4">
        <v>870491.9</v>
      </c>
      <c r="AE424" s="4">
        <v>75212.98</v>
      </c>
      <c r="AF424" s="4">
        <v>70510.990000000005</v>
      </c>
      <c r="AG424" s="4">
        <v>117475.57</v>
      </c>
      <c r="AH424" s="4">
        <v>211647.59</v>
      </c>
      <c r="AI424" s="4">
        <v>120437.92</v>
      </c>
      <c r="AJ424" s="4">
        <v>0</v>
      </c>
      <c r="AK424" s="4">
        <v>481397.85</v>
      </c>
      <c r="AL424" s="4">
        <v>0</v>
      </c>
      <c r="AM424" s="4">
        <v>18772.509999999998</v>
      </c>
      <c r="AN424" s="4">
        <v>0</v>
      </c>
      <c r="AO424" s="4">
        <v>323456.24</v>
      </c>
      <c r="AP424" s="4">
        <v>0</v>
      </c>
      <c r="AQ424" s="4">
        <v>27062.75</v>
      </c>
      <c r="AR424" s="4">
        <v>0</v>
      </c>
      <c r="AS424" s="4">
        <v>0</v>
      </c>
      <c r="AT424" s="4">
        <v>15915.93</v>
      </c>
      <c r="AU424" s="4">
        <v>0</v>
      </c>
      <c r="AV424" s="4">
        <v>472014.02</v>
      </c>
      <c r="AW424" s="4">
        <v>1659772.62</v>
      </c>
      <c r="AX424" s="4">
        <v>1464492.8</v>
      </c>
      <c r="AY424" s="4">
        <v>976204.13</v>
      </c>
      <c r="AZ424" s="4"/>
      <c r="BA424" s="4"/>
      <c r="BB424" s="4">
        <f t="shared" si="66"/>
        <v>202751256.66000003</v>
      </c>
    </row>
    <row r="425" spans="1:54" x14ac:dyDescent="0.2">
      <c r="A425" s="3">
        <v>34943</v>
      </c>
      <c r="B425" s="4">
        <v>0</v>
      </c>
      <c r="C425" s="4">
        <v>0</v>
      </c>
      <c r="D425" s="4">
        <v>282074.34000000003</v>
      </c>
      <c r="E425" s="4">
        <v>0</v>
      </c>
      <c r="F425" s="4">
        <v>307938.92</v>
      </c>
      <c r="G425" s="4">
        <v>341647.76</v>
      </c>
      <c r="H425" s="4">
        <v>0</v>
      </c>
      <c r="I425" s="4">
        <v>0</v>
      </c>
      <c r="J425" s="4">
        <v>417173.32</v>
      </c>
      <c r="K425" s="4">
        <v>173727.07</v>
      </c>
      <c r="L425" s="4">
        <v>634.87</v>
      </c>
      <c r="M425" s="4">
        <v>279802.67</v>
      </c>
      <c r="N425" s="4">
        <v>151595.28</v>
      </c>
      <c r="O425" s="4">
        <v>129144.5</v>
      </c>
      <c r="P425" s="4">
        <v>645848.93999999994</v>
      </c>
      <c r="Q425" s="4">
        <v>181036.41</v>
      </c>
      <c r="R425" s="4">
        <v>0</v>
      </c>
      <c r="S425" s="4">
        <v>184451.36</v>
      </c>
      <c r="T425" s="4">
        <v>98487.23</v>
      </c>
      <c r="U425" s="4">
        <v>2960.89</v>
      </c>
      <c r="V425" s="4">
        <v>895073.49</v>
      </c>
      <c r="W425" s="4">
        <v>19344863.210000001</v>
      </c>
      <c r="X425" s="4">
        <v>730099.53</v>
      </c>
      <c r="Y425" s="4">
        <v>30902842.02</v>
      </c>
      <c r="Z425" s="4"/>
      <c r="AA425" s="4"/>
      <c r="AB425" s="4">
        <v>276136495.33999997</v>
      </c>
      <c r="AC425" s="4">
        <v>52006.34</v>
      </c>
      <c r="AD425" s="4">
        <v>1992273.85</v>
      </c>
      <c r="AE425" s="4">
        <v>156263.07</v>
      </c>
      <c r="AF425" s="4">
        <v>108358.81</v>
      </c>
      <c r="AG425" s="4">
        <v>195005.3</v>
      </c>
      <c r="AH425" s="4">
        <v>425517.5</v>
      </c>
      <c r="AI425" s="4">
        <v>146428.10999999999</v>
      </c>
      <c r="AJ425" s="4">
        <v>56.74</v>
      </c>
      <c r="AK425" s="4">
        <v>626792.92000000004</v>
      </c>
      <c r="AL425" s="4">
        <v>0</v>
      </c>
      <c r="AM425" s="4">
        <v>17888.599999999999</v>
      </c>
      <c r="AN425" s="4">
        <v>0</v>
      </c>
      <c r="AO425" s="4">
        <v>608737.78</v>
      </c>
      <c r="AP425" s="4">
        <v>0</v>
      </c>
      <c r="AQ425" s="4">
        <v>81787.759999999995</v>
      </c>
      <c r="AR425" s="4">
        <v>368.64</v>
      </c>
      <c r="AS425" s="4">
        <v>0</v>
      </c>
      <c r="AT425" s="4">
        <v>30409.83</v>
      </c>
      <c r="AU425" s="4">
        <v>718.75</v>
      </c>
      <c r="AV425" s="4">
        <v>865490.17</v>
      </c>
      <c r="AW425" s="4">
        <v>3140221.79</v>
      </c>
      <c r="AX425" s="4">
        <v>1993414.85</v>
      </c>
      <c r="AY425" s="4">
        <v>1328829.04</v>
      </c>
      <c r="AZ425" s="4"/>
      <c r="BA425" s="4"/>
      <c r="BB425" s="4">
        <f t="shared" si="66"/>
        <v>342976467.00000006</v>
      </c>
    </row>
    <row r="426" spans="1:54" x14ac:dyDescent="0.2">
      <c r="A426" s="3">
        <v>34973</v>
      </c>
      <c r="B426" s="4">
        <v>0</v>
      </c>
      <c r="C426" s="4">
        <v>0</v>
      </c>
      <c r="D426" s="4">
        <v>200443.87</v>
      </c>
      <c r="E426" s="4">
        <v>0</v>
      </c>
      <c r="F426" s="4">
        <v>157445.29999999999</v>
      </c>
      <c r="G426" s="4">
        <v>173899.97</v>
      </c>
      <c r="H426" s="4">
        <v>0</v>
      </c>
      <c r="I426" s="4">
        <v>0</v>
      </c>
      <c r="J426" s="4">
        <v>205439.08</v>
      </c>
      <c r="K426" s="4">
        <v>107642.84</v>
      </c>
      <c r="L426" s="4">
        <v>0</v>
      </c>
      <c r="M426" s="4">
        <v>222445.24</v>
      </c>
      <c r="N426" s="4">
        <v>74562.98</v>
      </c>
      <c r="O426" s="4">
        <v>79758.77</v>
      </c>
      <c r="P426" s="4">
        <v>395427.03</v>
      </c>
      <c r="Q426" s="4">
        <v>91378.46</v>
      </c>
      <c r="R426" s="4">
        <v>0</v>
      </c>
      <c r="S426" s="4">
        <v>83211.56</v>
      </c>
      <c r="T426" s="4">
        <v>10810.02</v>
      </c>
      <c r="U426" s="4">
        <v>0</v>
      </c>
      <c r="V426" s="4">
        <v>534581.9</v>
      </c>
      <c r="W426" s="4">
        <v>7240520.7300000004</v>
      </c>
      <c r="X426" s="4">
        <v>302224.05</v>
      </c>
      <c r="Y426" s="4">
        <v>19336266.079999998</v>
      </c>
      <c r="Z426" s="4"/>
      <c r="AA426" s="4"/>
      <c r="AB426" s="4">
        <v>180273205.52000001</v>
      </c>
      <c r="AC426" s="4">
        <v>51353.06</v>
      </c>
      <c r="AD426" s="4">
        <v>859914.5</v>
      </c>
      <c r="AE426" s="4">
        <v>76565.490000000005</v>
      </c>
      <c r="AF426" s="4">
        <v>63714.19</v>
      </c>
      <c r="AG426" s="4">
        <v>115799.52</v>
      </c>
      <c r="AH426" s="4">
        <v>225699.39</v>
      </c>
      <c r="AI426" s="4">
        <v>87581.99</v>
      </c>
      <c r="AJ426" s="4">
        <v>0</v>
      </c>
      <c r="AK426" s="4">
        <v>555508.67000000004</v>
      </c>
      <c r="AL426" s="4">
        <v>0</v>
      </c>
      <c r="AM426" s="4">
        <v>19580.900000000001</v>
      </c>
      <c r="AN426" s="4">
        <v>0</v>
      </c>
      <c r="AO426" s="4">
        <v>383334.98</v>
      </c>
      <c r="AP426" s="4">
        <v>0</v>
      </c>
      <c r="AQ426" s="4">
        <v>30162.9</v>
      </c>
      <c r="AR426" s="4">
        <v>0</v>
      </c>
      <c r="AS426" s="4">
        <v>0</v>
      </c>
      <c r="AT426" s="4">
        <v>13958.04</v>
      </c>
      <c r="AU426" s="4">
        <v>0</v>
      </c>
      <c r="AV426" s="4">
        <v>503494.74</v>
      </c>
      <c r="AW426" s="4">
        <v>1833171.96</v>
      </c>
      <c r="AX426" s="4">
        <v>1530351.79</v>
      </c>
      <c r="AY426" s="4">
        <v>1020157.8</v>
      </c>
      <c r="AZ426" s="4"/>
      <c r="BA426" s="4"/>
      <c r="BB426" s="4">
        <f t="shared" si="66"/>
        <v>216859613.32000002</v>
      </c>
    </row>
    <row r="427" spans="1:54" x14ac:dyDescent="0.2">
      <c r="A427" s="3">
        <v>35004</v>
      </c>
      <c r="B427" s="4">
        <v>0</v>
      </c>
      <c r="C427" s="4">
        <v>0</v>
      </c>
      <c r="D427" s="4">
        <v>214496.24</v>
      </c>
      <c r="E427" s="4">
        <v>0</v>
      </c>
      <c r="F427" s="4">
        <v>164239.4</v>
      </c>
      <c r="G427" s="4">
        <v>160108.87</v>
      </c>
      <c r="H427" s="4">
        <v>0</v>
      </c>
      <c r="I427" s="4">
        <v>0</v>
      </c>
      <c r="J427" s="4">
        <v>213515.17</v>
      </c>
      <c r="K427" s="4">
        <v>104010.48</v>
      </c>
      <c r="L427" s="4">
        <v>0</v>
      </c>
      <c r="M427" s="4">
        <v>160729.81</v>
      </c>
      <c r="N427" s="4">
        <v>74745.61</v>
      </c>
      <c r="O427" s="4">
        <v>72812.45</v>
      </c>
      <c r="P427" s="4">
        <v>402635.08</v>
      </c>
      <c r="Q427" s="4">
        <v>94105.95</v>
      </c>
      <c r="R427" s="4">
        <v>0</v>
      </c>
      <c r="S427" s="4">
        <v>75506.48</v>
      </c>
      <c r="T427" s="4">
        <v>12663.28</v>
      </c>
      <c r="U427" s="4">
        <v>0</v>
      </c>
      <c r="V427" s="4">
        <v>536094.82999999996</v>
      </c>
      <c r="W427" s="4">
        <v>7210248.1600000001</v>
      </c>
      <c r="X427" s="4">
        <v>300249.90999999997</v>
      </c>
      <c r="Y427" s="4">
        <v>19407036.510000002</v>
      </c>
      <c r="Z427" s="4"/>
      <c r="AA427" s="4"/>
      <c r="AB427" s="4">
        <v>180875599.47</v>
      </c>
      <c r="AC427" s="4">
        <v>56549.39</v>
      </c>
      <c r="AD427" s="4">
        <v>857289.3</v>
      </c>
      <c r="AE427" s="4">
        <v>75412.63</v>
      </c>
      <c r="AF427" s="4">
        <v>66861.03</v>
      </c>
      <c r="AG427" s="4">
        <v>119269.88</v>
      </c>
      <c r="AH427" s="4">
        <v>220372.02</v>
      </c>
      <c r="AI427" s="4">
        <v>130975.85</v>
      </c>
      <c r="AJ427" s="4">
        <v>0</v>
      </c>
      <c r="AK427" s="4">
        <v>526545.87</v>
      </c>
      <c r="AL427" s="4">
        <v>0</v>
      </c>
      <c r="AM427" s="4">
        <v>19745.830000000002</v>
      </c>
      <c r="AN427" s="4">
        <v>0</v>
      </c>
      <c r="AO427" s="4">
        <v>384867.01</v>
      </c>
      <c r="AP427" s="4">
        <v>0</v>
      </c>
      <c r="AQ427" s="4">
        <v>25339.53</v>
      </c>
      <c r="AR427" s="4">
        <v>0</v>
      </c>
      <c r="AS427" s="4">
        <v>0</v>
      </c>
      <c r="AT427" s="4">
        <v>15219.76</v>
      </c>
      <c r="AU427" s="4">
        <v>0</v>
      </c>
      <c r="AV427" s="4">
        <v>509249.53</v>
      </c>
      <c r="AW427" s="4">
        <v>1935891.15</v>
      </c>
      <c r="AX427" s="4">
        <v>1537409.31</v>
      </c>
      <c r="AY427" s="4">
        <v>1024894.44</v>
      </c>
      <c r="AZ427" s="4"/>
      <c r="BA427" s="4"/>
      <c r="BB427" s="4">
        <f t="shared" si="66"/>
        <v>217584690.22999999</v>
      </c>
    </row>
    <row r="428" spans="1:54" x14ac:dyDescent="0.2">
      <c r="A428" s="3">
        <v>35034</v>
      </c>
      <c r="B428" s="4">
        <v>24577.75</v>
      </c>
      <c r="C428" s="4">
        <v>0</v>
      </c>
      <c r="D428" s="4">
        <v>231786.18</v>
      </c>
      <c r="E428" s="4">
        <v>0</v>
      </c>
      <c r="F428" s="4">
        <v>329671.84999999998</v>
      </c>
      <c r="G428" s="4">
        <v>327570.36</v>
      </c>
      <c r="H428" s="4">
        <v>0</v>
      </c>
      <c r="I428" s="4">
        <v>1830.95</v>
      </c>
      <c r="J428" s="4">
        <v>663491.68999999994</v>
      </c>
      <c r="K428" s="4">
        <v>240006.94</v>
      </c>
      <c r="L428" s="4">
        <v>97.08</v>
      </c>
      <c r="M428" s="4">
        <v>327992.46999999997</v>
      </c>
      <c r="N428" s="4">
        <v>173038.68</v>
      </c>
      <c r="O428" s="4">
        <v>207041.31</v>
      </c>
      <c r="P428" s="4">
        <v>764165.38</v>
      </c>
      <c r="Q428" s="4">
        <v>215533.45</v>
      </c>
      <c r="R428" s="4">
        <v>0</v>
      </c>
      <c r="S428" s="4">
        <v>211580.25</v>
      </c>
      <c r="T428" s="4">
        <v>78362.75</v>
      </c>
      <c r="U428" s="4">
        <v>5953.55</v>
      </c>
      <c r="V428" s="4">
        <v>1063801.46</v>
      </c>
      <c r="W428" s="4">
        <v>18902416.899999999</v>
      </c>
      <c r="X428" s="4">
        <v>582210.66</v>
      </c>
      <c r="Y428" s="4">
        <v>32091902.620000001</v>
      </c>
      <c r="Z428" s="4"/>
      <c r="AA428" s="4"/>
      <c r="AB428" s="4">
        <v>298652316.45999998</v>
      </c>
      <c r="AC428" s="4">
        <v>80073</v>
      </c>
      <c r="AD428" s="4">
        <v>1554124.57</v>
      </c>
      <c r="AE428" s="4">
        <v>128989.54</v>
      </c>
      <c r="AF428" s="4">
        <v>118068.94</v>
      </c>
      <c r="AG428" s="4">
        <v>192851.01</v>
      </c>
      <c r="AH428" s="4">
        <v>407945.86</v>
      </c>
      <c r="AI428" s="4">
        <v>179438.53</v>
      </c>
      <c r="AJ428" s="4">
        <v>1253.1500000000001</v>
      </c>
      <c r="AK428" s="4">
        <v>605699.73</v>
      </c>
      <c r="AL428" s="4">
        <v>0</v>
      </c>
      <c r="AM428" s="4">
        <v>33942.99</v>
      </c>
      <c r="AN428" s="4">
        <v>0</v>
      </c>
      <c r="AO428" s="4">
        <v>525212.12</v>
      </c>
      <c r="AP428" s="4">
        <v>0</v>
      </c>
      <c r="AQ428" s="4">
        <v>63991.92</v>
      </c>
      <c r="AR428" s="4">
        <v>577.34</v>
      </c>
      <c r="AS428" s="4">
        <v>0</v>
      </c>
      <c r="AT428" s="4">
        <v>38472.04</v>
      </c>
      <c r="AU428" s="4">
        <v>381.68</v>
      </c>
      <c r="AV428" s="4">
        <v>902843.72</v>
      </c>
      <c r="AW428" s="4">
        <v>3699077.11</v>
      </c>
      <c r="AX428" s="4">
        <v>2214589.59</v>
      </c>
      <c r="AY428" s="4">
        <v>1476298.97</v>
      </c>
      <c r="AZ428" s="4"/>
      <c r="BA428" s="4"/>
      <c r="BB428" s="4">
        <f t="shared" si="66"/>
        <v>367319180.55000007</v>
      </c>
    </row>
    <row r="429" spans="1:54" ht="15.75" thickBot="1" x14ac:dyDescent="0.25">
      <c r="A429" s="1" t="s">
        <v>10</v>
      </c>
      <c r="B429" s="5">
        <f t="shared" ref="B429:AY429" si="67">SUM(B417:B428)</f>
        <v>35649.1</v>
      </c>
      <c r="C429" s="5">
        <f t="shared" si="67"/>
        <v>0</v>
      </c>
      <c r="D429" s="5">
        <f t="shared" si="67"/>
        <v>2702175.1</v>
      </c>
      <c r="E429" s="5">
        <f t="shared" si="67"/>
        <v>0</v>
      </c>
      <c r="F429" s="5">
        <f t="shared" si="67"/>
        <v>2518683.19</v>
      </c>
      <c r="G429" s="5">
        <f t="shared" si="67"/>
        <v>2435657.52</v>
      </c>
      <c r="H429" s="5">
        <f t="shared" si="67"/>
        <v>543401.64</v>
      </c>
      <c r="I429" s="5">
        <f t="shared" si="67"/>
        <v>13300.95</v>
      </c>
      <c r="J429" s="5">
        <f t="shared" si="67"/>
        <v>3503874.87</v>
      </c>
      <c r="K429" s="5">
        <f t="shared" si="67"/>
        <v>1731000.07</v>
      </c>
      <c r="L429" s="5">
        <f t="shared" si="67"/>
        <v>844</v>
      </c>
      <c r="M429" s="5">
        <f t="shared" si="67"/>
        <v>2459112.66</v>
      </c>
      <c r="N429" s="5">
        <f t="shared" si="67"/>
        <v>1276894.93</v>
      </c>
      <c r="O429" s="5">
        <f t="shared" si="67"/>
        <v>1257954.6900000002</v>
      </c>
      <c r="P429" s="5">
        <f t="shared" si="67"/>
        <v>5436133.4500000002</v>
      </c>
      <c r="Q429" s="5">
        <f t="shared" si="67"/>
        <v>1435971.89</v>
      </c>
      <c r="R429" s="5">
        <f t="shared" si="67"/>
        <v>0</v>
      </c>
      <c r="S429" s="5">
        <f t="shared" si="67"/>
        <v>1410999.9699999997</v>
      </c>
      <c r="T429" s="5">
        <f t="shared" si="67"/>
        <v>363904.46</v>
      </c>
      <c r="U429" s="5">
        <f t="shared" si="67"/>
        <v>10784.220000000001</v>
      </c>
      <c r="V429" s="5">
        <f t="shared" si="67"/>
        <v>8387433.620000001</v>
      </c>
      <c r="W429" s="5">
        <f t="shared" si="67"/>
        <v>129642043.34999999</v>
      </c>
      <c r="X429" s="5">
        <f t="shared" si="67"/>
        <v>4895508.5100000007</v>
      </c>
      <c r="Y429" s="5">
        <f t="shared" si="67"/>
        <v>272615720.23000002</v>
      </c>
      <c r="Z429" s="5"/>
      <c r="AA429" s="5"/>
      <c r="AB429" s="5">
        <f t="shared" si="67"/>
        <v>2564520090.9899998</v>
      </c>
      <c r="AC429" s="5">
        <f t="shared" si="67"/>
        <v>692067.66</v>
      </c>
      <c r="AD429" s="5">
        <f t="shared" si="67"/>
        <v>13265109.630000003</v>
      </c>
      <c r="AE429" s="5">
        <f t="shared" si="67"/>
        <v>1259317.2400000002</v>
      </c>
      <c r="AF429" s="5">
        <f t="shared" si="67"/>
        <v>1019734.69</v>
      </c>
      <c r="AG429" s="5">
        <f t="shared" si="67"/>
        <v>1602020.4000000001</v>
      </c>
      <c r="AH429" s="5">
        <f t="shared" si="67"/>
        <v>3077972.6300000004</v>
      </c>
      <c r="AI429" s="5">
        <f t="shared" si="67"/>
        <v>1710069.5100000002</v>
      </c>
      <c r="AJ429" s="5">
        <f t="shared" si="67"/>
        <v>3197.59</v>
      </c>
      <c r="AK429" s="5">
        <f t="shared" si="67"/>
        <v>6175986.6699999999</v>
      </c>
      <c r="AL429" s="5">
        <f t="shared" si="67"/>
        <v>0</v>
      </c>
      <c r="AM429" s="5">
        <f t="shared" si="67"/>
        <v>272294.15999999997</v>
      </c>
      <c r="AN429" s="5">
        <f t="shared" si="67"/>
        <v>0</v>
      </c>
      <c r="AO429" s="5">
        <f t="shared" si="67"/>
        <v>5044583.4000000004</v>
      </c>
      <c r="AP429" s="5">
        <f t="shared" si="67"/>
        <v>0</v>
      </c>
      <c r="AQ429" s="5">
        <f t="shared" si="67"/>
        <v>487245.82</v>
      </c>
      <c r="AR429" s="5">
        <f t="shared" si="67"/>
        <v>2314.1400000000003</v>
      </c>
      <c r="AS429" s="5">
        <f t="shared" si="67"/>
        <v>0</v>
      </c>
      <c r="AT429" s="5">
        <f t="shared" si="67"/>
        <v>248823.75</v>
      </c>
      <c r="AU429" s="5">
        <f t="shared" si="67"/>
        <v>1970.1100000000001</v>
      </c>
      <c r="AV429" s="5">
        <f t="shared" si="67"/>
        <v>7016864.3599999994</v>
      </c>
      <c r="AW429" s="5">
        <f t="shared" si="67"/>
        <v>26861538.939999998</v>
      </c>
      <c r="AX429" s="5">
        <f t="shared" si="67"/>
        <v>20294065.469999999</v>
      </c>
      <c r="AY429" s="5">
        <f t="shared" si="67"/>
        <v>13528392.670000002</v>
      </c>
      <c r="AZ429" s="5"/>
      <c r="BA429" s="5"/>
      <c r="BB429" s="5">
        <f t="shared" si="66"/>
        <v>3109760708.2500005</v>
      </c>
    </row>
    <row r="430" spans="1:54" ht="15.75" thickTop="1" x14ac:dyDescent="0.2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</row>
    <row r="431" spans="1:54" x14ac:dyDescent="0.2">
      <c r="A431" s="3">
        <v>34335</v>
      </c>
      <c r="B431" s="4">
        <v>96041.1</v>
      </c>
      <c r="C431" s="4">
        <v>0</v>
      </c>
      <c r="D431" s="4">
        <v>217740.64</v>
      </c>
      <c r="E431" s="4">
        <v>0</v>
      </c>
      <c r="F431" s="4">
        <v>125368.49</v>
      </c>
      <c r="G431" s="4">
        <v>164960.31</v>
      </c>
      <c r="H431" s="4">
        <v>190398.68</v>
      </c>
      <c r="I431" s="4">
        <v>0</v>
      </c>
      <c r="J431" s="4">
        <v>243202.81</v>
      </c>
      <c r="K431" s="4">
        <v>112197.71</v>
      </c>
      <c r="L431" s="4">
        <v>0</v>
      </c>
      <c r="M431" s="4">
        <v>198430.91</v>
      </c>
      <c r="N431" s="4">
        <v>74239.520000000004</v>
      </c>
      <c r="O431" s="4">
        <v>105993.78</v>
      </c>
      <c r="P431" s="4">
        <v>364815.63</v>
      </c>
      <c r="Q431" s="4">
        <v>96686.35</v>
      </c>
      <c r="R431" s="4">
        <v>0</v>
      </c>
      <c r="S431" s="4">
        <v>112727.33</v>
      </c>
      <c r="T431" s="4">
        <v>11737.14</v>
      </c>
      <c r="U431" s="4">
        <v>0</v>
      </c>
      <c r="V431" s="4">
        <v>650429.03</v>
      </c>
      <c r="W431" s="4">
        <v>7488752.1299999999</v>
      </c>
      <c r="X431" s="4">
        <v>387620.47</v>
      </c>
      <c r="Y431" s="4">
        <v>20266960.690000001</v>
      </c>
      <c r="Z431" s="4"/>
      <c r="AA431" s="4"/>
      <c r="AB431" s="4">
        <v>202880298.19999999</v>
      </c>
      <c r="AC431" s="4">
        <v>94125.5</v>
      </c>
      <c r="AD431" s="4">
        <v>792471.87</v>
      </c>
      <c r="AE431" s="4">
        <v>133983.51</v>
      </c>
      <c r="AF431" s="4">
        <v>86457.21</v>
      </c>
      <c r="AG431" s="4">
        <v>122776.01</v>
      </c>
      <c r="AH431" s="4">
        <v>246393.14</v>
      </c>
      <c r="AI431" s="4">
        <v>139768.99</v>
      </c>
      <c r="AJ431" s="4">
        <v>0</v>
      </c>
      <c r="AK431" s="4">
        <v>527277.53</v>
      </c>
      <c r="AL431" s="4">
        <v>0</v>
      </c>
      <c r="AM431" s="4">
        <v>35185.18</v>
      </c>
      <c r="AN431" s="4">
        <v>0</v>
      </c>
      <c r="AO431" s="4">
        <v>350965.81</v>
      </c>
      <c r="AP431" s="4">
        <v>0</v>
      </c>
      <c r="AQ431" s="4">
        <v>33656.81</v>
      </c>
      <c r="AR431" s="4">
        <v>0</v>
      </c>
      <c r="AS431" s="4">
        <v>0</v>
      </c>
      <c r="AT431" s="4">
        <v>13869.09</v>
      </c>
      <c r="AU431" s="4">
        <v>0</v>
      </c>
      <c r="AV431" s="4">
        <v>537383.56999999995</v>
      </c>
      <c r="AW431" s="4">
        <v>2022364.11</v>
      </c>
      <c r="AX431" s="4">
        <v>1741258.01</v>
      </c>
      <c r="AY431" s="4">
        <v>1160901.58</v>
      </c>
      <c r="AZ431" s="4"/>
      <c r="BA431" s="4"/>
      <c r="BB431" s="4">
        <f t="shared" ref="BB431:BB443" si="68">SUM(B431:AY431)</f>
        <v>241827438.84</v>
      </c>
    </row>
    <row r="432" spans="1:54" x14ac:dyDescent="0.2">
      <c r="A432" s="3">
        <v>34366</v>
      </c>
      <c r="B432" s="4">
        <v>75517.83</v>
      </c>
      <c r="C432" s="4">
        <v>0</v>
      </c>
      <c r="D432" s="4">
        <v>172121.52</v>
      </c>
      <c r="E432" s="4">
        <v>0</v>
      </c>
      <c r="F432" s="4">
        <v>94379.08</v>
      </c>
      <c r="G432" s="4">
        <v>126390.48</v>
      </c>
      <c r="H432" s="4">
        <v>144639.67999999999</v>
      </c>
      <c r="I432" s="4">
        <v>0</v>
      </c>
      <c r="J432" s="4">
        <v>181010.7</v>
      </c>
      <c r="K432" s="4">
        <v>85692.33</v>
      </c>
      <c r="L432" s="4">
        <v>0</v>
      </c>
      <c r="M432" s="4">
        <v>145260.74</v>
      </c>
      <c r="N432" s="4">
        <v>59515.34</v>
      </c>
      <c r="O432" s="4">
        <v>75898.720000000001</v>
      </c>
      <c r="P432" s="4">
        <v>284375.62</v>
      </c>
      <c r="Q432" s="4">
        <v>74365.25</v>
      </c>
      <c r="R432" s="4">
        <v>0</v>
      </c>
      <c r="S432" s="4">
        <v>83628.789999999994</v>
      </c>
      <c r="T432" s="4">
        <v>10077.74</v>
      </c>
      <c r="U432" s="4">
        <v>0</v>
      </c>
      <c r="V432" s="4">
        <v>485801.19</v>
      </c>
      <c r="W432" s="4">
        <v>5519933.4000000004</v>
      </c>
      <c r="X432" s="4">
        <v>296713.18</v>
      </c>
      <c r="Y432" s="4">
        <v>15314114.970000001</v>
      </c>
      <c r="Z432" s="4"/>
      <c r="AA432" s="4"/>
      <c r="AB432" s="4">
        <v>153284736.59999999</v>
      </c>
      <c r="AC432" s="4">
        <v>71465.14</v>
      </c>
      <c r="AD432" s="4">
        <v>580603.43999999994</v>
      </c>
      <c r="AE432" s="4">
        <v>101784.87</v>
      </c>
      <c r="AF432" s="4">
        <v>66359.53</v>
      </c>
      <c r="AG432" s="4">
        <v>93430.55</v>
      </c>
      <c r="AH432" s="4">
        <v>189739.97</v>
      </c>
      <c r="AI432" s="4">
        <v>110192.87</v>
      </c>
      <c r="AJ432" s="4">
        <v>0</v>
      </c>
      <c r="AK432" s="4">
        <v>403283.44</v>
      </c>
      <c r="AL432" s="4">
        <v>0</v>
      </c>
      <c r="AM432" s="4">
        <v>26736.35</v>
      </c>
      <c r="AN432" s="4">
        <v>0</v>
      </c>
      <c r="AO432" s="4">
        <v>257804.67</v>
      </c>
      <c r="AP432" s="4">
        <v>0</v>
      </c>
      <c r="AQ432" s="4">
        <v>28858.639999999999</v>
      </c>
      <c r="AR432" s="4">
        <v>0</v>
      </c>
      <c r="AS432" s="4">
        <v>0</v>
      </c>
      <c r="AT432" s="4">
        <v>10435.31</v>
      </c>
      <c r="AU432" s="4">
        <v>0</v>
      </c>
      <c r="AV432" s="4">
        <v>385193.22</v>
      </c>
      <c r="AW432" s="4">
        <v>1531653.63</v>
      </c>
      <c r="AX432" s="4">
        <v>1307120.46</v>
      </c>
      <c r="AY432" s="4">
        <v>871453.4</v>
      </c>
      <c r="AZ432" s="4"/>
      <c r="BA432" s="4"/>
      <c r="BB432" s="4">
        <f t="shared" si="68"/>
        <v>182550288.64999998</v>
      </c>
    </row>
    <row r="433" spans="1:54" x14ac:dyDescent="0.2">
      <c r="A433" s="3">
        <v>34394</v>
      </c>
      <c r="B433" s="4">
        <v>169602.87</v>
      </c>
      <c r="C433" s="4">
        <v>0</v>
      </c>
      <c r="D433" s="4">
        <v>235489.19</v>
      </c>
      <c r="E433" s="4">
        <v>0</v>
      </c>
      <c r="F433" s="4">
        <v>286706.24</v>
      </c>
      <c r="G433" s="4">
        <v>241122.54</v>
      </c>
      <c r="H433" s="4">
        <v>445373.29</v>
      </c>
      <c r="I433" s="4">
        <v>0</v>
      </c>
      <c r="J433" s="4">
        <v>471257.7</v>
      </c>
      <c r="K433" s="4">
        <v>231999.65</v>
      </c>
      <c r="L433" s="4">
        <v>1340.33</v>
      </c>
      <c r="M433" s="4">
        <v>205557.62</v>
      </c>
      <c r="N433" s="4">
        <v>139881.81</v>
      </c>
      <c r="O433" s="4">
        <v>95637.47</v>
      </c>
      <c r="P433" s="4">
        <v>571463.23</v>
      </c>
      <c r="Q433" s="4">
        <v>143078.35</v>
      </c>
      <c r="R433" s="4">
        <v>0</v>
      </c>
      <c r="S433" s="4">
        <v>149814.84</v>
      </c>
      <c r="T433" s="4">
        <v>46679.4</v>
      </c>
      <c r="U433" s="4">
        <v>0.84</v>
      </c>
      <c r="V433" s="4">
        <v>804880.14</v>
      </c>
      <c r="W433" s="4">
        <v>15098147.960000001</v>
      </c>
      <c r="X433" s="4">
        <v>420430.7</v>
      </c>
      <c r="Y433" s="4">
        <v>24410682.510000002</v>
      </c>
      <c r="Z433" s="4"/>
      <c r="AA433" s="4"/>
      <c r="AB433" s="4">
        <v>240637861.91</v>
      </c>
      <c r="AC433" s="4">
        <v>60658.82</v>
      </c>
      <c r="AD433" s="4">
        <v>1217827.53</v>
      </c>
      <c r="AE433" s="4">
        <v>138765.81</v>
      </c>
      <c r="AF433" s="4">
        <v>98000.8</v>
      </c>
      <c r="AG433" s="4">
        <v>184509.63</v>
      </c>
      <c r="AH433" s="4">
        <v>329995.78000000003</v>
      </c>
      <c r="AI433" s="4">
        <v>229018.76</v>
      </c>
      <c r="AJ433" s="4">
        <v>0</v>
      </c>
      <c r="AK433" s="4">
        <v>625768.94999999995</v>
      </c>
      <c r="AL433" s="4">
        <v>0</v>
      </c>
      <c r="AM433" s="4">
        <v>37705.949999999997</v>
      </c>
      <c r="AN433" s="4">
        <v>0</v>
      </c>
      <c r="AO433" s="4">
        <v>527186.53</v>
      </c>
      <c r="AP433" s="4">
        <v>0</v>
      </c>
      <c r="AQ433" s="4">
        <v>61580.88</v>
      </c>
      <c r="AR433" s="4">
        <v>3871.13</v>
      </c>
      <c r="AS433" s="4">
        <v>23576.84</v>
      </c>
      <c r="AT433" s="4">
        <v>16826.82</v>
      </c>
      <c r="AU433" s="4">
        <v>324.29000000000002</v>
      </c>
      <c r="AV433" s="4">
        <v>727092.01</v>
      </c>
      <c r="AW433" s="4">
        <v>1672053.27</v>
      </c>
      <c r="AX433" s="4">
        <v>2221125.56</v>
      </c>
      <c r="AY433" s="4">
        <v>1480508.85</v>
      </c>
      <c r="AZ433" s="4"/>
      <c r="BA433" s="4"/>
      <c r="BB433" s="4">
        <f t="shared" si="68"/>
        <v>294463406.79999983</v>
      </c>
    </row>
    <row r="434" spans="1:54" x14ac:dyDescent="0.2">
      <c r="A434" s="3">
        <v>34425</v>
      </c>
      <c r="B434" s="4">
        <v>109199.26</v>
      </c>
      <c r="C434" s="4">
        <v>0</v>
      </c>
      <c r="D434" s="4">
        <v>200532.52</v>
      </c>
      <c r="E434" s="4">
        <v>0</v>
      </c>
      <c r="F434" s="4">
        <v>168844.7</v>
      </c>
      <c r="G434" s="4">
        <v>93704.25</v>
      </c>
      <c r="H434" s="4">
        <v>191057.78</v>
      </c>
      <c r="I434" s="4">
        <v>0</v>
      </c>
      <c r="J434" s="4">
        <v>232377.4</v>
      </c>
      <c r="K434" s="4">
        <v>104774.7</v>
      </c>
      <c r="L434" s="4">
        <v>0</v>
      </c>
      <c r="M434" s="4">
        <v>178750.54</v>
      </c>
      <c r="N434" s="4">
        <v>85555.28</v>
      </c>
      <c r="O434" s="4">
        <v>90914.43</v>
      </c>
      <c r="P434" s="4">
        <v>346424.17</v>
      </c>
      <c r="Q434" s="4">
        <v>101196.73</v>
      </c>
      <c r="R434" s="4">
        <v>0</v>
      </c>
      <c r="S434" s="4">
        <v>91205.51</v>
      </c>
      <c r="T434" s="4">
        <v>22551.41</v>
      </c>
      <c r="U434" s="4">
        <v>0</v>
      </c>
      <c r="V434" s="4">
        <v>561816.80000000005</v>
      </c>
      <c r="W434" s="4">
        <v>7823609.3300000001</v>
      </c>
      <c r="X434" s="4">
        <v>299363.08</v>
      </c>
      <c r="Y434" s="4">
        <v>17891620.23</v>
      </c>
      <c r="Z434" s="4"/>
      <c r="AA434" s="4"/>
      <c r="AB434" s="4">
        <v>174082132.03999999</v>
      </c>
      <c r="AC434" s="4">
        <v>65172.51</v>
      </c>
      <c r="AD434" s="4">
        <v>692383.05</v>
      </c>
      <c r="AE434" s="4">
        <v>93619.41</v>
      </c>
      <c r="AF434" s="4">
        <v>77412.800000000003</v>
      </c>
      <c r="AG434" s="4">
        <v>131507.73000000001</v>
      </c>
      <c r="AH434" s="4">
        <v>206381.11</v>
      </c>
      <c r="AI434" s="4">
        <v>130737.68</v>
      </c>
      <c r="AJ434" s="4">
        <v>0</v>
      </c>
      <c r="AK434" s="4">
        <v>469530</v>
      </c>
      <c r="AL434" s="4">
        <v>0</v>
      </c>
      <c r="AM434" s="4">
        <v>25228.1</v>
      </c>
      <c r="AN434" s="4">
        <v>0</v>
      </c>
      <c r="AO434" s="4">
        <v>319908.63</v>
      </c>
      <c r="AP434" s="4">
        <v>0</v>
      </c>
      <c r="AQ434" s="4">
        <v>33703.230000000003</v>
      </c>
      <c r="AR434" s="4">
        <v>0</v>
      </c>
      <c r="AS434" s="4">
        <v>0</v>
      </c>
      <c r="AT434" s="4">
        <v>13715.2</v>
      </c>
      <c r="AU434" s="4">
        <v>0</v>
      </c>
      <c r="AV434" s="4">
        <v>494430.97</v>
      </c>
      <c r="AW434" s="4">
        <v>1578269.38</v>
      </c>
      <c r="AX434" s="4">
        <v>1482005.7</v>
      </c>
      <c r="AY434" s="4">
        <v>987509.4</v>
      </c>
      <c r="AZ434" s="4"/>
      <c r="BA434" s="4"/>
      <c r="BB434" s="4">
        <f t="shared" si="68"/>
        <v>209477145.05999997</v>
      </c>
    </row>
    <row r="435" spans="1:54" x14ac:dyDescent="0.2">
      <c r="A435" s="3">
        <v>34455</v>
      </c>
      <c r="B435" s="4">
        <v>99188.75</v>
      </c>
      <c r="C435" s="4">
        <v>0</v>
      </c>
      <c r="D435" s="4">
        <v>207251.21</v>
      </c>
      <c r="E435" s="4">
        <v>0</v>
      </c>
      <c r="F435" s="4">
        <v>129821.97</v>
      </c>
      <c r="G435" s="4">
        <v>134081.81</v>
      </c>
      <c r="H435" s="4">
        <v>189819.74</v>
      </c>
      <c r="I435" s="4">
        <v>0</v>
      </c>
      <c r="J435" s="4">
        <v>262902.28999999998</v>
      </c>
      <c r="K435" s="4">
        <v>104600.9</v>
      </c>
      <c r="L435" s="4">
        <v>0</v>
      </c>
      <c r="M435" s="4">
        <v>192158.79</v>
      </c>
      <c r="N435" s="4">
        <v>94336.2</v>
      </c>
      <c r="O435" s="4">
        <v>92221.61</v>
      </c>
      <c r="P435" s="4">
        <v>340252.92</v>
      </c>
      <c r="Q435" s="4">
        <v>102253</v>
      </c>
      <c r="R435" s="4">
        <v>0</v>
      </c>
      <c r="S435" s="4">
        <v>96319.26</v>
      </c>
      <c r="T435" s="4">
        <v>11006.07</v>
      </c>
      <c r="U435" s="4">
        <v>0</v>
      </c>
      <c r="V435" s="4">
        <v>554723.24</v>
      </c>
      <c r="W435" s="4">
        <v>6948704.3799999999</v>
      </c>
      <c r="X435" s="4">
        <v>313106.92</v>
      </c>
      <c r="Y435" s="4">
        <v>17736483.420000002</v>
      </c>
      <c r="Z435" s="4"/>
      <c r="AA435" s="4"/>
      <c r="AB435" s="4">
        <v>171254627.99000001</v>
      </c>
      <c r="AC435" s="4">
        <v>69092.820000000007</v>
      </c>
      <c r="AD435" s="4">
        <v>682680.95</v>
      </c>
      <c r="AE435" s="4">
        <v>97728.57</v>
      </c>
      <c r="AF435" s="4">
        <v>74309.919999999998</v>
      </c>
      <c r="AG435" s="4">
        <v>124330.62</v>
      </c>
      <c r="AH435" s="4">
        <v>213580.13</v>
      </c>
      <c r="AI435" s="4">
        <v>138985.9</v>
      </c>
      <c r="AJ435" s="4">
        <v>0</v>
      </c>
      <c r="AK435" s="4">
        <v>478084.94</v>
      </c>
      <c r="AL435" s="4">
        <v>0</v>
      </c>
      <c r="AM435" s="4">
        <v>26396.19</v>
      </c>
      <c r="AN435" s="4">
        <v>0</v>
      </c>
      <c r="AO435" s="4">
        <v>332077.44</v>
      </c>
      <c r="AP435" s="4">
        <v>0</v>
      </c>
      <c r="AQ435" s="4">
        <v>35980.93</v>
      </c>
      <c r="AR435" s="4">
        <v>0</v>
      </c>
      <c r="AS435" s="4">
        <v>0</v>
      </c>
      <c r="AT435" s="4">
        <v>14165.74</v>
      </c>
      <c r="AU435" s="4">
        <v>0</v>
      </c>
      <c r="AV435" s="4">
        <v>539668.86</v>
      </c>
      <c r="AW435" s="4">
        <v>1631944.62</v>
      </c>
      <c r="AX435" s="4">
        <v>1473767.69</v>
      </c>
      <c r="AY435" s="4">
        <v>982532.72</v>
      </c>
      <c r="AZ435" s="4"/>
      <c r="BA435" s="4"/>
      <c r="BB435" s="4">
        <f t="shared" si="68"/>
        <v>205779188.51000002</v>
      </c>
    </row>
    <row r="436" spans="1:54" x14ac:dyDescent="0.2">
      <c r="A436" s="3">
        <v>34486</v>
      </c>
      <c r="B436" s="4">
        <v>128899</v>
      </c>
      <c r="C436" s="4">
        <v>0</v>
      </c>
      <c r="D436" s="4">
        <v>287893.96999999997</v>
      </c>
      <c r="E436" s="4">
        <v>0</v>
      </c>
      <c r="F436" s="4">
        <v>313765.83</v>
      </c>
      <c r="G436" s="4">
        <v>263337.46999999997</v>
      </c>
      <c r="H436" s="4">
        <v>307090.49</v>
      </c>
      <c r="I436" s="4">
        <v>0</v>
      </c>
      <c r="J436" s="4">
        <v>379628.34</v>
      </c>
      <c r="K436" s="4">
        <v>229365.89</v>
      </c>
      <c r="L436" s="4">
        <v>0</v>
      </c>
      <c r="M436" s="4">
        <v>233213.1</v>
      </c>
      <c r="N436" s="4">
        <v>131714.67000000001</v>
      </c>
      <c r="O436" s="4">
        <v>102447.21</v>
      </c>
      <c r="P436" s="4">
        <v>730404.2</v>
      </c>
      <c r="Q436" s="4">
        <v>141457.96</v>
      </c>
      <c r="R436" s="4">
        <v>0</v>
      </c>
      <c r="S436" s="4">
        <v>205456.55</v>
      </c>
      <c r="T436" s="4">
        <v>62434.81</v>
      </c>
      <c r="U436" s="4">
        <v>65.680000000000007</v>
      </c>
      <c r="V436" s="4">
        <v>1036620.27</v>
      </c>
      <c r="W436" s="4">
        <v>11856478.77</v>
      </c>
      <c r="X436" s="4">
        <v>821964.41</v>
      </c>
      <c r="Y436" s="4">
        <v>28050714.16</v>
      </c>
      <c r="Z436" s="4"/>
      <c r="AA436" s="4"/>
      <c r="AB436" s="4">
        <v>264206536.5</v>
      </c>
      <c r="AC436" s="4">
        <v>82552.240000000005</v>
      </c>
      <c r="AD436" s="4">
        <v>1428957.28</v>
      </c>
      <c r="AE436" s="4">
        <v>142009.91</v>
      </c>
      <c r="AF436" s="4">
        <v>134480.41</v>
      </c>
      <c r="AG436" s="4">
        <v>135118.75</v>
      </c>
      <c r="AH436" s="4">
        <v>355803.67</v>
      </c>
      <c r="AI436" s="4">
        <v>148837.93</v>
      </c>
      <c r="AJ436" s="4">
        <v>0</v>
      </c>
      <c r="AK436" s="4">
        <v>722313.1</v>
      </c>
      <c r="AL436" s="4">
        <v>0</v>
      </c>
      <c r="AM436" s="4">
        <v>14254.77</v>
      </c>
      <c r="AN436" s="4">
        <v>0</v>
      </c>
      <c r="AO436" s="4">
        <v>535307.63</v>
      </c>
      <c r="AP436" s="4">
        <v>0</v>
      </c>
      <c r="AQ436" s="4">
        <v>66273.8</v>
      </c>
      <c r="AR436" s="4">
        <v>1761.15</v>
      </c>
      <c r="AS436" s="4">
        <v>0</v>
      </c>
      <c r="AT436" s="4">
        <v>26723.11</v>
      </c>
      <c r="AU436" s="4">
        <v>466.54</v>
      </c>
      <c r="AV436" s="4">
        <v>699404.75</v>
      </c>
      <c r="AW436" s="4">
        <v>2467803.9900000002</v>
      </c>
      <c r="AX436" s="4">
        <v>1938154.24</v>
      </c>
      <c r="AY436" s="4">
        <v>1291782.45</v>
      </c>
      <c r="AZ436" s="4"/>
      <c r="BA436" s="4"/>
      <c r="BB436" s="4">
        <f t="shared" si="68"/>
        <v>319681495.00000006</v>
      </c>
    </row>
    <row r="437" spans="1:54" x14ac:dyDescent="0.2">
      <c r="A437" s="3">
        <v>34516</v>
      </c>
      <c r="B437" s="4">
        <v>0</v>
      </c>
      <c r="C437" s="4">
        <v>0</v>
      </c>
      <c r="D437" s="4">
        <v>177563.01</v>
      </c>
      <c r="E437" s="4">
        <v>0</v>
      </c>
      <c r="F437" s="4">
        <v>175248.51</v>
      </c>
      <c r="G437" s="4">
        <v>174617.32</v>
      </c>
      <c r="H437" s="4">
        <v>178152.56</v>
      </c>
      <c r="I437" s="4">
        <v>0</v>
      </c>
      <c r="J437" s="4">
        <v>229116.44</v>
      </c>
      <c r="K437" s="4">
        <v>118793.17</v>
      </c>
      <c r="L437" s="4">
        <v>0</v>
      </c>
      <c r="M437" s="4">
        <v>177889.24</v>
      </c>
      <c r="N437" s="4">
        <v>58323.09</v>
      </c>
      <c r="O437" s="4">
        <v>75164.070000000007</v>
      </c>
      <c r="P437" s="4">
        <v>376205.57</v>
      </c>
      <c r="Q437" s="4">
        <v>99138.01</v>
      </c>
      <c r="R437" s="4">
        <v>0</v>
      </c>
      <c r="S437" s="4">
        <v>83997</v>
      </c>
      <c r="T437" s="4">
        <v>16327.54</v>
      </c>
      <c r="U437" s="4">
        <v>0</v>
      </c>
      <c r="V437" s="4">
        <v>586810.15</v>
      </c>
      <c r="W437" s="4">
        <v>7961556.0800000001</v>
      </c>
      <c r="X437" s="4">
        <v>365857.77</v>
      </c>
      <c r="Y437" s="4">
        <v>19210200.390000001</v>
      </c>
      <c r="Z437" s="4"/>
      <c r="AA437" s="4"/>
      <c r="AB437" s="4">
        <v>176907206.31999999</v>
      </c>
      <c r="AC437" s="4">
        <v>52203.75</v>
      </c>
      <c r="AD437" s="4">
        <v>857343.58</v>
      </c>
      <c r="AE437" s="4">
        <v>80829.55</v>
      </c>
      <c r="AF437" s="4">
        <v>79247.91</v>
      </c>
      <c r="AG437" s="4">
        <v>105670.46</v>
      </c>
      <c r="AH437" s="4">
        <v>224108.75</v>
      </c>
      <c r="AI437" s="4">
        <v>123798.91</v>
      </c>
      <c r="AJ437" s="4">
        <v>0</v>
      </c>
      <c r="AK437" s="4">
        <v>491751.57</v>
      </c>
      <c r="AL437" s="4">
        <v>0</v>
      </c>
      <c r="AM437" s="4">
        <v>21687.85</v>
      </c>
      <c r="AN437" s="4">
        <v>0</v>
      </c>
      <c r="AO437" s="4">
        <v>328652.74</v>
      </c>
      <c r="AP437" s="4">
        <v>0</v>
      </c>
      <c r="AQ437" s="4">
        <v>38997.39</v>
      </c>
      <c r="AR437" s="4">
        <v>0</v>
      </c>
      <c r="AS437" s="4">
        <v>0</v>
      </c>
      <c r="AT437" s="4">
        <v>16596.45</v>
      </c>
      <c r="AU437" s="4">
        <v>0</v>
      </c>
      <c r="AV437" s="4">
        <v>492149.77</v>
      </c>
      <c r="AW437" s="4">
        <v>1667907.49</v>
      </c>
      <c r="AX437" s="4">
        <v>1628195.26</v>
      </c>
      <c r="AY437" s="4">
        <v>1085445.18</v>
      </c>
      <c r="AZ437" s="4"/>
      <c r="BA437" s="4"/>
      <c r="BB437" s="4">
        <f t="shared" si="68"/>
        <v>214266752.85000002</v>
      </c>
    </row>
    <row r="438" spans="1:54" x14ac:dyDescent="0.2">
      <c r="A438" s="3">
        <v>34547</v>
      </c>
      <c r="B438" s="4">
        <v>0</v>
      </c>
      <c r="C438" s="4">
        <v>0</v>
      </c>
      <c r="D438" s="4">
        <v>188274.26</v>
      </c>
      <c r="E438" s="4">
        <v>0</v>
      </c>
      <c r="F438" s="4">
        <v>168652.68</v>
      </c>
      <c r="G438" s="4">
        <v>214828.69</v>
      </c>
      <c r="H438" s="4">
        <v>177601</v>
      </c>
      <c r="I438" s="4">
        <v>0</v>
      </c>
      <c r="J438" s="4">
        <v>227483.31</v>
      </c>
      <c r="K438" s="4">
        <v>128621.66</v>
      </c>
      <c r="L438" s="4">
        <v>0</v>
      </c>
      <c r="M438" s="4">
        <v>196179.22</v>
      </c>
      <c r="N438" s="4">
        <v>76268.84</v>
      </c>
      <c r="O438" s="4">
        <v>81606.649999999994</v>
      </c>
      <c r="P438" s="4">
        <v>371016.11</v>
      </c>
      <c r="Q438" s="4">
        <v>100024.97</v>
      </c>
      <c r="R438" s="4">
        <v>0</v>
      </c>
      <c r="S438" s="4">
        <v>92093.06</v>
      </c>
      <c r="T438" s="4">
        <v>10361.459999999999</v>
      </c>
      <c r="U438" s="4">
        <v>0</v>
      </c>
      <c r="V438" s="4">
        <v>545901.15</v>
      </c>
      <c r="W438" s="4">
        <v>6521267.79</v>
      </c>
      <c r="X438" s="4">
        <v>376019.57</v>
      </c>
      <c r="Y438" s="4">
        <v>19731808.390000001</v>
      </c>
      <c r="Z438" s="4"/>
      <c r="AA438" s="4"/>
      <c r="AB438" s="4">
        <v>186885234.94999999</v>
      </c>
      <c r="AC438" s="4">
        <v>50338.59</v>
      </c>
      <c r="AD438" s="4">
        <v>788772.39</v>
      </c>
      <c r="AE438" s="4">
        <v>77191.649999999994</v>
      </c>
      <c r="AF438" s="4">
        <v>73450.44</v>
      </c>
      <c r="AG438" s="4">
        <v>106952.13</v>
      </c>
      <c r="AH438" s="4">
        <v>223111.13</v>
      </c>
      <c r="AI438" s="4">
        <v>116922.51</v>
      </c>
      <c r="AJ438" s="4">
        <v>0</v>
      </c>
      <c r="AK438" s="4">
        <v>488299.77</v>
      </c>
      <c r="AL438" s="4">
        <v>0</v>
      </c>
      <c r="AM438" s="4">
        <v>20832.259999999998</v>
      </c>
      <c r="AN438" s="4">
        <v>0</v>
      </c>
      <c r="AO438" s="4">
        <v>324087.78999999998</v>
      </c>
      <c r="AP438" s="4">
        <v>0</v>
      </c>
      <c r="AQ438" s="4">
        <v>36163.800000000003</v>
      </c>
      <c r="AR438" s="4">
        <v>0</v>
      </c>
      <c r="AS438" s="4">
        <v>0</v>
      </c>
      <c r="AT438" s="4">
        <v>15740.33</v>
      </c>
      <c r="AU438" s="4">
        <v>0</v>
      </c>
      <c r="AV438" s="4">
        <v>502352.11</v>
      </c>
      <c r="AW438" s="4">
        <v>1786688.83</v>
      </c>
      <c r="AX438" s="4">
        <v>1615791.31</v>
      </c>
      <c r="AY438" s="4">
        <v>1077181.71</v>
      </c>
      <c r="AZ438" s="4"/>
      <c r="BA438" s="4"/>
      <c r="BB438" s="4">
        <f t="shared" si="68"/>
        <v>223397120.51000002</v>
      </c>
    </row>
    <row r="439" spans="1:54" x14ac:dyDescent="0.2">
      <c r="A439" s="3">
        <v>34578</v>
      </c>
      <c r="B439" s="4">
        <v>34436.730000000003</v>
      </c>
      <c r="C439" s="4">
        <v>0</v>
      </c>
      <c r="D439" s="4">
        <v>390892.3</v>
      </c>
      <c r="E439" s="4">
        <v>0</v>
      </c>
      <c r="F439" s="4">
        <v>350247.53</v>
      </c>
      <c r="G439" s="4">
        <v>285870.78999999998</v>
      </c>
      <c r="H439" s="4">
        <v>290961.91999999998</v>
      </c>
      <c r="I439" s="4">
        <v>0</v>
      </c>
      <c r="J439" s="4">
        <v>531900.14</v>
      </c>
      <c r="K439" s="4">
        <v>187588.07</v>
      </c>
      <c r="L439" s="4">
        <v>4211.04</v>
      </c>
      <c r="M439" s="4">
        <v>240744.29</v>
      </c>
      <c r="N439" s="4">
        <v>162657.5</v>
      </c>
      <c r="O439" s="4">
        <v>124472.31</v>
      </c>
      <c r="P439" s="4">
        <v>659580.96</v>
      </c>
      <c r="Q439" s="4">
        <v>175454.28</v>
      </c>
      <c r="R439" s="4">
        <v>0</v>
      </c>
      <c r="S439" s="4">
        <v>199306.86</v>
      </c>
      <c r="T439" s="4">
        <v>84844.19</v>
      </c>
      <c r="U439" s="4">
        <v>11.4</v>
      </c>
      <c r="V439" s="4">
        <v>1004567.94</v>
      </c>
      <c r="W439" s="4">
        <v>14979245.380000001</v>
      </c>
      <c r="X439" s="4">
        <v>550812.53</v>
      </c>
      <c r="Y439" s="4">
        <v>29678284.489999998</v>
      </c>
      <c r="Z439" s="4"/>
      <c r="AA439" s="4"/>
      <c r="AB439" s="4">
        <v>258224073.81</v>
      </c>
      <c r="AC439" s="4">
        <v>73564.39</v>
      </c>
      <c r="AD439" s="4">
        <v>1546128.78</v>
      </c>
      <c r="AE439" s="4">
        <v>114932.63</v>
      </c>
      <c r="AF439" s="4">
        <v>133125.47</v>
      </c>
      <c r="AG439" s="4">
        <v>229064.66</v>
      </c>
      <c r="AH439" s="4">
        <v>373575.21</v>
      </c>
      <c r="AI439" s="4">
        <v>287036.55</v>
      </c>
      <c r="AJ439" s="4">
        <v>0</v>
      </c>
      <c r="AK439" s="4">
        <v>807656.48</v>
      </c>
      <c r="AL439" s="4">
        <v>0</v>
      </c>
      <c r="AM439" s="4">
        <v>16479.03</v>
      </c>
      <c r="AN439" s="4">
        <v>0</v>
      </c>
      <c r="AO439" s="4">
        <v>592917.43000000005</v>
      </c>
      <c r="AP439" s="4">
        <v>0</v>
      </c>
      <c r="AQ439" s="4">
        <v>53194.38</v>
      </c>
      <c r="AR439" s="4">
        <v>984.22</v>
      </c>
      <c r="AS439" s="4">
        <v>61911.39</v>
      </c>
      <c r="AT439" s="4">
        <v>27432.37</v>
      </c>
      <c r="AU439" s="4">
        <v>407.21</v>
      </c>
      <c r="AV439" s="4">
        <v>1022407</v>
      </c>
      <c r="AW439" s="4">
        <v>2545148.4900000002</v>
      </c>
      <c r="AX439" s="4">
        <v>1907003.54</v>
      </c>
      <c r="AY439" s="4">
        <v>1270702.8</v>
      </c>
      <c r="AZ439" s="4"/>
      <c r="BA439" s="4"/>
      <c r="BB439" s="4">
        <f t="shared" si="68"/>
        <v>319223836.49000007</v>
      </c>
    </row>
    <row r="440" spans="1:54" x14ac:dyDescent="0.2">
      <c r="A440" s="3">
        <v>34608</v>
      </c>
      <c r="B440" s="4">
        <v>0</v>
      </c>
      <c r="C440" s="4">
        <v>0</v>
      </c>
      <c r="D440" s="4">
        <v>203549.5</v>
      </c>
      <c r="E440" s="4">
        <v>0</v>
      </c>
      <c r="F440" s="4">
        <v>160619.59</v>
      </c>
      <c r="G440" s="4">
        <v>168611.98</v>
      </c>
      <c r="H440" s="4">
        <v>172849.2</v>
      </c>
      <c r="I440" s="4">
        <v>0</v>
      </c>
      <c r="J440" s="4">
        <v>241536.81</v>
      </c>
      <c r="K440" s="4">
        <v>117432.36</v>
      </c>
      <c r="L440" s="4">
        <v>0</v>
      </c>
      <c r="M440" s="4">
        <v>176018.87</v>
      </c>
      <c r="N440" s="4">
        <v>80964.7</v>
      </c>
      <c r="O440" s="4">
        <v>90374.04</v>
      </c>
      <c r="P440" s="4">
        <v>406326.86</v>
      </c>
      <c r="Q440" s="4">
        <v>101529.4</v>
      </c>
      <c r="R440" s="4">
        <v>0</v>
      </c>
      <c r="S440" s="4">
        <v>78493.52</v>
      </c>
      <c r="T440" s="4">
        <v>10500.07</v>
      </c>
      <c r="U440" s="4">
        <v>0</v>
      </c>
      <c r="V440" s="4">
        <v>524290.06000000006</v>
      </c>
      <c r="W440" s="4">
        <v>6502782.4100000001</v>
      </c>
      <c r="X440" s="4">
        <v>308971.86</v>
      </c>
      <c r="Y440" s="4">
        <v>19075865.370000001</v>
      </c>
      <c r="Z440" s="4"/>
      <c r="AA440" s="4"/>
      <c r="AB440" s="4">
        <v>181557993.22</v>
      </c>
      <c r="AC440" s="4">
        <v>51369.96</v>
      </c>
      <c r="AD440" s="4">
        <v>854716.57</v>
      </c>
      <c r="AE440" s="4">
        <v>79151.039999999994</v>
      </c>
      <c r="AF440" s="4">
        <v>66460.759999999995</v>
      </c>
      <c r="AG440" s="4">
        <v>117379.56</v>
      </c>
      <c r="AH440" s="4">
        <v>228802.95</v>
      </c>
      <c r="AI440" s="4">
        <v>137103.92000000001</v>
      </c>
      <c r="AJ440" s="4">
        <v>0</v>
      </c>
      <c r="AK440" s="4">
        <v>559660.80000000005</v>
      </c>
      <c r="AL440" s="4">
        <v>0</v>
      </c>
      <c r="AM440" s="4">
        <v>21984.97</v>
      </c>
      <c r="AN440" s="4">
        <v>0</v>
      </c>
      <c r="AO440" s="4">
        <v>331642.02</v>
      </c>
      <c r="AP440" s="4">
        <v>0</v>
      </c>
      <c r="AQ440" s="4">
        <v>27764.36</v>
      </c>
      <c r="AR440" s="4">
        <v>0</v>
      </c>
      <c r="AS440" s="4">
        <v>0</v>
      </c>
      <c r="AT440" s="4">
        <v>13420.08</v>
      </c>
      <c r="AU440" s="4">
        <v>0</v>
      </c>
      <c r="AV440" s="4">
        <v>485389.27</v>
      </c>
      <c r="AW440" s="4">
        <v>1959724.53</v>
      </c>
      <c r="AX440" s="4">
        <v>1586008.66</v>
      </c>
      <c r="AY440" s="4">
        <v>1057249.26</v>
      </c>
      <c r="AZ440" s="4"/>
      <c r="BA440" s="4"/>
      <c r="BB440" s="4">
        <f t="shared" si="68"/>
        <v>217556538.53</v>
      </c>
    </row>
    <row r="441" spans="1:54" x14ac:dyDescent="0.2">
      <c r="A441" s="3">
        <v>34639</v>
      </c>
      <c r="B441" s="4">
        <v>0</v>
      </c>
      <c r="C441" s="4">
        <v>0</v>
      </c>
      <c r="D441" s="4">
        <v>207058.42</v>
      </c>
      <c r="E441" s="4">
        <v>0</v>
      </c>
      <c r="F441" s="4">
        <v>152027.54</v>
      </c>
      <c r="G441" s="4">
        <v>169781.66</v>
      </c>
      <c r="H441" s="4">
        <v>174125.07</v>
      </c>
      <c r="I441" s="4">
        <v>0</v>
      </c>
      <c r="J441" s="4">
        <v>236846.12</v>
      </c>
      <c r="K441" s="4">
        <v>112651.12</v>
      </c>
      <c r="L441" s="4">
        <v>0</v>
      </c>
      <c r="M441" s="4">
        <v>179764.76</v>
      </c>
      <c r="N441" s="4">
        <v>77500.17</v>
      </c>
      <c r="O441" s="4">
        <v>83980.05</v>
      </c>
      <c r="P441" s="4">
        <v>390687.98</v>
      </c>
      <c r="Q441" s="4">
        <v>100176.34</v>
      </c>
      <c r="R441" s="4">
        <v>0</v>
      </c>
      <c r="S441" s="4">
        <v>81307.38</v>
      </c>
      <c r="T441" s="4">
        <v>9569.0499999999993</v>
      </c>
      <c r="U441" s="4">
        <v>0</v>
      </c>
      <c r="V441" s="4">
        <v>547139.68000000005</v>
      </c>
      <c r="W441" s="4">
        <v>5931882.3600000003</v>
      </c>
      <c r="X441" s="4">
        <v>317017</v>
      </c>
      <c r="Y441" s="4">
        <v>18749479.170000002</v>
      </c>
      <c r="Z441" s="4"/>
      <c r="AA441" s="4"/>
      <c r="AB441" s="4">
        <v>175481884.25</v>
      </c>
      <c r="AC441" s="4">
        <v>51823.01</v>
      </c>
      <c r="AD441" s="4">
        <v>714474.74</v>
      </c>
      <c r="AE441" s="4">
        <v>79701.77</v>
      </c>
      <c r="AF441" s="4">
        <v>64637.48</v>
      </c>
      <c r="AG441" s="4">
        <v>113951.3</v>
      </c>
      <c r="AH441" s="4">
        <v>226179.89</v>
      </c>
      <c r="AI441" s="4">
        <v>134019.70000000001</v>
      </c>
      <c r="AJ441" s="4">
        <v>0</v>
      </c>
      <c r="AK441" s="4">
        <v>506377.6</v>
      </c>
      <c r="AL441" s="4">
        <v>0</v>
      </c>
      <c r="AM441" s="4">
        <v>22191.38</v>
      </c>
      <c r="AN441" s="4">
        <v>0</v>
      </c>
      <c r="AO441" s="4">
        <v>327827.44</v>
      </c>
      <c r="AP441" s="4">
        <v>0</v>
      </c>
      <c r="AQ441" s="4">
        <v>31588.880000000001</v>
      </c>
      <c r="AR441" s="4">
        <v>0</v>
      </c>
      <c r="AS441" s="4">
        <v>0</v>
      </c>
      <c r="AT441" s="4">
        <v>13204.58</v>
      </c>
      <c r="AU441" s="4">
        <v>0</v>
      </c>
      <c r="AV441" s="4">
        <v>484924.11</v>
      </c>
      <c r="AW441" s="4">
        <v>2871138.27</v>
      </c>
      <c r="AX441" s="4">
        <v>1538916.31</v>
      </c>
      <c r="AY441" s="4">
        <v>1025942</v>
      </c>
      <c r="AZ441" s="4"/>
      <c r="BA441" s="4"/>
      <c r="BB441" s="4">
        <f t="shared" si="68"/>
        <v>211209776.58000001</v>
      </c>
    </row>
    <row r="442" spans="1:54" x14ac:dyDescent="0.2">
      <c r="A442" s="3">
        <v>34669</v>
      </c>
      <c r="B442" s="4">
        <v>19621.36</v>
      </c>
      <c r="C442" s="4">
        <v>0</v>
      </c>
      <c r="D442" s="4">
        <v>308238.75</v>
      </c>
      <c r="E442" s="4">
        <v>0</v>
      </c>
      <c r="F442" s="4">
        <v>322542.53000000003</v>
      </c>
      <c r="G442" s="4">
        <v>248400.51</v>
      </c>
      <c r="H442" s="4">
        <v>312244.62</v>
      </c>
      <c r="I442" s="4">
        <v>0</v>
      </c>
      <c r="J442" s="4">
        <v>285927.36</v>
      </c>
      <c r="K442" s="4">
        <v>172245.82</v>
      </c>
      <c r="L442" s="4">
        <v>380.32</v>
      </c>
      <c r="M442" s="4">
        <v>302500.76</v>
      </c>
      <c r="N442" s="4">
        <v>138394.34</v>
      </c>
      <c r="O442" s="4">
        <v>153992.01</v>
      </c>
      <c r="P442" s="4">
        <v>651493.89</v>
      </c>
      <c r="Q442" s="4">
        <v>150997.38</v>
      </c>
      <c r="R442" s="4">
        <v>0</v>
      </c>
      <c r="S442" s="4">
        <v>146515.32999999999</v>
      </c>
      <c r="T442" s="4">
        <v>74331.3</v>
      </c>
      <c r="U442" s="4">
        <v>202.32</v>
      </c>
      <c r="V442" s="4">
        <v>898499.37</v>
      </c>
      <c r="W442" s="4">
        <v>17071882.359999999</v>
      </c>
      <c r="X442" s="4">
        <v>598857.06000000006</v>
      </c>
      <c r="Y442" s="4">
        <v>29658805.510000002</v>
      </c>
      <c r="Z442" s="4"/>
      <c r="AA442" s="4"/>
      <c r="AB442" s="4">
        <v>268143855.09999999</v>
      </c>
      <c r="AC442" s="4">
        <v>42360.41</v>
      </c>
      <c r="AD442" s="4">
        <v>1565553.5</v>
      </c>
      <c r="AE442" s="4">
        <v>139981.29</v>
      </c>
      <c r="AF442" s="4">
        <v>126070.26</v>
      </c>
      <c r="AG442" s="4">
        <v>140861.31</v>
      </c>
      <c r="AH442" s="4">
        <v>258662.67</v>
      </c>
      <c r="AI442" s="4">
        <v>125739.48</v>
      </c>
      <c r="AJ442" s="4">
        <v>0</v>
      </c>
      <c r="AK442" s="4">
        <v>823367.83</v>
      </c>
      <c r="AL442" s="4">
        <v>0</v>
      </c>
      <c r="AM442" s="4">
        <v>21621.93</v>
      </c>
      <c r="AN442" s="4">
        <v>0</v>
      </c>
      <c r="AO442" s="4">
        <v>605518.91</v>
      </c>
      <c r="AP442" s="4">
        <v>0</v>
      </c>
      <c r="AQ442" s="4">
        <v>56925.83</v>
      </c>
      <c r="AR442" s="4">
        <v>444.33</v>
      </c>
      <c r="AS442" s="4">
        <v>0</v>
      </c>
      <c r="AT442" s="4">
        <v>20944.759999999998</v>
      </c>
      <c r="AU442" s="4">
        <v>363.03</v>
      </c>
      <c r="AV442" s="4">
        <v>989470.7</v>
      </c>
      <c r="AW442" s="4">
        <v>2368620.48</v>
      </c>
      <c r="AX442" s="4">
        <v>2304985.58</v>
      </c>
      <c r="AY442" s="4">
        <v>1536468.22</v>
      </c>
      <c r="AZ442" s="4"/>
      <c r="BA442" s="4"/>
      <c r="BB442" s="4">
        <f t="shared" si="68"/>
        <v>330787888.52000004</v>
      </c>
    </row>
    <row r="443" spans="1:54" ht="15.75" thickBot="1" x14ac:dyDescent="0.25">
      <c r="A443" s="1" t="s">
        <v>11</v>
      </c>
      <c r="B443" s="5">
        <f t="shared" ref="B443:AY443" si="69">SUM(B431:B442)</f>
        <v>732506.9</v>
      </c>
      <c r="C443" s="5">
        <f t="shared" si="69"/>
        <v>0</v>
      </c>
      <c r="D443" s="5">
        <f t="shared" si="69"/>
        <v>2796605.29</v>
      </c>
      <c r="E443" s="5">
        <f t="shared" si="69"/>
        <v>0</v>
      </c>
      <c r="F443" s="5">
        <f t="shared" si="69"/>
        <v>2448224.6900000004</v>
      </c>
      <c r="G443" s="5">
        <f t="shared" si="69"/>
        <v>2285707.8099999996</v>
      </c>
      <c r="H443" s="5">
        <f t="shared" si="69"/>
        <v>2774314.0300000003</v>
      </c>
      <c r="I443" s="5">
        <f t="shared" si="69"/>
        <v>0</v>
      </c>
      <c r="J443" s="5">
        <f t="shared" si="69"/>
        <v>3523189.42</v>
      </c>
      <c r="K443" s="5">
        <f t="shared" si="69"/>
        <v>1705963.3800000001</v>
      </c>
      <c r="L443" s="5">
        <f t="shared" si="69"/>
        <v>5931.69</v>
      </c>
      <c r="M443" s="5">
        <f t="shared" si="69"/>
        <v>2426468.84</v>
      </c>
      <c r="N443" s="5">
        <f t="shared" si="69"/>
        <v>1179351.46</v>
      </c>
      <c r="O443" s="5">
        <f t="shared" si="69"/>
        <v>1172702.3500000001</v>
      </c>
      <c r="P443" s="5">
        <f t="shared" si="69"/>
        <v>5493047.1399999997</v>
      </c>
      <c r="Q443" s="5">
        <f t="shared" si="69"/>
        <v>1386358.02</v>
      </c>
      <c r="R443" s="5">
        <f t="shared" si="69"/>
        <v>0</v>
      </c>
      <c r="S443" s="5">
        <f t="shared" si="69"/>
        <v>1420865.4300000002</v>
      </c>
      <c r="T443" s="5">
        <f t="shared" si="69"/>
        <v>370420.18</v>
      </c>
      <c r="U443" s="5">
        <f t="shared" si="69"/>
        <v>280.24</v>
      </c>
      <c r="V443" s="5">
        <f t="shared" si="69"/>
        <v>8201479.0200000005</v>
      </c>
      <c r="W443" s="5">
        <f t="shared" si="69"/>
        <v>113704242.34999999</v>
      </c>
      <c r="X443" s="5">
        <f t="shared" si="69"/>
        <v>5056734.5500000007</v>
      </c>
      <c r="Y443" s="5">
        <f t="shared" si="69"/>
        <v>259775019.30000001</v>
      </c>
      <c r="Z443" s="5"/>
      <c r="AA443" s="5"/>
      <c r="AB443" s="5">
        <f t="shared" si="69"/>
        <v>2453546440.8899999</v>
      </c>
      <c r="AC443" s="5">
        <f t="shared" si="69"/>
        <v>764727.14</v>
      </c>
      <c r="AD443" s="5">
        <f t="shared" si="69"/>
        <v>11721913.68</v>
      </c>
      <c r="AE443" s="5">
        <f t="shared" si="69"/>
        <v>1279680.01</v>
      </c>
      <c r="AF443" s="5">
        <f t="shared" si="69"/>
        <v>1080012.99</v>
      </c>
      <c r="AG443" s="5">
        <f t="shared" si="69"/>
        <v>1605552.7100000002</v>
      </c>
      <c r="AH443" s="5">
        <f t="shared" si="69"/>
        <v>3076334.4</v>
      </c>
      <c r="AI443" s="5">
        <f t="shared" si="69"/>
        <v>1822163.2</v>
      </c>
      <c r="AJ443" s="5">
        <f t="shared" si="69"/>
        <v>0</v>
      </c>
      <c r="AK443" s="5">
        <f t="shared" si="69"/>
        <v>6903372.0099999988</v>
      </c>
      <c r="AL443" s="5">
        <f t="shared" si="69"/>
        <v>0</v>
      </c>
      <c r="AM443" s="5">
        <f t="shared" si="69"/>
        <v>290303.95999999996</v>
      </c>
      <c r="AN443" s="5">
        <f t="shared" si="69"/>
        <v>0</v>
      </c>
      <c r="AO443" s="5">
        <f t="shared" si="69"/>
        <v>4833897.040000001</v>
      </c>
      <c r="AP443" s="5">
        <f t="shared" si="69"/>
        <v>0</v>
      </c>
      <c r="AQ443" s="5">
        <f t="shared" si="69"/>
        <v>504688.93</v>
      </c>
      <c r="AR443" s="5">
        <f t="shared" si="69"/>
        <v>7060.8300000000008</v>
      </c>
      <c r="AS443" s="5">
        <f t="shared" si="69"/>
        <v>85488.23</v>
      </c>
      <c r="AT443" s="5">
        <f t="shared" si="69"/>
        <v>203073.84</v>
      </c>
      <c r="AU443" s="5">
        <f t="shared" si="69"/>
        <v>1561.07</v>
      </c>
      <c r="AV443" s="5">
        <f t="shared" si="69"/>
        <v>7359866.3399999999</v>
      </c>
      <c r="AW443" s="5">
        <f t="shared" si="69"/>
        <v>24103317.090000004</v>
      </c>
      <c r="AX443" s="5">
        <f t="shared" si="69"/>
        <v>20744332.32</v>
      </c>
      <c r="AY443" s="5">
        <f t="shared" si="69"/>
        <v>13827677.57</v>
      </c>
      <c r="AZ443" s="5"/>
      <c r="BA443" s="5"/>
      <c r="BB443" s="5">
        <f t="shared" si="68"/>
        <v>2970220876.3400006</v>
      </c>
    </row>
    <row r="444" spans="1:54" ht="15.75" thickTop="1" x14ac:dyDescent="0.2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</row>
    <row r="445" spans="1:54" x14ac:dyDescent="0.2">
      <c r="A445" s="3">
        <v>33970</v>
      </c>
      <c r="B445" s="4">
        <v>97929.94</v>
      </c>
      <c r="C445" s="4">
        <v>0</v>
      </c>
      <c r="D445" s="4">
        <v>217711.87</v>
      </c>
      <c r="E445" s="4">
        <v>0</v>
      </c>
      <c r="F445" s="4">
        <v>139606.25</v>
      </c>
      <c r="G445" s="4">
        <v>188979.51</v>
      </c>
      <c r="H445" s="4">
        <v>190504.34</v>
      </c>
      <c r="I445" s="4">
        <v>262172.11</v>
      </c>
      <c r="J445" s="4">
        <v>245947.7</v>
      </c>
      <c r="K445" s="4">
        <v>116758.1</v>
      </c>
      <c r="L445" s="4">
        <v>0</v>
      </c>
      <c r="M445" s="4">
        <v>193445.52</v>
      </c>
      <c r="N445" s="4">
        <v>78162.27</v>
      </c>
      <c r="O445" s="4">
        <v>98913.58</v>
      </c>
      <c r="P445" s="4">
        <v>401528.17</v>
      </c>
      <c r="Q445" s="4">
        <v>95566.87</v>
      </c>
      <c r="R445" s="4">
        <v>0</v>
      </c>
      <c r="S445" s="4">
        <v>64329.8</v>
      </c>
      <c r="T445" s="4">
        <v>16966.18</v>
      </c>
      <c r="U445" s="4">
        <v>0</v>
      </c>
      <c r="V445" s="4">
        <v>636944.18000000005</v>
      </c>
      <c r="W445" s="4">
        <v>6746068.3899999997</v>
      </c>
      <c r="X445" s="4">
        <v>319465.03999999998</v>
      </c>
      <c r="Y445" s="4">
        <v>19425508.210000001</v>
      </c>
      <c r="Z445" s="4"/>
      <c r="AA445" s="4"/>
      <c r="AB445" s="4">
        <v>191538113.00999999</v>
      </c>
      <c r="AC445" s="4">
        <v>69794.02</v>
      </c>
      <c r="AD445" s="4">
        <v>457866.16</v>
      </c>
      <c r="AE445" s="4">
        <v>76688.490000000005</v>
      </c>
      <c r="AF445" s="4">
        <v>76719.59</v>
      </c>
      <c r="AG445" s="4">
        <v>133903.24</v>
      </c>
      <c r="AH445" s="4">
        <v>253984.01</v>
      </c>
      <c r="AI445" s="4">
        <v>136666.92000000001</v>
      </c>
      <c r="AJ445" s="4">
        <v>0</v>
      </c>
      <c r="AK445" s="4">
        <v>492404.54</v>
      </c>
      <c r="AL445" s="4">
        <v>177146.04</v>
      </c>
      <c r="AM445" s="4">
        <v>32007.119999999999</v>
      </c>
      <c r="AN445" s="4">
        <v>0</v>
      </c>
      <c r="AO445" s="4">
        <v>364710.66</v>
      </c>
      <c r="AP445" s="4">
        <v>0</v>
      </c>
      <c r="AQ445" s="4">
        <v>32785.07</v>
      </c>
      <c r="AR445" s="4">
        <v>0</v>
      </c>
      <c r="AS445" s="4">
        <v>0</v>
      </c>
      <c r="AT445" s="4">
        <v>14057.07</v>
      </c>
      <c r="AU445" s="4">
        <v>0</v>
      </c>
      <c r="AV445" s="4">
        <v>515628.72</v>
      </c>
      <c r="AW445" s="4">
        <v>1842516.62</v>
      </c>
      <c r="AX445" s="4">
        <v>1696866.14</v>
      </c>
      <c r="AY445" s="4">
        <v>1129914.94</v>
      </c>
      <c r="AZ445" s="4"/>
      <c r="BA445" s="4"/>
      <c r="BB445" s="4">
        <f t="shared" ref="BB445:BB457" si="70">SUM(B445:AY445)</f>
        <v>228578280.38999996</v>
      </c>
    </row>
    <row r="446" spans="1:54" x14ac:dyDescent="0.2">
      <c r="A446" s="3">
        <v>34001</v>
      </c>
      <c r="B446" s="4">
        <v>70249.61</v>
      </c>
      <c r="C446" s="4">
        <v>0</v>
      </c>
      <c r="D446" s="4">
        <v>169475.24</v>
      </c>
      <c r="E446" s="4">
        <v>0</v>
      </c>
      <c r="F446" s="4">
        <v>110555.58</v>
      </c>
      <c r="G446" s="4">
        <v>118210.09</v>
      </c>
      <c r="H446" s="4">
        <v>146856.85999999999</v>
      </c>
      <c r="I446" s="4">
        <v>190861.28</v>
      </c>
      <c r="J446" s="4">
        <v>186092.94</v>
      </c>
      <c r="K446" s="4">
        <v>86234.47</v>
      </c>
      <c r="L446" s="4">
        <v>0</v>
      </c>
      <c r="M446" s="4">
        <v>143536.43</v>
      </c>
      <c r="N446" s="4">
        <v>58778.35</v>
      </c>
      <c r="O446" s="4">
        <v>115429</v>
      </c>
      <c r="P446" s="4">
        <v>316113.63</v>
      </c>
      <c r="Q446" s="4">
        <v>74554.240000000005</v>
      </c>
      <c r="R446" s="4">
        <v>0</v>
      </c>
      <c r="S446" s="4">
        <v>50118.07</v>
      </c>
      <c r="T446" s="4">
        <v>6070.09</v>
      </c>
      <c r="U446" s="4">
        <v>0</v>
      </c>
      <c r="V446" s="4">
        <v>485200.85</v>
      </c>
      <c r="W446" s="4">
        <v>5025286.68</v>
      </c>
      <c r="X446" s="4">
        <v>259874.08</v>
      </c>
      <c r="Y446" s="4">
        <v>14665146.15</v>
      </c>
      <c r="Z446" s="4"/>
      <c r="AA446" s="4"/>
      <c r="AB446" s="4">
        <v>142589871.49000001</v>
      </c>
      <c r="AC446" s="4">
        <v>55102.52</v>
      </c>
      <c r="AD446" s="4">
        <v>387439.45</v>
      </c>
      <c r="AE446" s="4">
        <v>58024.5</v>
      </c>
      <c r="AF446" s="4">
        <v>68603.179999999993</v>
      </c>
      <c r="AG446" s="4">
        <v>104104.45</v>
      </c>
      <c r="AH446" s="4">
        <v>192035.69</v>
      </c>
      <c r="AI446" s="4">
        <v>103467.94</v>
      </c>
      <c r="AJ446" s="4">
        <v>0</v>
      </c>
      <c r="AK446" s="4">
        <v>362250.53</v>
      </c>
      <c r="AL446" s="4">
        <v>0</v>
      </c>
      <c r="AM446" s="4">
        <v>28630.29</v>
      </c>
      <c r="AN446" s="4">
        <v>0</v>
      </c>
      <c r="AO446" s="4">
        <v>248036.73</v>
      </c>
      <c r="AP446" s="4">
        <v>0</v>
      </c>
      <c r="AQ446" s="4">
        <v>28456.83</v>
      </c>
      <c r="AR446" s="4">
        <v>0</v>
      </c>
      <c r="AS446" s="4">
        <v>0</v>
      </c>
      <c r="AT446" s="4">
        <v>10887.16</v>
      </c>
      <c r="AU446" s="4">
        <v>0</v>
      </c>
      <c r="AV446" s="4">
        <v>411974.07</v>
      </c>
      <c r="AW446" s="4">
        <v>1385221.02</v>
      </c>
      <c r="AX446" s="4">
        <v>1309207.93</v>
      </c>
      <c r="AY446" s="4">
        <v>872559.06</v>
      </c>
      <c r="AZ446" s="4"/>
      <c r="BA446" s="4"/>
      <c r="BB446" s="4">
        <f t="shared" si="70"/>
        <v>170494516.47999999</v>
      </c>
    </row>
    <row r="447" spans="1:54" x14ac:dyDescent="0.2">
      <c r="A447" s="3">
        <v>34029</v>
      </c>
      <c r="B447" s="4">
        <v>189304.8</v>
      </c>
      <c r="C447" s="4">
        <v>0</v>
      </c>
      <c r="D447" s="4">
        <v>306766.27</v>
      </c>
      <c r="E447" s="4">
        <v>0</v>
      </c>
      <c r="F447" s="4">
        <v>289092.84000000003</v>
      </c>
      <c r="G447" s="4">
        <v>303363.24</v>
      </c>
      <c r="H447" s="4">
        <v>299084.78999999998</v>
      </c>
      <c r="I447" s="4">
        <v>352614.76</v>
      </c>
      <c r="J447" s="4">
        <v>451974.43</v>
      </c>
      <c r="K447" s="4">
        <v>235596.53</v>
      </c>
      <c r="L447" s="4">
        <v>3503.16</v>
      </c>
      <c r="M447" s="4">
        <v>309254.96999999997</v>
      </c>
      <c r="N447" s="4">
        <v>206439.99</v>
      </c>
      <c r="O447" s="4">
        <v>109460.03</v>
      </c>
      <c r="P447" s="4">
        <v>466140.63</v>
      </c>
      <c r="Q447" s="4">
        <v>153966.97</v>
      </c>
      <c r="R447" s="4">
        <v>0</v>
      </c>
      <c r="S447" s="4">
        <v>185408.56</v>
      </c>
      <c r="T447" s="4">
        <v>44836.85</v>
      </c>
      <c r="U447" s="4">
        <v>47.33</v>
      </c>
      <c r="V447" s="4">
        <v>785516.21</v>
      </c>
      <c r="W447" s="4">
        <v>15246397.68</v>
      </c>
      <c r="X447" s="4">
        <v>637024.68999999994</v>
      </c>
      <c r="Y447" s="4">
        <v>25153859.100000001</v>
      </c>
      <c r="Z447" s="4"/>
      <c r="AA447" s="4"/>
      <c r="AB447" s="4">
        <v>240112414.75</v>
      </c>
      <c r="AC447" s="4">
        <v>77434.539999999994</v>
      </c>
      <c r="AD447" s="4">
        <v>728903.34</v>
      </c>
      <c r="AE447" s="4">
        <v>219963.45</v>
      </c>
      <c r="AF447" s="4">
        <v>142899.21</v>
      </c>
      <c r="AG447" s="4">
        <v>149121.67000000001</v>
      </c>
      <c r="AH447" s="4">
        <v>298245.09000000003</v>
      </c>
      <c r="AI447" s="4">
        <v>252725.08</v>
      </c>
      <c r="AJ447" s="4">
        <v>1405.65</v>
      </c>
      <c r="AK447" s="4">
        <v>704141.41</v>
      </c>
      <c r="AL447" s="4">
        <v>156604.73000000001</v>
      </c>
      <c r="AM447" s="4">
        <v>35684.47</v>
      </c>
      <c r="AN447" s="4">
        <v>0</v>
      </c>
      <c r="AO447" s="4">
        <v>416424.55</v>
      </c>
      <c r="AP447" s="4">
        <v>179.71</v>
      </c>
      <c r="AQ447" s="4">
        <v>53007.49</v>
      </c>
      <c r="AR447" s="4">
        <v>2620.13</v>
      </c>
      <c r="AS447" s="4">
        <v>170191.99</v>
      </c>
      <c r="AT447" s="4">
        <v>34751.660000000003</v>
      </c>
      <c r="AU447" s="4">
        <v>418.42</v>
      </c>
      <c r="AV447" s="4">
        <v>726978.27</v>
      </c>
      <c r="AW447" s="4">
        <v>2767523.33</v>
      </c>
      <c r="AX447" s="4">
        <v>1988611.45</v>
      </c>
      <c r="AY447" s="4">
        <v>1324514.3500000001</v>
      </c>
      <c r="AZ447" s="4"/>
      <c r="BA447" s="4"/>
      <c r="BB447" s="4">
        <f t="shared" si="70"/>
        <v>296094418.56999999</v>
      </c>
    </row>
    <row r="448" spans="1:54" x14ac:dyDescent="0.2">
      <c r="A448" s="3">
        <v>34060</v>
      </c>
      <c r="B448" s="4">
        <v>104496.6</v>
      </c>
      <c r="C448" s="4">
        <v>0</v>
      </c>
      <c r="D448" s="4">
        <v>190862.3</v>
      </c>
      <c r="E448" s="4">
        <v>0</v>
      </c>
      <c r="F448" s="4">
        <v>155711.87</v>
      </c>
      <c r="G448" s="4">
        <v>138375.94</v>
      </c>
      <c r="H448" s="4">
        <v>176072.15</v>
      </c>
      <c r="I448" s="4">
        <v>0</v>
      </c>
      <c r="J448" s="4">
        <v>181064.25</v>
      </c>
      <c r="K448" s="4">
        <v>109212.82</v>
      </c>
      <c r="L448" s="4">
        <v>0</v>
      </c>
      <c r="M448" s="4">
        <v>184072.92</v>
      </c>
      <c r="N448" s="4">
        <v>83361.53</v>
      </c>
      <c r="O448" s="4">
        <v>85380.160000000003</v>
      </c>
      <c r="P448" s="4">
        <v>345862.23</v>
      </c>
      <c r="Q448" s="4">
        <v>94489.35</v>
      </c>
      <c r="R448" s="4">
        <v>0</v>
      </c>
      <c r="S448" s="4">
        <v>86651.21</v>
      </c>
      <c r="T448" s="4">
        <v>12744.36</v>
      </c>
      <c r="U448" s="4">
        <v>0</v>
      </c>
      <c r="V448" s="4">
        <v>496544.97</v>
      </c>
      <c r="W448" s="4">
        <v>6777297.1699999999</v>
      </c>
      <c r="X448" s="4">
        <v>283724.18</v>
      </c>
      <c r="Y448" s="4">
        <v>16927956.559999999</v>
      </c>
      <c r="Z448" s="4"/>
      <c r="AA448" s="4"/>
      <c r="AB448" s="4">
        <v>157248397.28999999</v>
      </c>
      <c r="AC448" s="4">
        <v>62267.17</v>
      </c>
      <c r="AD448" s="4">
        <v>448992.61</v>
      </c>
      <c r="AE448" s="4">
        <v>81887.679999999993</v>
      </c>
      <c r="AF448" s="4">
        <v>70340.2</v>
      </c>
      <c r="AG448" s="4">
        <v>113120.73</v>
      </c>
      <c r="AH448" s="4">
        <v>213377.56</v>
      </c>
      <c r="AI448" s="4">
        <v>111838.09</v>
      </c>
      <c r="AJ448" s="4">
        <v>0</v>
      </c>
      <c r="AK448" s="4">
        <v>436173.29</v>
      </c>
      <c r="AL448" s="4">
        <v>0</v>
      </c>
      <c r="AM448" s="4">
        <v>26492.44</v>
      </c>
      <c r="AN448" s="4">
        <v>0</v>
      </c>
      <c r="AO448" s="4">
        <v>287593.71000000002</v>
      </c>
      <c r="AP448" s="4">
        <v>0</v>
      </c>
      <c r="AQ448" s="4">
        <v>34177.22</v>
      </c>
      <c r="AR448" s="4">
        <v>0</v>
      </c>
      <c r="AS448" s="4">
        <v>0</v>
      </c>
      <c r="AT448" s="4">
        <v>15219.4</v>
      </c>
      <c r="AU448" s="4">
        <v>0</v>
      </c>
      <c r="AV448" s="4">
        <v>480688.42</v>
      </c>
      <c r="AW448" s="4">
        <v>1194653.8999999999</v>
      </c>
      <c r="AX448" s="4">
        <v>1382472.57</v>
      </c>
      <c r="AY448" s="4">
        <v>919946.36</v>
      </c>
      <c r="AZ448" s="4"/>
      <c r="BA448" s="4"/>
      <c r="BB448" s="4">
        <f t="shared" si="70"/>
        <v>189561519.20999998</v>
      </c>
    </row>
    <row r="449" spans="1:54" x14ac:dyDescent="0.2">
      <c r="A449" s="3">
        <v>34090</v>
      </c>
      <c r="B449" s="4">
        <v>95145.78</v>
      </c>
      <c r="C449" s="4">
        <v>0</v>
      </c>
      <c r="D449" s="4">
        <v>196655.19</v>
      </c>
      <c r="E449" s="4">
        <v>0</v>
      </c>
      <c r="F449" s="4">
        <v>159384.47</v>
      </c>
      <c r="G449" s="4">
        <v>141986.57999999999</v>
      </c>
      <c r="H449" s="4">
        <v>175314.58</v>
      </c>
      <c r="I449" s="4">
        <v>0</v>
      </c>
      <c r="J449" s="4">
        <v>240557.04</v>
      </c>
      <c r="K449" s="4">
        <v>113590.52</v>
      </c>
      <c r="L449" s="4">
        <v>0</v>
      </c>
      <c r="M449" s="4">
        <v>162646.76999999999</v>
      </c>
      <c r="N449" s="4">
        <v>79535.149999999994</v>
      </c>
      <c r="O449" s="4">
        <v>84038.64</v>
      </c>
      <c r="P449" s="4">
        <v>361832.41</v>
      </c>
      <c r="Q449" s="4">
        <v>95379.18</v>
      </c>
      <c r="R449" s="4">
        <v>0</v>
      </c>
      <c r="S449" s="4">
        <v>86194.79</v>
      </c>
      <c r="T449" s="4">
        <v>8908.01</v>
      </c>
      <c r="U449" s="4">
        <v>0</v>
      </c>
      <c r="V449" s="4">
        <v>511699.83</v>
      </c>
      <c r="W449" s="4">
        <v>6353559.8700000001</v>
      </c>
      <c r="X449" s="4">
        <v>303460.84000000003</v>
      </c>
      <c r="Y449" s="4">
        <v>16648225.529999999</v>
      </c>
      <c r="Z449" s="4"/>
      <c r="AA449" s="4"/>
      <c r="AB449" s="4">
        <v>156915548.94</v>
      </c>
      <c r="AC449" s="4">
        <v>62335.46</v>
      </c>
      <c r="AD449" s="4">
        <v>447073.7</v>
      </c>
      <c r="AE449" s="4">
        <v>86625.19</v>
      </c>
      <c r="AF449" s="4">
        <v>72850.16</v>
      </c>
      <c r="AG449" s="4">
        <v>116398.7</v>
      </c>
      <c r="AH449" s="4">
        <v>213263.25</v>
      </c>
      <c r="AI449" s="4">
        <v>114507.03</v>
      </c>
      <c r="AJ449" s="4">
        <v>0</v>
      </c>
      <c r="AK449" s="4">
        <v>438548.75</v>
      </c>
      <c r="AL449" s="4">
        <v>0</v>
      </c>
      <c r="AM449" s="4">
        <v>25846.03</v>
      </c>
      <c r="AN449" s="4">
        <v>0</v>
      </c>
      <c r="AO449" s="4">
        <v>296440.65999999997</v>
      </c>
      <c r="AP449" s="4">
        <v>0</v>
      </c>
      <c r="AQ449" s="4">
        <v>34742.68</v>
      </c>
      <c r="AR449" s="4">
        <v>0</v>
      </c>
      <c r="AS449" s="4">
        <v>10188.18</v>
      </c>
      <c r="AT449" s="4">
        <v>16233.22</v>
      </c>
      <c r="AU449" s="4">
        <v>0</v>
      </c>
      <c r="AV449" s="4">
        <v>456988.1</v>
      </c>
      <c r="AW449" s="4">
        <v>1344913.99</v>
      </c>
      <c r="AX449" s="4">
        <v>1384117.77</v>
      </c>
      <c r="AY449" s="4">
        <v>922880.33</v>
      </c>
      <c r="AZ449" s="4"/>
      <c r="BA449" s="4"/>
      <c r="BB449" s="4">
        <f t="shared" si="70"/>
        <v>188777617.32000002</v>
      </c>
    </row>
    <row r="450" spans="1:54" x14ac:dyDescent="0.2">
      <c r="A450" s="3">
        <v>34121</v>
      </c>
      <c r="B450" s="4">
        <v>154655.04999999999</v>
      </c>
      <c r="C450" s="4">
        <v>0</v>
      </c>
      <c r="D450" s="4">
        <v>265820.46999999997</v>
      </c>
      <c r="E450" s="4">
        <v>0</v>
      </c>
      <c r="F450" s="4">
        <v>219290.8</v>
      </c>
      <c r="G450" s="4">
        <v>422309.51</v>
      </c>
      <c r="H450" s="4">
        <v>312163.53000000003</v>
      </c>
      <c r="I450" s="4">
        <v>0</v>
      </c>
      <c r="J450" s="4">
        <v>331352.61</v>
      </c>
      <c r="K450" s="4">
        <v>179385.67</v>
      </c>
      <c r="L450" s="4">
        <v>2274.16</v>
      </c>
      <c r="M450" s="4">
        <v>243681.2</v>
      </c>
      <c r="N450" s="4">
        <v>204611.17</v>
      </c>
      <c r="O450" s="4">
        <v>196447.47</v>
      </c>
      <c r="P450" s="4">
        <v>568202.86</v>
      </c>
      <c r="Q450" s="4">
        <v>154692.6</v>
      </c>
      <c r="R450" s="4">
        <v>0</v>
      </c>
      <c r="S450" s="4">
        <v>121520.02</v>
      </c>
      <c r="T450" s="4">
        <v>58608.69</v>
      </c>
      <c r="U450" s="4">
        <v>0</v>
      </c>
      <c r="V450" s="4">
        <v>944283.31</v>
      </c>
      <c r="W450" s="4">
        <v>17600905.440000001</v>
      </c>
      <c r="X450" s="4">
        <v>682428.63</v>
      </c>
      <c r="Y450" s="4">
        <v>27466791.550000001</v>
      </c>
      <c r="Z450" s="4"/>
      <c r="AA450" s="4"/>
      <c r="AB450" s="4">
        <v>268370398.38</v>
      </c>
      <c r="AC450" s="4">
        <v>70269.75</v>
      </c>
      <c r="AD450" s="4">
        <v>764094.73</v>
      </c>
      <c r="AE450" s="4">
        <v>138876.07999999999</v>
      </c>
      <c r="AF450" s="4">
        <v>104256.29</v>
      </c>
      <c r="AG450" s="4">
        <v>155918.22</v>
      </c>
      <c r="AH450" s="4">
        <v>403260.21</v>
      </c>
      <c r="AI450" s="4">
        <v>168946.69</v>
      </c>
      <c r="AJ450" s="4">
        <v>5432.88</v>
      </c>
      <c r="AK450" s="4">
        <v>751705.53</v>
      </c>
      <c r="AL450" s="4">
        <v>0</v>
      </c>
      <c r="AM450" s="4">
        <v>23786.59</v>
      </c>
      <c r="AN450" s="4">
        <v>0</v>
      </c>
      <c r="AO450" s="4">
        <v>509539.11</v>
      </c>
      <c r="AP450" s="4">
        <v>0</v>
      </c>
      <c r="AQ450" s="4">
        <v>78151.48</v>
      </c>
      <c r="AR450" s="4">
        <v>0</v>
      </c>
      <c r="AS450" s="4">
        <v>0</v>
      </c>
      <c r="AT450" s="4">
        <v>22133.88</v>
      </c>
      <c r="AU450" s="4">
        <v>411.11</v>
      </c>
      <c r="AV450" s="4">
        <v>852563.9</v>
      </c>
      <c r="AW450" s="4">
        <v>1585790.58</v>
      </c>
      <c r="AX450" s="4">
        <v>2032023.34</v>
      </c>
      <c r="AY450" s="4">
        <v>1355353.21</v>
      </c>
      <c r="AZ450" s="4"/>
      <c r="BA450" s="4"/>
      <c r="BB450" s="4">
        <f t="shared" si="70"/>
        <v>327522336.69999993</v>
      </c>
    </row>
    <row r="451" spans="1:54" x14ac:dyDescent="0.2">
      <c r="A451" s="3">
        <v>34151</v>
      </c>
      <c r="B451" s="4">
        <v>88516</v>
      </c>
      <c r="C451" s="4">
        <v>0</v>
      </c>
      <c r="D451" s="4">
        <v>174628.34</v>
      </c>
      <c r="E451" s="4">
        <v>0</v>
      </c>
      <c r="F451" s="4">
        <v>158683.6</v>
      </c>
      <c r="G451" s="4">
        <v>183408.78</v>
      </c>
      <c r="H451" s="4">
        <v>45116.84</v>
      </c>
      <c r="I451" s="4">
        <v>0</v>
      </c>
      <c r="J451" s="4">
        <v>228441.86</v>
      </c>
      <c r="K451" s="4">
        <v>109532.99</v>
      </c>
      <c r="L451" s="4">
        <v>0</v>
      </c>
      <c r="M451" s="4">
        <v>181028.16</v>
      </c>
      <c r="N451" s="4">
        <v>80166.92</v>
      </c>
      <c r="O451" s="4">
        <v>95037.32</v>
      </c>
      <c r="P451" s="4">
        <v>363007.65</v>
      </c>
      <c r="Q451" s="4">
        <v>104625.34</v>
      </c>
      <c r="R451" s="4">
        <v>0</v>
      </c>
      <c r="S451" s="4">
        <v>67481.740000000005</v>
      </c>
      <c r="T451" s="4">
        <v>11280.15</v>
      </c>
      <c r="U451" s="4">
        <v>0</v>
      </c>
      <c r="V451" s="4">
        <v>524328.93000000005</v>
      </c>
      <c r="W451" s="4">
        <v>6055813.5199999996</v>
      </c>
      <c r="X451" s="4">
        <v>340761.11</v>
      </c>
      <c r="Y451" s="4">
        <v>17703600.210000001</v>
      </c>
      <c r="Z451" s="4"/>
      <c r="AA451" s="4"/>
      <c r="AB451" s="4">
        <v>164313761.50999999</v>
      </c>
      <c r="AC451" s="4">
        <v>50723.9</v>
      </c>
      <c r="AD451" s="4">
        <v>461050.79</v>
      </c>
      <c r="AE451" s="4">
        <v>64300.91</v>
      </c>
      <c r="AF451" s="4">
        <v>68336.97</v>
      </c>
      <c r="AG451" s="4">
        <v>91265.64</v>
      </c>
      <c r="AH451" s="4">
        <v>225894.42</v>
      </c>
      <c r="AI451" s="4">
        <v>137989.21</v>
      </c>
      <c r="AJ451" s="4">
        <v>0</v>
      </c>
      <c r="AK451" s="4">
        <v>1094262.8899999999</v>
      </c>
      <c r="AL451" s="4">
        <v>0</v>
      </c>
      <c r="AM451" s="4">
        <v>20559.95</v>
      </c>
      <c r="AN451" s="4">
        <v>0</v>
      </c>
      <c r="AO451" s="4">
        <v>332718.25</v>
      </c>
      <c r="AP451" s="4">
        <v>0</v>
      </c>
      <c r="AQ451" s="4">
        <v>42021.79</v>
      </c>
      <c r="AR451" s="4">
        <v>0</v>
      </c>
      <c r="AS451" s="4">
        <v>22582.87</v>
      </c>
      <c r="AT451" s="4">
        <v>9889.27</v>
      </c>
      <c r="AU451" s="4">
        <v>0</v>
      </c>
      <c r="AV451" s="4">
        <v>545074.68999999994</v>
      </c>
      <c r="AW451" s="4">
        <v>1389367.52</v>
      </c>
      <c r="AX451" s="4">
        <v>1389615.78</v>
      </c>
      <c r="AY451" s="4">
        <v>926234.97</v>
      </c>
      <c r="AZ451" s="4"/>
      <c r="BA451" s="4"/>
      <c r="BB451" s="4">
        <f t="shared" si="70"/>
        <v>197701110.78999996</v>
      </c>
    </row>
    <row r="452" spans="1:54" x14ac:dyDescent="0.2">
      <c r="A452" s="3">
        <v>34182</v>
      </c>
      <c r="B452" s="4">
        <v>159306.12</v>
      </c>
      <c r="C452" s="4">
        <v>0</v>
      </c>
      <c r="D452" s="4">
        <v>212281.12</v>
      </c>
      <c r="E452" s="4">
        <v>0</v>
      </c>
      <c r="F452" s="4">
        <v>167985.43</v>
      </c>
      <c r="G452" s="4">
        <v>183942.55</v>
      </c>
      <c r="H452" s="4">
        <v>163481.42000000001</v>
      </c>
      <c r="I452" s="4">
        <v>0</v>
      </c>
      <c r="J452" s="4">
        <v>216292.4</v>
      </c>
      <c r="K452" s="4">
        <v>108304.8</v>
      </c>
      <c r="L452" s="4">
        <v>0</v>
      </c>
      <c r="M452" s="4">
        <v>173771.11</v>
      </c>
      <c r="N452" s="4">
        <v>79467.31</v>
      </c>
      <c r="O452" s="4">
        <v>84793.29</v>
      </c>
      <c r="P452" s="4">
        <v>361106.96</v>
      </c>
      <c r="Q452" s="4">
        <v>103843.46</v>
      </c>
      <c r="R452" s="4">
        <v>0</v>
      </c>
      <c r="S452" s="4">
        <v>66097.899999999994</v>
      </c>
      <c r="T452" s="4">
        <v>8932.34</v>
      </c>
      <c r="U452" s="4">
        <v>0</v>
      </c>
      <c r="V452" s="4">
        <v>512601.9</v>
      </c>
      <c r="W452" s="4">
        <v>5905855.8099999996</v>
      </c>
      <c r="X452" s="4">
        <v>346515</v>
      </c>
      <c r="Y452" s="4">
        <v>17132102.350000001</v>
      </c>
      <c r="Z452" s="4"/>
      <c r="AA452" s="4"/>
      <c r="AB452" s="4">
        <v>154046435.50999999</v>
      </c>
      <c r="AC452" s="4">
        <v>50119.79</v>
      </c>
      <c r="AD452" s="4">
        <v>449449.43</v>
      </c>
      <c r="AE452" s="4">
        <v>64214.71</v>
      </c>
      <c r="AF452" s="4">
        <v>80493.72</v>
      </c>
      <c r="AG452" s="4">
        <v>115109.3</v>
      </c>
      <c r="AH452" s="4">
        <v>226622.21</v>
      </c>
      <c r="AI452" s="4">
        <v>135493.29</v>
      </c>
      <c r="AJ452" s="4">
        <v>0</v>
      </c>
      <c r="AK452" s="4">
        <v>465681.87</v>
      </c>
      <c r="AL452" s="4">
        <v>0</v>
      </c>
      <c r="AM452" s="4">
        <v>20372.61</v>
      </c>
      <c r="AN452" s="4">
        <v>0</v>
      </c>
      <c r="AO452" s="4">
        <v>315655.63</v>
      </c>
      <c r="AP452" s="4">
        <v>0</v>
      </c>
      <c r="AQ452" s="4">
        <v>36279.97</v>
      </c>
      <c r="AR452" s="4">
        <v>0</v>
      </c>
      <c r="AS452" s="4">
        <v>0</v>
      </c>
      <c r="AT452" s="4">
        <v>15536.89</v>
      </c>
      <c r="AU452" s="4">
        <v>0</v>
      </c>
      <c r="AV452" s="4">
        <v>505125.09</v>
      </c>
      <c r="AW452" s="4">
        <v>1323339.23</v>
      </c>
      <c r="AX452" s="4">
        <v>1357035.47</v>
      </c>
      <c r="AY452" s="4">
        <v>904919.57</v>
      </c>
      <c r="AZ452" s="4"/>
      <c r="BA452" s="4"/>
      <c r="BB452" s="4">
        <f t="shared" si="70"/>
        <v>186098565.56</v>
      </c>
    </row>
    <row r="453" spans="1:54" x14ac:dyDescent="0.2">
      <c r="A453" s="3">
        <v>34213</v>
      </c>
      <c r="B453" s="4">
        <v>168809.2</v>
      </c>
      <c r="C453" s="4">
        <v>0</v>
      </c>
      <c r="D453" s="4">
        <v>414894.73</v>
      </c>
      <c r="E453" s="4">
        <v>0</v>
      </c>
      <c r="F453" s="4">
        <v>329491.12</v>
      </c>
      <c r="G453" s="4">
        <v>210581.08</v>
      </c>
      <c r="H453" s="4">
        <v>300687.11</v>
      </c>
      <c r="I453" s="4">
        <v>150419.88</v>
      </c>
      <c r="J453" s="4">
        <v>395113.8</v>
      </c>
      <c r="K453" s="4">
        <v>172144.07</v>
      </c>
      <c r="L453" s="4">
        <v>2069.79</v>
      </c>
      <c r="M453" s="4">
        <v>363894.68</v>
      </c>
      <c r="N453" s="4">
        <v>119220.93</v>
      </c>
      <c r="O453" s="4">
        <v>100050.77</v>
      </c>
      <c r="P453" s="4">
        <v>646418.18999999994</v>
      </c>
      <c r="Q453" s="4">
        <v>184225.39</v>
      </c>
      <c r="R453" s="4">
        <v>0</v>
      </c>
      <c r="S453" s="4">
        <v>134796.04</v>
      </c>
      <c r="T453" s="4">
        <v>90680.78</v>
      </c>
      <c r="U453" s="4">
        <v>0</v>
      </c>
      <c r="V453" s="4">
        <v>1002628.83</v>
      </c>
      <c r="W453" s="4">
        <v>14003002.470000001</v>
      </c>
      <c r="X453" s="4">
        <v>636033.61</v>
      </c>
      <c r="Y453" s="4">
        <v>27367416.329999998</v>
      </c>
      <c r="Z453" s="4"/>
      <c r="AA453" s="4"/>
      <c r="AB453" s="4">
        <v>243959165.52000001</v>
      </c>
      <c r="AC453" s="4">
        <v>45350.37</v>
      </c>
      <c r="AD453" s="4">
        <v>752133.52</v>
      </c>
      <c r="AE453" s="4">
        <v>149446.73000000001</v>
      </c>
      <c r="AF453" s="4">
        <v>93171.39</v>
      </c>
      <c r="AG453" s="4">
        <v>207202.54</v>
      </c>
      <c r="AH453" s="4">
        <v>364419.4</v>
      </c>
      <c r="AI453" s="4">
        <v>177104.24</v>
      </c>
      <c r="AJ453" s="4">
        <v>0</v>
      </c>
      <c r="AK453" s="4">
        <v>883157.72</v>
      </c>
      <c r="AL453" s="4">
        <v>169734.53</v>
      </c>
      <c r="AM453" s="4">
        <v>19047.82</v>
      </c>
      <c r="AN453" s="4">
        <v>0</v>
      </c>
      <c r="AO453" s="4">
        <v>563633.25</v>
      </c>
      <c r="AP453" s="4">
        <v>0</v>
      </c>
      <c r="AQ453" s="4">
        <v>64980.99</v>
      </c>
      <c r="AR453" s="4">
        <v>4666.16</v>
      </c>
      <c r="AS453" s="4">
        <v>117394.67</v>
      </c>
      <c r="AT453" s="4">
        <v>18624.52</v>
      </c>
      <c r="AU453" s="4">
        <v>700.49</v>
      </c>
      <c r="AV453" s="4">
        <v>757116.15</v>
      </c>
      <c r="AW453" s="4">
        <v>1526139.6</v>
      </c>
      <c r="AX453" s="4">
        <v>2288828.5699999998</v>
      </c>
      <c r="AY453" s="4">
        <v>1526253.84</v>
      </c>
      <c r="AZ453" s="4"/>
      <c r="BA453" s="4"/>
      <c r="BB453" s="4">
        <f t="shared" si="70"/>
        <v>300480850.81999999</v>
      </c>
    </row>
    <row r="454" spans="1:54" x14ac:dyDescent="0.2">
      <c r="A454" s="3">
        <v>34243</v>
      </c>
      <c r="B454" s="4">
        <v>88977.94</v>
      </c>
      <c r="C454" s="4">
        <v>0</v>
      </c>
      <c r="D454" s="4">
        <v>196548.25</v>
      </c>
      <c r="E454" s="4">
        <v>0</v>
      </c>
      <c r="F454" s="4">
        <v>140976.79</v>
      </c>
      <c r="G454" s="4">
        <v>179729.96</v>
      </c>
      <c r="H454" s="4">
        <v>154742.82</v>
      </c>
      <c r="I454" s="4">
        <v>0</v>
      </c>
      <c r="J454" s="4">
        <v>223872.15</v>
      </c>
      <c r="K454" s="4">
        <v>105186.15</v>
      </c>
      <c r="L454" s="4">
        <v>0</v>
      </c>
      <c r="M454" s="4">
        <v>177694.79</v>
      </c>
      <c r="N454" s="4">
        <v>71413.009999999995</v>
      </c>
      <c r="O454" s="4">
        <v>75186.87</v>
      </c>
      <c r="P454" s="4">
        <v>365634.52</v>
      </c>
      <c r="Q454" s="4">
        <v>103377.33</v>
      </c>
      <c r="R454" s="4">
        <v>0</v>
      </c>
      <c r="S454" s="4">
        <v>67901.33</v>
      </c>
      <c r="T454" s="4">
        <v>15096.49</v>
      </c>
      <c r="U454" s="4">
        <v>0</v>
      </c>
      <c r="V454" s="4">
        <v>542605.18999999994</v>
      </c>
      <c r="W454" s="4">
        <v>6151940.7999999998</v>
      </c>
      <c r="X454" s="4">
        <v>299056.92</v>
      </c>
      <c r="Y454" s="4">
        <v>17582987.079999998</v>
      </c>
      <c r="Z454" s="4"/>
      <c r="AA454" s="4"/>
      <c r="AB454" s="4">
        <v>166135727.47999999</v>
      </c>
      <c r="AC454" s="4">
        <v>47939.07</v>
      </c>
      <c r="AD454" s="4">
        <v>675934.3</v>
      </c>
      <c r="AE454" s="4">
        <v>74554.759999999995</v>
      </c>
      <c r="AF454" s="4">
        <v>68192.13</v>
      </c>
      <c r="AG454" s="4">
        <v>112638.19</v>
      </c>
      <c r="AH454" s="4">
        <v>228212.72</v>
      </c>
      <c r="AI454" s="4">
        <v>130852.42</v>
      </c>
      <c r="AJ454" s="4">
        <v>0</v>
      </c>
      <c r="AK454" s="4">
        <v>447508.43</v>
      </c>
      <c r="AL454" s="4">
        <v>0</v>
      </c>
      <c r="AM454" s="4">
        <v>21275.62</v>
      </c>
      <c r="AN454" s="4">
        <v>0</v>
      </c>
      <c r="AO454" s="4">
        <v>313628.39</v>
      </c>
      <c r="AP454" s="4">
        <v>0</v>
      </c>
      <c r="AQ454" s="4">
        <v>33083.74</v>
      </c>
      <c r="AR454" s="4">
        <v>0</v>
      </c>
      <c r="AS454" s="4">
        <v>0</v>
      </c>
      <c r="AT454" s="4">
        <v>15093.34</v>
      </c>
      <c r="AU454" s="4">
        <v>0</v>
      </c>
      <c r="AV454" s="4">
        <v>462254.06</v>
      </c>
      <c r="AW454" s="4">
        <v>1688262.91</v>
      </c>
      <c r="AX454" s="4">
        <v>1429096.11</v>
      </c>
      <c r="AY454" s="4">
        <v>952604.08</v>
      </c>
      <c r="AZ454" s="4"/>
      <c r="BA454" s="4"/>
      <c r="BB454" s="4">
        <f t="shared" si="70"/>
        <v>199379786.14000002</v>
      </c>
    </row>
    <row r="455" spans="1:54" x14ac:dyDescent="0.2">
      <c r="A455" s="3">
        <v>34274</v>
      </c>
      <c r="B455" s="4">
        <v>89279.16</v>
      </c>
      <c r="C455" s="4">
        <v>0</v>
      </c>
      <c r="D455" s="4">
        <v>203089.15</v>
      </c>
      <c r="E455" s="4">
        <v>0</v>
      </c>
      <c r="F455" s="4">
        <v>151531.42000000001</v>
      </c>
      <c r="G455" s="4">
        <v>191021.73</v>
      </c>
      <c r="H455" s="4">
        <v>158206.48000000001</v>
      </c>
      <c r="I455" s="4">
        <v>0</v>
      </c>
      <c r="J455" s="4">
        <v>238840.74</v>
      </c>
      <c r="K455" s="4">
        <v>106992.91</v>
      </c>
      <c r="L455" s="4">
        <v>0</v>
      </c>
      <c r="M455" s="4">
        <v>185737.59</v>
      </c>
      <c r="N455" s="4">
        <v>73878.880000000005</v>
      </c>
      <c r="O455" s="4">
        <v>83891.18</v>
      </c>
      <c r="P455" s="4">
        <v>383706.29</v>
      </c>
      <c r="Q455" s="4">
        <v>108995.29</v>
      </c>
      <c r="R455" s="4">
        <v>0</v>
      </c>
      <c r="S455" s="4">
        <v>72155.070000000007</v>
      </c>
      <c r="T455" s="4">
        <v>11709.3</v>
      </c>
      <c r="U455" s="4">
        <v>0</v>
      </c>
      <c r="V455" s="4">
        <v>530709.93999999994</v>
      </c>
      <c r="W455" s="4">
        <v>6142759.1799999997</v>
      </c>
      <c r="X455" s="4">
        <v>300838.8</v>
      </c>
      <c r="Y455" s="4">
        <v>17942290.949999999</v>
      </c>
      <c r="Z455" s="4"/>
      <c r="AA455" s="4"/>
      <c r="AB455" s="4">
        <v>171456699.5</v>
      </c>
      <c r="AC455" s="4">
        <v>50016.41</v>
      </c>
      <c r="AD455" s="4">
        <v>643998.57999999996</v>
      </c>
      <c r="AE455" s="4">
        <v>78442.84</v>
      </c>
      <c r="AF455" s="4">
        <v>71873.259999999995</v>
      </c>
      <c r="AG455" s="4">
        <v>117579.14</v>
      </c>
      <c r="AH455" s="4">
        <v>224911.03</v>
      </c>
      <c r="AI455" s="4">
        <v>134236.48000000001</v>
      </c>
      <c r="AJ455" s="4">
        <v>0</v>
      </c>
      <c r="AK455" s="4">
        <v>458331.42</v>
      </c>
      <c r="AL455" s="4">
        <v>0</v>
      </c>
      <c r="AM455" s="4">
        <v>22356.71</v>
      </c>
      <c r="AN455" s="4">
        <v>0</v>
      </c>
      <c r="AO455" s="4">
        <v>324096.05</v>
      </c>
      <c r="AP455" s="4">
        <v>0</v>
      </c>
      <c r="AQ455" s="4">
        <v>36195.760000000002</v>
      </c>
      <c r="AR455" s="4">
        <v>0</v>
      </c>
      <c r="AS455" s="4">
        <v>0</v>
      </c>
      <c r="AT455" s="4">
        <v>12984.66</v>
      </c>
      <c r="AU455" s="4">
        <v>0</v>
      </c>
      <c r="AV455" s="4">
        <v>480403.04</v>
      </c>
      <c r="AW455" s="4">
        <v>1763594.07</v>
      </c>
      <c r="AX455" s="4">
        <v>1459584.22</v>
      </c>
      <c r="AY455" s="4">
        <v>972957.79</v>
      </c>
      <c r="AZ455" s="4"/>
      <c r="BA455" s="4"/>
      <c r="BB455" s="4">
        <f t="shared" si="70"/>
        <v>205283895.01999995</v>
      </c>
    </row>
    <row r="456" spans="1:54" x14ac:dyDescent="0.2">
      <c r="A456" s="3">
        <v>34304</v>
      </c>
      <c r="B456" s="4">
        <v>165432.38</v>
      </c>
      <c r="C456" s="4">
        <v>0</v>
      </c>
      <c r="D456" s="4">
        <v>350708.8</v>
      </c>
      <c r="E456" s="4">
        <v>0</v>
      </c>
      <c r="F456" s="4">
        <v>250246.8</v>
      </c>
      <c r="G456" s="4">
        <v>283549.17</v>
      </c>
      <c r="H456" s="4">
        <v>326938.61</v>
      </c>
      <c r="I456" s="4">
        <v>0</v>
      </c>
      <c r="J456" s="4">
        <v>347786.16</v>
      </c>
      <c r="K456" s="4">
        <v>203351.55</v>
      </c>
      <c r="L456" s="4">
        <v>6531.14</v>
      </c>
      <c r="M456" s="4">
        <v>246330.58</v>
      </c>
      <c r="N456" s="4">
        <v>122254.95</v>
      </c>
      <c r="O456" s="4">
        <v>119530.85</v>
      </c>
      <c r="P456" s="4">
        <v>611800.11</v>
      </c>
      <c r="Q456" s="4">
        <v>244045.75</v>
      </c>
      <c r="R456" s="4">
        <v>0</v>
      </c>
      <c r="S456" s="4">
        <v>157630.70000000001</v>
      </c>
      <c r="T456" s="4">
        <v>45945.41</v>
      </c>
      <c r="U456" s="4">
        <v>0</v>
      </c>
      <c r="V456" s="4">
        <v>833937.2</v>
      </c>
      <c r="W456" s="4">
        <v>15936268.789999999</v>
      </c>
      <c r="X456" s="4">
        <v>678360.86</v>
      </c>
      <c r="Y456" s="4">
        <v>28656933.609999999</v>
      </c>
      <c r="Z456" s="4"/>
      <c r="AA456" s="4"/>
      <c r="AB456" s="4">
        <v>269012877.97000003</v>
      </c>
      <c r="AC456" s="4">
        <v>53530.22</v>
      </c>
      <c r="AD456" s="4">
        <v>1248929.45</v>
      </c>
      <c r="AE456" s="4">
        <v>118663.15</v>
      </c>
      <c r="AF456" s="4">
        <v>169885.17</v>
      </c>
      <c r="AG456" s="4">
        <v>152556.39000000001</v>
      </c>
      <c r="AH456" s="4">
        <v>411299.31</v>
      </c>
      <c r="AI456" s="4">
        <v>211470.79</v>
      </c>
      <c r="AJ456" s="4">
        <v>601.36</v>
      </c>
      <c r="AK456" s="4">
        <v>757590.07</v>
      </c>
      <c r="AL456" s="4">
        <v>0</v>
      </c>
      <c r="AM456" s="4">
        <v>38803.64</v>
      </c>
      <c r="AN456" s="4">
        <v>0</v>
      </c>
      <c r="AO456" s="4">
        <v>591438.47</v>
      </c>
      <c r="AP456" s="4">
        <v>0</v>
      </c>
      <c r="AQ456" s="4">
        <v>44994</v>
      </c>
      <c r="AR456" s="4">
        <v>2715.83</v>
      </c>
      <c r="AS456" s="4">
        <v>0</v>
      </c>
      <c r="AT456" s="4">
        <v>20917.62</v>
      </c>
      <c r="AU456" s="4">
        <v>691.07</v>
      </c>
      <c r="AV456" s="4">
        <v>798274.01</v>
      </c>
      <c r="AW456" s="4">
        <v>1961340.42</v>
      </c>
      <c r="AX456" s="4">
        <v>2499444.0499999998</v>
      </c>
      <c r="AY456" s="4">
        <v>1666236.46</v>
      </c>
      <c r="AZ456" s="4"/>
      <c r="BA456" s="4"/>
      <c r="BB456" s="4">
        <f t="shared" si="70"/>
        <v>329349842.87000006</v>
      </c>
    </row>
    <row r="457" spans="1:54" ht="15.75" thickBot="1" x14ac:dyDescent="0.25">
      <c r="A457" s="1" t="s">
        <v>12</v>
      </c>
      <c r="B457" s="5">
        <f t="shared" ref="B457:AY457" si="71">SUM(B445:B456)</f>
        <v>1472102.58</v>
      </c>
      <c r="C457" s="5">
        <f t="shared" si="71"/>
        <v>0</v>
      </c>
      <c r="D457" s="5">
        <f t="shared" si="71"/>
        <v>2899441.7299999995</v>
      </c>
      <c r="E457" s="5">
        <f t="shared" si="71"/>
        <v>0</v>
      </c>
      <c r="F457" s="5">
        <f t="shared" si="71"/>
        <v>2272556.9699999997</v>
      </c>
      <c r="G457" s="5">
        <f t="shared" si="71"/>
        <v>2545458.14</v>
      </c>
      <c r="H457" s="5">
        <f t="shared" si="71"/>
        <v>2449169.5300000003</v>
      </c>
      <c r="I457" s="5">
        <f t="shared" si="71"/>
        <v>956068.03</v>
      </c>
      <c r="J457" s="5">
        <f t="shared" si="71"/>
        <v>3287336.08</v>
      </c>
      <c r="K457" s="5">
        <f t="shared" si="71"/>
        <v>1646290.5799999998</v>
      </c>
      <c r="L457" s="5">
        <f t="shared" si="71"/>
        <v>14378.25</v>
      </c>
      <c r="M457" s="5">
        <f t="shared" si="71"/>
        <v>2565094.7199999997</v>
      </c>
      <c r="N457" s="5">
        <f t="shared" si="71"/>
        <v>1257290.4600000002</v>
      </c>
      <c r="O457" s="5">
        <f t="shared" si="71"/>
        <v>1248159.1600000001</v>
      </c>
      <c r="P457" s="5">
        <f t="shared" si="71"/>
        <v>5191353.6500000004</v>
      </c>
      <c r="Q457" s="5">
        <f t="shared" si="71"/>
        <v>1517761.77</v>
      </c>
      <c r="R457" s="5">
        <f t="shared" si="71"/>
        <v>0</v>
      </c>
      <c r="S457" s="5">
        <f t="shared" si="71"/>
        <v>1160285.23</v>
      </c>
      <c r="T457" s="5">
        <f t="shared" si="71"/>
        <v>331778.65000000002</v>
      </c>
      <c r="U457" s="5">
        <f t="shared" si="71"/>
        <v>47.33</v>
      </c>
      <c r="V457" s="5">
        <f t="shared" si="71"/>
        <v>7807001.3400000008</v>
      </c>
      <c r="W457" s="5">
        <f t="shared" si="71"/>
        <v>111945155.79999998</v>
      </c>
      <c r="X457" s="5">
        <f t="shared" si="71"/>
        <v>5087543.76</v>
      </c>
      <c r="Y457" s="5">
        <f t="shared" si="71"/>
        <v>246672817.63</v>
      </c>
      <c r="Z457" s="5"/>
      <c r="AA457" s="5"/>
      <c r="AB457" s="5">
        <f t="shared" si="71"/>
        <v>2325699411.3500004</v>
      </c>
      <c r="AC457" s="5">
        <f t="shared" si="71"/>
        <v>694883.22</v>
      </c>
      <c r="AD457" s="5">
        <f t="shared" si="71"/>
        <v>7465866.0600000005</v>
      </c>
      <c r="AE457" s="5">
        <f t="shared" si="71"/>
        <v>1211688.49</v>
      </c>
      <c r="AF457" s="5">
        <f t="shared" si="71"/>
        <v>1087621.27</v>
      </c>
      <c r="AG457" s="5">
        <f t="shared" si="71"/>
        <v>1568918.21</v>
      </c>
      <c r="AH457" s="5">
        <f t="shared" si="71"/>
        <v>3255524.9</v>
      </c>
      <c r="AI457" s="5">
        <f t="shared" si="71"/>
        <v>1815298.18</v>
      </c>
      <c r="AJ457" s="5">
        <f t="shared" si="71"/>
        <v>7439.89</v>
      </c>
      <c r="AK457" s="5">
        <f t="shared" si="71"/>
        <v>7291756.4499999993</v>
      </c>
      <c r="AL457" s="5">
        <f t="shared" si="71"/>
        <v>503485.30000000005</v>
      </c>
      <c r="AM457" s="5">
        <f t="shared" si="71"/>
        <v>314863.29000000004</v>
      </c>
      <c r="AN457" s="5">
        <f t="shared" si="71"/>
        <v>0</v>
      </c>
      <c r="AO457" s="5">
        <f t="shared" si="71"/>
        <v>4563915.46</v>
      </c>
      <c r="AP457" s="5">
        <f t="shared" si="71"/>
        <v>179.71</v>
      </c>
      <c r="AQ457" s="5">
        <f t="shared" si="71"/>
        <v>518877.0199999999</v>
      </c>
      <c r="AR457" s="5">
        <f t="shared" si="71"/>
        <v>10002.119999999999</v>
      </c>
      <c r="AS457" s="5">
        <f t="shared" si="71"/>
        <v>320357.70999999996</v>
      </c>
      <c r="AT457" s="5">
        <f t="shared" si="71"/>
        <v>206328.68999999997</v>
      </c>
      <c r="AU457" s="5">
        <f t="shared" si="71"/>
        <v>2221.09</v>
      </c>
      <c r="AV457" s="5">
        <f t="shared" si="71"/>
        <v>6993068.5199999996</v>
      </c>
      <c r="AW457" s="5">
        <f t="shared" si="71"/>
        <v>19772663.189999998</v>
      </c>
      <c r="AX457" s="5">
        <f t="shared" si="71"/>
        <v>20216903.399999999</v>
      </c>
      <c r="AY457" s="5">
        <f t="shared" si="71"/>
        <v>13474374.960000001</v>
      </c>
      <c r="AZ457" s="5"/>
      <c r="BA457" s="5"/>
      <c r="BB457" s="5">
        <f t="shared" si="70"/>
        <v>2819322739.8699999</v>
      </c>
    </row>
    <row r="458" spans="1:54" ht="15.75" thickTop="1" x14ac:dyDescent="0.2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</row>
    <row r="459" spans="1:54" x14ac:dyDescent="0.2">
      <c r="A459" s="3">
        <v>33604</v>
      </c>
      <c r="B459" s="4">
        <v>102440.66</v>
      </c>
      <c r="C459" s="4">
        <v>0</v>
      </c>
      <c r="D459" s="4">
        <v>210935.5</v>
      </c>
      <c r="E459" s="4">
        <v>0</v>
      </c>
      <c r="F459" s="4">
        <v>147959.01</v>
      </c>
      <c r="G459" s="4">
        <v>152547.47</v>
      </c>
      <c r="H459" s="4">
        <v>130247.42</v>
      </c>
      <c r="I459" s="4">
        <v>250761.64</v>
      </c>
      <c r="J459" s="4">
        <v>247425.66</v>
      </c>
      <c r="K459" s="4">
        <v>124466.26</v>
      </c>
      <c r="L459" s="4">
        <v>0</v>
      </c>
      <c r="M459" s="4">
        <v>127188.22</v>
      </c>
      <c r="N459" s="4">
        <v>66101.539999999994</v>
      </c>
      <c r="O459" s="4">
        <v>84047.76</v>
      </c>
      <c r="P459" s="4">
        <v>418311.29</v>
      </c>
      <c r="Q459" s="4">
        <v>97574.11</v>
      </c>
      <c r="R459" s="4">
        <v>0</v>
      </c>
      <c r="S459" s="4">
        <v>0</v>
      </c>
      <c r="T459" s="4">
        <v>0</v>
      </c>
      <c r="U459" s="4">
        <v>0</v>
      </c>
      <c r="V459" s="4">
        <v>637647.34</v>
      </c>
      <c r="W459" s="4">
        <v>6931143.0700000003</v>
      </c>
      <c r="X459" s="4">
        <v>164196.10999999999</v>
      </c>
      <c r="Y459" s="4">
        <v>19065506.84</v>
      </c>
      <c r="Z459" s="4"/>
      <c r="AA459" s="4"/>
      <c r="AB459" s="4">
        <v>188746538.16</v>
      </c>
      <c r="AC459" s="4">
        <v>71270.880000000005</v>
      </c>
      <c r="AD459" s="4">
        <v>512475.62</v>
      </c>
      <c r="AE459" s="4">
        <v>0</v>
      </c>
      <c r="AF459" s="4">
        <v>78457.429999999993</v>
      </c>
      <c r="AG459" s="4">
        <v>115616.48</v>
      </c>
      <c r="AH459" s="4">
        <v>231029.64</v>
      </c>
      <c r="AI459" s="4">
        <v>122662.8</v>
      </c>
      <c r="AJ459" s="4">
        <v>0</v>
      </c>
      <c r="AK459" s="4">
        <v>471595.28</v>
      </c>
      <c r="AL459" s="4">
        <v>207288.81</v>
      </c>
      <c r="AM459" s="4">
        <v>30351.29</v>
      </c>
      <c r="AN459" s="4">
        <v>0</v>
      </c>
      <c r="AO459" s="4">
        <v>332027.49</v>
      </c>
      <c r="AP459" s="4">
        <v>0</v>
      </c>
      <c r="AQ459" s="4">
        <v>42085.63</v>
      </c>
      <c r="AR459" s="4">
        <v>0</v>
      </c>
      <c r="AS459" s="4">
        <v>0</v>
      </c>
      <c r="AT459" s="4">
        <v>14633.63</v>
      </c>
      <c r="AU459" s="4">
        <v>0</v>
      </c>
      <c r="AV459" s="4">
        <v>477400.57</v>
      </c>
      <c r="AW459" s="4">
        <v>1574746.53</v>
      </c>
      <c r="AX459" s="4">
        <v>1711036.84</v>
      </c>
      <c r="AY459" s="4">
        <v>1140663.21</v>
      </c>
      <c r="AZ459" s="4"/>
      <c r="BA459" s="4"/>
      <c r="BB459" s="4">
        <f t="shared" ref="BB459:BB471" si="72">SUM(B459:AY459)</f>
        <v>224838380.19</v>
      </c>
    </row>
    <row r="460" spans="1:54" x14ac:dyDescent="0.2">
      <c r="A460" s="3">
        <v>33635</v>
      </c>
      <c r="B460" s="4">
        <v>75571.820000000007</v>
      </c>
      <c r="C460" s="4">
        <v>0</v>
      </c>
      <c r="D460" s="4">
        <v>160843.04999999999</v>
      </c>
      <c r="E460" s="4">
        <v>0</v>
      </c>
      <c r="F460" s="4">
        <v>108345.11</v>
      </c>
      <c r="G460" s="4">
        <v>116004.76</v>
      </c>
      <c r="H460" s="4">
        <v>95433.05</v>
      </c>
      <c r="I460" s="4">
        <v>187747.31</v>
      </c>
      <c r="J460" s="4">
        <v>182192.25</v>
      </c>
      <c r="K460" s="4">
        <v>89701.68</v>
      </c>
      <c r="L460" s="4">
        <v>0</v>
      </c>
      <c r="M460" s="4">
        <v>133508.06</v>
      </c>
      <c r="N460" s="4">
        <v>54644.23</v>
      </c>
      <c r="O460" s="4">
        <v>62172.92</v>
      </c>
      <c r="P460" s="4">
        <v>307699.11</v>
      </c>
      <c r="Q460" s="4">
        <v>71738.12</v>
      </c>
      <c r="R460" s="4">
        <v>0</v>
      </c>
      <c r="S460" s="4">
        <v>0</v>
      </c>
      <c r="T460" s="4">
        <v>0</v>
      </c>
      <c r="U460" s="4">
        <v>0</v>
      </c>
      <c r="V460" s="4">
        <v>465691.66</v>
      </c>
      <c r="W460" s="4">
        <v>5180381.6500000004</v>
      </c>
      <c r="X460" s="4">
        <v>124905.60000000001</v>
      </c>
      <c r="Y460" s="4">
        <v>13966886.210000001</v>
      </c>
      <c r="Z460" s="4"/>
      <c r="AA460" s="4"/>
      <c r="AB460" s="4">
        <v>140361979.18000001</v>
      </c>
      <c r="AC460" s="4">
        <v>54025.77</v>
      </c>
      <c r="AD460" s="4">
        <v>366300.09</v>
      </c>
      <c r="AE460" s="4">
        <v>0</v>
      </c>
      <c r="AF460" s="4">
        <v>61714.84</v>
      </c>
      <c r="AG460" s="4">
        <v>82532.03</v>
      </c>
      <c r="AH460" s="4">
        <v>171188.05</v>
      </c>
      <c r="AI460" s="4">
        <v>94271.67</v>
      </c>
      <c r="AJ460" s="4">
        <v>0</v>
      </c>
      <c r="AK460" s="4">
        <v>336025.89</v>
      </c>
      <c r="AL460" s="4">
        <v>159974.41</v>
      </c>
      <c r="AM460" s="4">
        <v>24360.17</v>
      </c>
      <c r="AN460" s="4">
        <v>0</v>
      </c>
      <c r="AO460" s="4">
        <v>249585.56</v>
      </c>
      <c r="AP460" s="4">
        <v>0</v>
      </c>
      <c r="AQ460" s="4">
        <v>29637.85</v>
      </c>
      <c r="AR460" s="4">
        <v>0</v>
      </c>
      <c r="AS460" s="4">
        <v>0</v>
      </c>
      <c r="AT460" s="4">
        <v>10023.27</v>
      </c>
      <c r="AU460" s="4">
        <v>0</v>
      </c>
      <c r="AV460" s="4">
        <v>360177.14</v>
      </c>
      <c r="AW460" s="4">
        <v>1166082.79</v>
      </c>
      <c r="AX460" s="4">
        <v>1263546.51</v>
      </c>
      <c r="AY460" s="4">
        <v>842335.06</v>
      </c>
      <c r="AZ460" s="4"/>
      <c r="BA460" s="4"/>
      <c r="BB460" s="4">
        <f t="shared" si="72"/>
        <v>167017226.86999997</v>
      </c>
    </row>
    <row r="461" spans="1:54" x14ac:dyDescent="0.2">
      <c r="A461" s="3">
        <v>33664</v>
      </c>
      <c r="B461" s="4">
        <v>147799.60999999999</v>
      </c>
      <c r="C461" s="4">
        <v>0</v>
      </c>
      <c r="D461" s="4">
        <v>354670.64</v>
      </c>
      <c r="E461" s="4">
        <v>0</v>
      </c>
      <c r="F461" s="4">
        <v>225733.59</v>
      </c>
      <c r="G461" s="4">
        <v>225444.36</v>
      </c>
      <c r="H461" s="4">
        <v>256362.33</v>
      </c>
      <c r="I461" s="4">
        <v>400919.43</v>
      </c>
      <c r="J461" s="4">
        <v>425362.17</v>
      </c>
      <c r="K461" s="4">
        <v>225490.87</v>
      </c>
      <c r="L461" s="4">
        <v>46153.77</v>
      </c>
      <c r="M461" s="4">
        <v>262846.15999999997</v>
      </c>
      <c r="N461" s="4">
        <v>164013.4</v>
      </c>
      <c r="O461" s="4">
        <v>193479.8</v>
      </c>
      <c r="P461" s="4">
        <v>604599.68999999994</v>
      </c>
      <c r="Q461" s="4">
        <v>157848.67000000001</v>
      </c>
      <c r="R461" s="4">
        <v>464.91</v>
      </c>
      <c r="S461" s="4">
        <v>0</v>
      </c>
      <c r="T461" s="4">
        <v>50849.06</v>
      </c>
      <c r="U461" s="4">
        <v>0</v>
      </c>
      <c r="V461" s="4">
        <v>821054.64</v>
      </c>
      <c r="W461" s="4">
        <v>12515523.9</v>
      </c>
      <c r="X461" s="4">
        <v>865669.87</v>
      </c>
      <c r="Y461" s="4">
        <v>24220528.460000001</v>
      </c>
      <c r="Z461" s="4"/>
      <c r="AA461" s="4"/>
      <c r="AB461" s="4">
        <v>228765938.87</v>
      </c>
      <c r="AC461" s="4">
        <v>59029.22</v>
      </c>
      <c r="AD461" s="4">
        <v>634516.77</v>
      </c>
      <c r="AE461" s="4">
        <v>0</v>
      </c>
      <c r="AF461" s="4">
        <v>145572.34</v>
      </c>
      <c r="AG461" s="4">
        <v>327220.68</v>
      </c>
      <c r="AH461" s="4">
        <v>351405.45</v>
      </c>
      <c r="AI461" s="4">
        <v>208530.13</v>
      </c>
      <c r="AJ461" s="4">
        <v>12565.5</v>
      </c>
      <c r="AK461" s="4">
        <v>710909.96</v>
      </c>
      <c r="AL461" s="4">
        <v>0</v>
      </c>
      <c r="AM461" s="4">
        <v>34792.160000000003</v>
      </c>
      <c r="AN461" s="4">
        <v>0</v>
      </c>
      <c r="AO461" s="4">
        <v>467602.04</v>
      </c>
      <c r="AP461" s="4">
        <v>0</v>
      </c>
      <c r="AQ461" s="4">
        <v>55309.47</v>
      </c>
      <c r="AR461" s="4">
        <v>0</v>
      </c>
      <c r="AS461" s="4">
        <v>173349.43</v>
      </c>
      <c r="AT461" s="4">
        <v>19039.62</v>
      </c>
      <c r="AU461" s="4">
        <v>353.84</v>
      </c>
      <c r="AV461" s="4">
        <v>708673.62</v>
      </c>
      <c r="AW461" s="4">
        <v>1609709.29</v>
      </c>
      <c r="AX461" s="4">
        <v>2357330.36</v>
      </c>
      <c r="AY461" s="4">
        <v>1571384.25</v>
      </c>
      <c r="AZ461" s="4"/>
      <c r="BA461" s="4"/>
      <c r="BB461" s="4">
        <f t="shared" si="72"/>
        <v>280378048.33000004</v>
      </c>
    </row>
    <row r="462" spans="1:54" x14ac:dyDescent="0.2">
      <c r="A462" s="3">
        <v>33695</v>
      </c>
      <c r="B462" s="4">
        <v>92613.73</v>
      </c>
      <c r="C462" s="4">
        <v>0</v>
      </c>
      <c r="D462" s="4">
        <v>187661.75</v>
      </c>
      <c r="E462" s="4">
        <v>0</v>
      </c>
      <c r="F462" s="4">
        <v>142020.25</v>
      </c>
      <c r="G462" s="4">
        <v>140802.13</v>
      </c>
      <c r="H462" s="4">
        <v>111026.1</v>
      </c>
      <c r="I462" s="4">
        <v>209727.32</v>
      </c>
      <c r="J462" s="4">
        <v>219410.7</v>
      </c>
      <c r="K462" s="4">
        <v>97065.94</v>
      </c>
      <c r="L462" s="4">
        <v>0</v>
      </c>
      <c r="M462" s="4">
        <v>150966.89000000001</v>
      </c>
      <c r="N462" s="4">
        <v>68059.520000000004</v>
      </c>
      <c r="O462" s="4">
        <v>75853.83</v>
      </c>
      <c r="P462" s="4">
        <v>333948.03999999998</v>
      </c>
      <c r="Q462" s="4">
        <v>78938.350000000006</v>
      </c>
      <c r="R462" s="4">
        <v>0</v>
      </c>
      <c r="S462" s="4">
        <v>37274.67</v>
      </c>
      <c r="T462" s="4">
        <v>6831.7</v>
      </c>
      <c r="U462" s="4">
        <v>0</v>
      </c>
      <c r="V462" s="4">
        <v>486376.53</v>
      </c>
      <c r="W462" s="4">
        <v>6328831.9500000002</v>
      </c>
      <c r="X462" s="4">
        <v>225840</v>
      </c>
      <c r="Y462" s="4">
        <v>16008450.09</v>
      </c>
      <c r="Z462" s="4"/>
      <c r="AA462" s="4"/>
      <c r="AB462" s="4">
        <v>155473924.75</v>
      </c>
      <c r="AC462" s="4">
        <v>51047.81</v>
      </c>
      <c r="AD462" s="4">
        <v>438750.24</v>
      </c>
      <c r="AE462" s="4">
        <v>38703.300000000003</v>
      </c>
      <c r="AF462" s="4">
        <v>66362.09</v>
      </c>
      <c r="AG462" s="4">
        <v>88257.39</v>
      </c>
      <c r="AH462" s="4">
        <v>179965.55</v>
      </c>
      <c r="AI462" s="4">
        <v>108844.82</v>
      </c>
      <c r="AJ462" s="4">
        <v>0</v>
      </c>
      <c r="AK462" s="4">
        <v>381630.86</v>
      </c>
      <c r="AL462" s="4">
        <v>100435.3</v>
      </c>
      <c r="AM462" s="4">
        <v>21965.66</v>
      </c>
      <c r="AN462" s="4">
        <v>0</v>
      </c>
      <c r="AO462" s="4">
        <v>278613.57</v>
      </c>
      <c r="AP462" s="4">
        <v>0</v>
      </c>
      <c r="AQ462" s="4">
        <v>31615.34</v>
      </c>
      <c r="AR462" s="4">
        <v>0</v>
      </c>
      <c r="AS462" s="4">
        <v>0</v>
      </c>
      <c r="AT462" s="4">
        <v>53088.959999999999</v>
      </c>
      <c r="AU462" s="4">
        <v>0</v>
      </c>
      <c r="AV462" s="4">
        <v>452167.73</v>
      </c>
      <c r="AW462" s="4">
        <v>1239408.08</v>
      </c>
      <c r="AX462" s="4">
        <v>1356151.85</v>
      </c>
      <c r="AY462" s="4">
        <v>904001.86</v>
      </c>
      <c r="AZ462" s="4"/>
      <c r="BA462" s="4"/>
      <c r="BB462" s="4">
        <f t="shared" si="72"/>
        <v>186266634.65000007</v>
      </c>
    </row>
    <row r="463" spans="1:54" x14ac:dyDescent="0.2">
      <c r="A463" s="3">
        <v>33725</v>
      </c>
      <c r="B463" s="4">
        <v>94329.17</v>
      </c>
      <c r="C463" s="4">
        <v>0</v>
      </c>
      <c r="D463" s="4">
        <v>191533.02</v>
      </c>
      <c r="E463" s="4">
        <v>0</v>
      </c>
      <c r="F463" s="4">
        <v>145838.32999999999</v>
      </c>
      <c r="G463" s="4">
        <v>154328</v>
      </c>
      <c r="H463" s="4">
        <v>117728.72</v>
      </c>
      <c r="I463" s="4">
        <v>220056.34</v>
      </c>
      <c r="J463" s="4">
        <v>221937.95</v>
      </c>
      <c r="K463" s="4">
        <v>103112.14</v>
      </c>
      <c r="L463" s="4">
        <v>0</v>
      </c>
      <c r="M463" s="4">
        <v>150803.31</v>
      </c>
      <c r="N463" s="4">
        <v>65821.55</v>
      </c>
      <c r="O463" s="4">
        <v>76472.73</v>
      </c>
      <c r="P463" s="4">
        <v>336821.98</v>
      </c>
      <c r="Q463" s="4">
        <v>88246.38</v>
      </c>
      <c r="R463" s="4">
        <v>0</v>
      </c>
      <c r="S463" s="4">
        <v>38498.17</v>
      </c>
      <c r="T463" s="4">
        <v>7886.7</v>
      </c>
      <c r="U463" s="4">
        <v>0</v>
      </c>
      <c r="V463" s="4">
        <v>499111.05</v>
      </c>
      <c r="W463" s="4">
        <v>5945643.54</v>
      </c>
      <c r="X463" s="4">
        <v>236525.23</v>
      </c>
      <c r="Y463" s="4">
        <v>15968890.16</v>
      </c>
      <c r="Z463" s="4"/>
      <c r="AA463" s="4"/>
      <c r="AB463" s="4">
        <v>154170394.22</v>
      </c>
      <c r="AC463" s="4">
        <v>53178.720000000001</v>
      </c>
      <c r="AD463" s="4">
        <v>429724.21</v>
      </c>
      <c r="AE463" s="4">
        <v>40135.230000000003</v>
      </c>
      <c r="AF463" s="4">
        <v>71666.03</v>
      </c>
      <c r="AG463" s="4">
        <v>90454.38</v>
      </c>
      <c r="AH463" s="4">
        <v>195789.24</v>
      </c>
      <c r="AI463" s="4">
        <v>116629.06</v>
      </c>
      <c r="AJ463" s="4">
        <v>0</v>
      </c>
      <c r="AK463" s="4">
        <v>397694.31</v>
      </c>
      <c r="AL463" s="4">
        <v>174892.24</v>
      </c>
      <c r="AM463" s="4">
        <v>22895.88</v>
      </c>
      <c r="AN463" s="4">
        <v>0</v>
      </c>
      <c r="AO463" s="4">
        <v>301874.5</v>
      </c>
      <c r="AP463" s="4">
        <v>0</v>
      </c>
      <c r="AQ463" s="4">
        <v>33975.17</v>
      </c>
      <c r="AR463" s="4">
        <v>0</v>
      </c>
      <c r="AS463" s="4">
        <v>0</v>
      </c>
      <c r="AT463" s="4">
        <v>15126.3</v>
      </c>
      <c r="AU463" s="4">
        <v>0</v>
      </c>
      <c r="AV463" s="4">
        <v>471746.11</v>
      </c>
      <c r="AW463" s="4">
        <v>1270501.51</v>
      </c>
      <c r="AX463" s="4">
        <v>1341479.5</v>
      </c>
      <c r="AY463" s="4">
        <v>893326.02</v>
      </c>
      <c r="AZ463" s="4"/>
      <c r="BA463" s="4"/>
      <c r="BB463" s="4">
        <f t="shared" si="72"/>
        <v>184755067.10000002</v>
      </c>
    </row>
    <row r="464" spans="1:54" x14ac:dyDescent="0.2">
      <c r="A464" s="3">
        <v>33756</v>
      </c>
      <c r="B464" s="4">
        <v>209660.95</v>
      </c>
      <c r="C464" s="4">
        <v>0</v>
      </c>
      <c r="D464" s="4">
        <v>279834.53000000003</v>
      </c>
      <c r="E464" s="4">
        <v>0</v>
      </c>
      <c r="F464" s="4">
        <v>255512.9</v>
      </c>
      <c r="G464" s="4">
        <v>277982.7</v>
      </c>
      <c r="H464" s="4">
        <v>310961.96999999997</v>
      </c>
      <c r="I464" s="4">
        <v>411268.21</v>
      </c>
      <c r="J464" s="4">
        <v>395461.44</v>
      </c>
      <c r="K464" s="4">
        <v>187542.61</v>
      </c>
      <c r="L464" s="4">
        <v>3147.9</v>
      </c>
      <c r="M464" s="4">
        <v>330129.96000000002</v>
      </c>
      <c r="N464" s="4">
        <v>208443.79</v>
      </c>
      <c r="O464" s="4">
        <v>154276.1</v>
      </c>
      <c r="P464" s="4">
        <v>604024.86</v>
      </c>
      <c r="Q464" s="4">
        <v>212139.81</v>
      </c>
      <c r="R464" s="4">
        <v>0</v>
      </c>
      <c r="S464" s="4">
        <v>195615.35999999999</v>
      </c>
      <c r="T464" s="4">
        <v>51832.35</v>
      </c>
      <c r="U464" s="4">
        <v>262.05</v>
      </c>
      <c r="V464" s="4">
        <v>898546.52</v>
      </c>
      <c r="W464" s="4">
        <v>15153200.58</v>
      </c>
      <c r="X464" s="4">
        <v>594559.26</v>
      </c>
      <c r="Y464" s="4">
        <v>25855103.800000001</v>
      </c>
      <c r="Z464" s="4"/>
      <c r="AA464" s="4"/>
      <c r="AB464" s="4">
        <v>232563673.27000001</v>
      </c>
      <c r="AC464" s="4">
        <v>68611.22</v>
      </c>
      <c r="AD464" s="4">
        <v>685000</v>
      </c>
      <c r="AE464" s="4">
        <v>169928.9</v>
      </c>
      <c r="AF464" s="4">
        <v>144740.5</v>
      </c>
      <c r="AG464" s="4">
        <v>257446.98</v>
      </c>
      <c r="AH464" s="4">
        <v>420944.03</v>
      </c>
      <c r="AI464" s="4">
        <v>214728.28</v>
      </c>
      <c r="AJ464" s="4">
        <v>9138.61</v>
      </c>
      <c r="AK464" s="4">
        <v>781470.1</v>
      </c>
      <c r="AL464" s="4">
        <v>279807.93</v>
      </c>
      <c r="AM464" s="4">
        <v>28849.52</v>
      </c>
      <c r="AN464" s="4">
        <v>0</v>
      </c>
      <c r="AO464" s="4">
        <v>659155.28</v>
      </c>
      <c r="AP464" s="4">
        <v>0</v>
      </c>
      <c r="AQ464" s="4">
        <v>76367.350000000006</v>
      </c>
      <c r="AR464" s="4">
        <v>5930.74</v>
      </c>
      <c r="AS464" s="4">
        <v>43819.05</v>
      </c>
      <c r="AT464" s="4">
        <v>44370.6</v>
      </c>
      <c r="AU464" s="4">
        <v>352.84</v>
      </c>
      <c r="AV464" s="4">
        <v>771267.67</v>
      </c>
      <c r="AW464" s="4">
        <v>1758396.06</v>
      </c>
      <c r="AX464" s="4">
        <v>2087700.25</v>
      </c>
      <c r="AY464" s="4">
        <v>1391748.5</v>
      </c>
      <c r="AZ464" s="4"/>
      <c r="BA464" s="4"/>
      <c r="BB464" s="4">
        <f t="shared" si="72"/>
        <v>289052955.33000004</v>
      </c>
    </row>
    <row r="465" spans="1:54" x14ac:dyDescent="0.2">
      <c r="A465" s="3">
        <v>33786</v>
      </c>
      <c r="B465" s="4">
        <v>92985.8</v>
      </c>
      <c r="C465" s="4">
        <v>0</v>
      </c>
      <c r="D465" s="4">
        <v>208730.16</v>
      </c>
      <c r="E465" s="4">
        <v>0</v>
      </c>
      <c r="F465" s="4">
        <v>160134.25</v>
      </c>
      <c r="G465" s="4">
        <v>167967.35999999999</v>
      </c>
      <c r="H465" s="4">
        <v>130509.98</v>
      </c>
      <c r="I465" s="4">
        <v>298573.08</v>
      </c>
      <c r="J465" s="4">
        <v>216486.12</v>
      </c>
      <c r="K465" s="4">
        <v>102596.57</v>
      </c>
      <c r="L465" s="4">
        <v>0</v>
      </c>
      <c r="M465" s="4">
        <v>148707.53</v>
      </c>
      <c r="N465" s="4">
        <v>70660.509999999995</v>
      </c>
      <c r="O465" s="4">
        <v>86839.27</v>
      </c>
      <c r="P465" s="4">
        <v>367342.26</v>
      </c>
      <c r="Q465" s="4">
        <v>100008.38</v>
      </c>
      <c r="R465" s="4">
        <v>0</v>
      </c>
      <c r="S465" s="4">
        <v>41102.5</v>
      </c>
      <c r="T465" s="4">
        <v>15257.04</v>
      </c>
      <c r="U465" s="4">
        <v>0</v>
      </c>
      <c r="V465" s="4">
        <v>509112.23</v>
      </c>
      <c r="W465" s="4">
        <v>5812594.7199999997</v>
      </c>
      <c r="X465" s="4">
        <v>290319.59999999998</v>
      </c>
      <c r="Y465" s="4">
        <v>17257612.34</v>
      </c>
      <c r="Z465" s="4"/>
      <c r="AA465" s="4"/>
      <c r="AB465" s="4">
        <v>161290433.81999999</v>
      </c>
      <c r="AC465" s="4">
        <v>46128.07</v>
      </c>
      <c r="AD465" s="4">
        <v>448236.26</v>
      </c>
      <c r="AE465" s="4">
        <v>44714.45</v>
      </c>
      <c r="AF465" s="4">
        <v>80301.740000000005</v>
      </c>
      <c r="AG465" s="4">
        <v>117210.47</v>
      </c>
      <c r="AH465" s="4">
        <v>228722.75</v>
      </c>
      <c r="AI465" s="4">
        <v>116073.42</v>
      </c>
      <c r="AJ465" s="4">
        <v>0</v>
      </c>
      <c r="AK465" s="4">
        <v>436951.48</v>
      </c>
      <c r="AL465" s="4">
        <v>191336.58</v>
      </c>
      <c r="AM465" s="4">
        <v>19268.919999999998</v>
      </c>
      <c r="AN465" s="4">
        <v>0</v>
      </c>
      <c r="AO465" s="4">
        <v>307802.61</v>
      </c>
      <c r="AP465" s="4">
        <v>0</v>
      </c>
      <c r="AQ465" s="4">
        <v>33064.49</v>
      </c>
      <c r="AR465" s="4">
        <v>0</v>
      </c>
      <c r="AS465" s="4">
        <v>0</v>
      </c>
      <c r="AT465" s="4">
        <v>13925.5</v>
      </c>
      <c r="AU465" s="4">
        <v>0</v>
      </c>
      <c r="AV465" s="4">
        <v>451668.22</v>
      </c>
      <c r="AW465" s="4">
        <v>1220921.56</v>
      </c>
      <c r="AX465" s="4">
        <v>1403282.42</v>
      </c>
      <c r="AY465" s="4">
        <v>935491.1</v>
      </c>
      <c r="AZ465" s="4"/>
      <c r="BA465" s="4"/>
      <c r="BB465" s="4">
        <f t="shared" si="72"/>
        <v>193463073.55999994</v>
      </c>
    </row>
    <row r="466" spans="1:54" x14ac:dyDescent="0.2">
      <c r="A466" s="3">
        <v>33817</v>
      </c>
      <c r="B466" s="4">
        <v>88160.89</v>
      </c>
      <c r="C466" s="4">
        <v>0</v>
      </c>
      <c r="D466" s="4">
        <v>199742.65</v>
      </c>
      <c r="E466" s="4">
        <v>0</v>
      </c>
      <c r="F466" s="4">
        <v>155143.28</v>
      </c>
      <c r="G466" s="4">
        <v>152898.47</v>
      </c>
      <c r="H466" s="4">
        <v>124448.44</v>
      </c>
      <c r="I466" s="4">
        <v>220458.95</v>
      </c>
      <c r="J466" s="4">
        <v>214800.04</v>
      </c>
      <c r="K466" s="4">
        <v>94176.8</v>
      </c>
      <c r="L466" s="4">
        <v>0</v>
      </c>
      <c r="M466" s="4">
        <v>152482.09</v>
      </c>
      <c r="N466" s="4">
        <v>64755.95</v>
      </c>
      <c r="O466" s="4">
        <v>83116.009999999995</v>
      </c>
      <c r="P466" s="4">
        <v>338070.37</v>
      </c>
      <c r="Q466" s="4">
        <v>94630.82</v>
      </c>
      <c r="R466" s="4">
        <v>0</v>
      </c>
      <c r="S466" s="4">
        <v>40316.730000000003</v>
      </c>
      <c r="T466" s="4">
        <v>11679.98</v>
      </c>
      <c r="U466" s="4">
        <v>0</v>
      </c>
      <c r="V466" s="4">
        <v>483704.99</v>
      </c>
      <c r="W466" s="4">
        <v>6105202.29</v>
      </c>
      <c r="X466" s="4">
        <v>271900.40000000002</v>
      </c>
      <c r="Y466" s="4">
        <v>16678666.869999999</v>
      </c>
      <c r="Z466" s="4"/>
      <c r="AA466" s="4"/>
      <c r="AB466" s="4">
        <v>158401039.25</v>
      </c>
      <c r="AC466" s="4">
        <v>44890.15</v>
      </c>
      <c r="AD466" s="4">
        <v>462869.16</v>
      </c>
      <c r="AE466" s="4">
        <v>43756.59</v>
      </c>
      <c r="AF466" s="4">
        <v>67008.77</v>
      </c>
      <c r="AG466" s="4">
        <v>107637.99</v>
      </c>
      <c r="AH466" s="4">
        <v>204054.85</v>
      </c>
      <c r="AI466" s="4">
        <v>100887.22</v>
      </c>
      <c r="AJ466" s="4">
        <v>0</v>
      </c>
      <c r="AK466" s="4">
        <v>419874.92</v>
      </c>
      <c r="AL466" s="4">
        <v>169398.1</v>
      </c>
      <c r="AM466" s="4">
        <v>18632.650000000001</v>
      </c>
      <c r="AN466" s="4">
        <v>0</v>
      </c>
      <c r="AO466" s="4">
        <v>298229.53999999998</v>
      </c>
      <c r="AP466" s="4">
        <v>0</v>
      </c>
      <c r="AQ466" s="4">
        <v>36442.51</v>
      </c>
      <c r="AR466" s="4">
        <v>0</v>
      </c>
      <c r="AS466" s="4">
        <v>0</v>
      </c>
      <c r="AT466" s="4">
        <v>13683.95</v>
      </c>
      <c r="AU466" s="4">
        <v>0</v>
      </c>
      <c r="AV466" s="4">
        <v>440250.44</v>
      </c>
      <c r="AW466" s="4">
        <v>1148286.5900000001</v>
      </c>
      <c r="AX466" s="4">
        <v>1330503.23</v>
      </c>
      <c r="AY466" s="4">
        <v>886923.6</v>
      </c>
      <c r="AZ466" s="4"/>
      <c r="BA466" s="4"/>
      <c r="BB466" s="4">
        <f t="shared" si="72"/>
        <v>189768725.52999997</v>
      </c>
    </row>
    <row r="467" spans="1:54" x14ac:dyDescent="0.2">
      <c r="A467" s="3">
        <v>33848</v>
      </c>
      <c r="B467" s="4">
        <v>180515.87</v>
      </c>
      <c r="C467" s="4">
        <v>0</v>
      </c>
      <c r="D467" s="4">
        <v>344839.74</v>
      </c>
      <c r="E467" s="4">
        <v>0</v>
      </c>
      <c r="F467" s="4">
        <v>270075.2</v>
      </c>
      <c r="G467" s="4">
        <v>321572.09000000003</v>
      </c>
      <c r="H467" s="4">
        <v>206251.5</v>
      </c>
      <c r="I467" s="4">
        <v>322220.71000000002</v>
      </c>
      <c r="J467" s="4">
        <v>358133.12</v>
      </c>
      <c r="K467" s="4">
        <v>195380.52</v>
      </c>
      <c r="L467" s="4">
        <v>404.21</v>
      </c>
      <c r="M467" s="4">
        <v>368592.88</v>
      </c>
      <c r="N467" s="4">
        <v>193654.78</v>
      </c>
      <c r="O467" s="4">
        <v>199079.1</v>
      </c>
      <c r="P467" s="4">
        <v>644324.44999999995</v>
      </c>
      <c r="Q467" s="4">
        <v>189275.96</v>
      </c>
      <c r="R467" s="4">
        <v>0</v>
      </c>
      <c r="S467" s="4">
        <v>131820.54</v>
      </c>
      <c r="T467" s="4">
        <v>87595.6</v>
      </c>
      <c r="U467" s="4">
        <v>0</v>
      </c>
      <c r="V467" s="4">
        <v>933349.01</v>
      </c>
      <c r="W467" s="4">
        <v>12566519.26</v>
      </c>
      <c r="X467" s="4">
        <v>672474.6</v>
      </c>
      <c r="Y467" s="4">
        <v>26108753.100000001</v>
      </c>
      <c r="Z467" s="4"/>
      <c r="AA467" s="4"/>
      <c r="AB467" s="4">
        <v>213176274.94999999</v>
      </c>
      <c r="AC467" s="4">
        <v>51624.51</v>
      </c>
      <c r="AD467" s="4">
        <v>694895.79</v>
      </c>
      <c r="AE467" s="4">
        <v>113353.86</v>
      </c>
      <c r="AF467" s="4">
        <v>152634.29999999999</v>
      </c>
      <c r="AG467" s="4">
        <v>195821.03</v>
      </c>
      <c r="AH467" s="4">
        <v>432421.94</v>
      </c>
      <c r="AI467" s="4">
        <v>229810.26</v>
      </c>
      <c r="AJ467" s="4">
        <v>0</v>
      </c>
      <c r="AK467" s="4">
        <v>810942.28</v>
      </c>
      <c r="AL467" s="4">
        <v>400456.35</v>
      </c>
      <c r="AM467" s="4">
        <v>21769.98</v>
      </c>
      <c r="AN467" s="4">
        <v>0</v>
      </c>
      <c r="AO467" s="4">
        <v>697039.52</v>
      </c>
      <c r="AP467" s="4">
        <v>0</v>
      </c>
      <c r="AQ467" s="4">
        <v>67017.600000000006</v>
      </c>
      <c r="AR467" s="4">
        <v>1145.82</v>
      </c>
      <c r="AS467" s="4">
        <v>0</v>
      </c>
      <c r="AT467" s="4">
        <v>26163.279999999999</v>
      </c>
      <c r="AU467" s="4">
        <v>2363.35</v>
      </c>
      <c r="AV467" s="4">
        <v>893166.16</v>
      </c>
      <c r="AW467" s="4">
        <v>1995535.73</v>
      </c>
      <c r="AX467" s="4">
        <v>1638760.54</v>
      </c>
      <c r="AY467" s="4">
        <v>1092143.1000000001</v>
      </c>
      <c r="AZ467" s="4"/>
      <c r="BA467" s="4"/>
      <c r="BB467" s="4">
        <f t="shared" si="72"/>
        <v>266988172.58999994</v>
      </c>
    </row>
    <row r="468" spans="1:54" x14ac:dyDescent="0.2">
      <c r="A468" s="3">
        <v>33878</v>
      </c>
      <c r="B468" s="4">
        <v>95454.54</v>
      </c>
      <c r="C468" s="4">
        <v>0</v>
      </c>
      <c r="D468" s="4">
        <v>175557.43</v>
      </c>
      <c r="E468" s="4">
        <v>0</v>
      </c>
      <c r="F468" s="4">
        <v>152322.85999999999</v>
      </c>
      <c r="G468" s="4">
        <v>201502.27</v>
      </c>
      <c r="H468" s="4">
        <v>145846.04</v>
      </c>
      <c r="I468" s="4">
        <v>224764.16</v>
      </c>
      <c r="J468" s="4">
        <v>218047.3</v>
      </c>
      <c r="K468" s="4">
        <v>104621.17</v>
      </c>
      <c r="L468" s="4">
        <v>0</v>
      </c>
      <c r="M468" s="4">
        <v>178545.09</v>
      </c>
      <c r="N468" s="4">
        <v>67949.17</v>
      </c>
      <c r="O468" s="4">
        <v>71871.69</v>
      </c>
      <c r="P468" s="4">
        <v>358582.03</v>
      </c>
      <c r="Q468" s="4">
        <v>97755.04</v>
      </c>
      <c r="R468" s="4">
        <v>0</v>
      </c>
      <c r="S468" s="4">
        <v>63098.87</v>
      </c>
      <c r="T468" s="4">
        <v>14797.85</v>
      </c>
      <c r="U468" s="4">
        <v>0</v>
      </c>
      <c r="V468" s="4">
        <v>555653.87</v>
      </c>
      <c r="W468" s="4">
        <v>6001639.2199999997</v>
      </c>
      <c r="X468" s="4">
        <v>233294.93</v>
      </c>
      <c r="Y468" s="4">
        <v>17005268.52</v>
      </c>
      <c r="Z468" s="4"/>
      <c r="AA468" s="4"/>
      <c r="AB468" s="4">
        <v>161264438.15000001</v>
      </c>
      <c r="AC468" s="4">
        <v>42120.52</v>
      </c>
      <c r="AD468" s="4">
        <v>466855.93</v>
      </c>
      <c r="AE468" s="4">
        <v>67972.05</v>
      </c>
      <c r="AF468" s="4">
        <v>110275.98</v>
      </c>
      <c r="AG468" s="4">
        <v>113698.83</v>
      </c>
      <c r="AH468" s="4">
        <v>235706.73</v>
      </c>
      <c r="AI468" s="4">
        <v>109446.37</v>
      </c>
      <c r="AJ468" s="4">
        <v>0</v>
      </c>
      <c r="AK468" s="4">
        <v>394939.36</v>
      </c>
      <c r="AL468" s="4">
        <v>176714.58</v>
      </c>
      <c r="AM468" s="4">
        <v>19877.16</v>
      </c>
      <c r="AN468" s="4">
        <v>0</v>
      </c>
      <c r="AO468" s="4">
        <v>294592.46000000002</v>
      </c>
      <c r="AP468" s="4">
        <v>0</v>
      </c>
      <c r="AQ468" s="4">
        <v>34236.050000000003</v>
      </c>
      <c r="AR468" s="4">
        <v>0</v>
      </c>
      <c r="AS468" s="4">
        <v>0</v>
      </c>
      <c r="AT468" s="4">
        <v>15324.03</v>
      </c>
      <c r="AU468" s="4">
        <v>0</v>
      </c>
      <c r="AV468" s="4">
        <v>471013.77</v>
      </c>
      <c r="AW468" s="4">
        <v>1327750.46</v>
      </c>
      <c r="AX468" s="4">
        <v>1469801.38</v>
      </c>
      <c r="AY468" s="4">
        <v>979013.03</v>
      </c>
      <c r="AZ468" s="4"/>
      <c r="BA468" s="4"/>
      <c r="BB468" s="4">
        <f t="shared" si="72"/>
        <v>193560348.89000008</v>
      </c>
    </row>
    <row r="469" spans="1:54" x14ac:dyDescent="0.2">
      <c r="A469" s="3">
        <v>33909</v>
      </c>
      <c r="B469" s="4">
        <v>97325.11</v>
      </c>
      <c r="C469" s="4">
        <v>0</v>
      </c>
      <c r="D469" s="4">
        <v>180514.29</v>
      </c>
      <c r="E469" s="4">
        <v>0</v>
      </c>
      <c r="F469" s="4">
        <v>131034.08</v>
      </c>
      <c r="G469" s="4">
        <v>160650.06</v>
      </c>
      <c r="H469" s="4">
        <v>140858.82</v>
      </c>
      <c r="I469" s="4">
        <v>220699.83</v>
      </c>
      <c r="J469" s="4">
        <v>232871.01</v>
      </c>
      <c r="K469" s="4">
        <v>98145.02</v>
      </c>
      <c r="L469" s="4">
        <v>0</v>
      </c>
      <c r="M469" s="4">
        <v>160823.97</v>
      </c>
      <c r="N469" s="4">
        <v>65004.66</v>
      </c>
      <c r="O469" s="4">
        <v>70643.839999999997</v>
      </c>
      <c r="P469" s="4">
        <v>345973.38</v>
      </c>
      <c r="Q469" s="4">
        <v>94460.49</v>
      </c>
      <c r="R469" s="4">
        <v>0</v>
      </c>
      <c r="S469" s="4">
        <v>59557.58</v>
      </c>
      <c r="T469" s="4">
        <v>11019.34</v>
      </c>
      <c r="U469" s="4">
        <v>0</v>
      </c>
      <c r="V469" s="4">
        <v>526729.74</v>
      </c>
      <c r="W469" s="4">
        <v>5754251.6699999999</v>
      </c>
      <c r="X469" s="4">
        <v>228608.96</v>
      </c>
      <c r="Y469" s="4">
        <v>16234780.59</v>
      </c>
      <c r="Z469" s="4"/>
      <c r="AA469" s="4"/>
      <c r="AB469" s="4">
        <v>154451056.06</v>
      </c>
      <c r="AC469" s="4">
        <v>42131.17</v>
      </c>
      <c r="AD469" s="4">
        <v>441609.74</v>
      </c>
      <c r="AE469" s="4">
        <v>67877.320000000007</v>
      </c>
      <c r="AF469" s="4">
        <v>55728.45</v>
      </c>
      <c r="AG469" s="4">
        <v>114425.57</v>
      </c>
      <c r="AH469" s="4">
        <v>201793.13</v>
      </c>
      <c r="AI469" s="4">
        <v>106395.25</v>
      </c>
      <c r="AJ469" s="4">
        <v>0</v>
      </c>
      <c r="AK469" s="4">
        <v>395229.59</v>
      </c>
      <c r="AL469" s="4">
        <v>173426.91</v>
      </c>
      <c r="AM469" s="4">
        <v>19885.810000000001</v>
      </c>
      <c r="AN469" s="4">
        <v>0</v>
      </c>
      <c r="AO469" s="4">
        <v>288024.81</v>
      </c>
      <c r="AP469" s="4">
        <v>0</v>
      </c>
      <c r="AQ469" s="4">
        <v>32471.93</v>
      </c>
      <c r="AR469" s="4">
        <v>0</v>
      </c>
      <c r="AS469" s="4">
        <v>0</v>
      </c>
      <c r="AT469" s="4">
        <v>13809.53</v>
      </c>
      <c r="AU469" s="4">
        <v>0</v>
      </c>
      <c r="AV469" s="4">
        <v>449973.12</v>
      </c>
      <c r="AW469" s="4">
        <v>1221962.32</v>
      </c>
      <c r="AX469" s="4">
        <v>1382247.51</v>
      </c>
      <c r="AY469" s="4">
        <v>921458.49</v>
      </c>
      <c r="AZ469" s="4"/>
      <c r="BA469" s="4"/>
      <c r="BB469" s="4">
        <f t="shared" si="72"/>
        <v>185193459.14999998</v>
      </c>
    </row>
    <row r="470" spans="1:54" x14ac:dyDescent="0.2">
      <c r="A470" s="3">
        <v>33939</v>
      </c>
      <c r="B470" s="4">
        <f>148437.95+29959.68</f>
        <v>178397.63</v>
      </c>
      <c r="C470" s="4">
        <v>0</v>
      </c>
      <c r="D470" s="4">
        <f>353915.31+69295.88</f>
        <v>423211.19</v>
      </c>
      <c r="E470" s="4">
        <v>0</v>
      </c>
      <c r="F470" s="4">
        <f>260299.39+45997.01</f>
        <v>306296.40000000002</v>
      </c>
      <c r="G470" s="4">
        <f>284215.61+49245.59</f>
        <v>333461.19999999995</v>
      </c>
      <c r="H470" s="4">
        <f>355065.03+63518.9</f>
        <v>418583.93000000005</v>
      </c>
      <c r="I470" s="4">
        <f>451936.76+83080.95</f>
        <v>535017.71</v>
      </c>
      <c r="J470" s="4">
        <f>389261.7+78669.06</f>
        <v>467930.76</v>
      </c>
      <c r="K470" s="4">
        <f>166976.37+38763.89</f>
        <v>205740.26</v>
      </c>
      <c r="L470" s="4">
        <v>8122.36</v>
      </c>
      <c r="M470" s="4">
        <f>257789.53+54800.92</f>
        <v>312590.45</v>
      </c>
      <c r="N470" s="4">
        <f>176401.53+25704.54</f>
        <v>202106.07</v>
      </c>
      <c r="O470" s="4">
        <f>146209.52+30850.1</f>
        <v>177059.62</v>
      </c>
      <c r="P470" s="4">
        <f>717367.93+129065.04</f>
        <v>846432.97000000009</v>
      </c>
      <c r="Q470" s="4">
        <f>165000.94+33406.51</f>
        <v>198407.45</v>
      </c>
      <c r="R470" s="4">
        <v>0</v>
      </c>
      <c r="S470" s="4">
        <f>133637.7+20624.8</f>
        <v>154262.5</v>
      </c>
      <c r="T470" s="4">
        <f>75872.33+1889.16</f>
        <v>77761.490000000005</v>
      </c>
      <c r="U470" s="4">
        <v>260.23</v>
      </c>
      <c r="V470" s="4">
        <f>758970.42+195482.65</f>
        <v>954453.07000000007</v>
      </c>
      <c r="W470" s="4">
        <f>14488337.42+1951368.3</f>
        <v>16439705.720000001</v>
      </c>
      <c r="X470" s="4">
        <f>856115.44+97887.69</f>
        <v>954003.12999999989</v>
      </c>
      <c r="Y470" s="4">
        <f>26473565.34+5700935.06</f>
        <v>32174500.399999999</v>
      </c>
      <c r="Z470" s="4"/>
      <c r="AA470" s="4"/>
      <c r="AB470" s="4">
        <f>235986425.23+55032464.94</f>
        <v>291018890.16999996</v>
      </c>
      <c r="AC470" s="4">
        <f>63451.84+22692.2</f>
        <v>86144.04</v>
      </c>
      <c r="AD470" s="4">
        <f>638457.28+152014.54</f>
        <v>790471.82000000007</v>
      </c>
      <c r="AE470" s="4">
        <f>128276.28+23956.56</f>
        <v>152232.84</v>
      </c>
      <c r="AF470" s="4">
        <f>95981.73+29404.67</f>
        <v>125386.4</v>
      </c>
      <c r="AG470" s="4">
        <f>186613.92+45382.16</f>
        <v>231996.08000000002</v>
      </c>
      <c r="AH470" s="4">
        <f>332694.36+78783.89</f>
        <v>411478.25</v>
      </c>
      <c r="AI470" s="4">
        <f>210236.8+43988.04</f>
        <v>254224.84</v>
      </c>
      <c r="AJ470" s="4">
        <v>598.80999999999995</v>
      </c>
      <c r="AK470" s="4">
        <f>822945.7+152465.14</f>
        <v>975410.84</v>
      </c>
      <c r="AL470" s="4">
        <f>232546.56+65413.49</f>
        <v>297960.05</v>
      </c>
      <c r="AM470" s="4">
        <f>26516.88+10346.69</f>
        <v>36863.57</v>
      </c>
      <c r="AN470" s="4">
        <v>0</v>
      </c>
      <c r="AO470" s="4">
        <f>498158.41+104092.99</f>
        <v>602251.4</v>
      </c>
      <c r="AP470" s="4">
        <v>0</v>
      </c>
      <c r="AQ470" s="4">
        <f>45197.01+11553.21</f>
        <v>56750.22</v>
      </c>
      <c r="AR470" s="4">
        <v>122.51</v>
      </c>
      <c r="AS470" s="4">
        <v>0</v>
      </c>
      <c r="AT470" s="4">
        <f>22813.01+4442.5</f>
        <v>27255.51</v>
      </c>
      <c r="AU470" s="4">
        <v>308</v>
      </c>
      <c r="AV470" s="4">
        <f>866035.43+162677.74</f>
        <v>1028713.17</v>
      </c>
      <c r="AW470" s="4">
        <f>1600782.32+481436.63</f>
        <v>2082218.9500000002</v>
      </c>
      <c r="AX470" s="4">
        <f>2012212.82+523183.42</f>
        <v>2535396.2400000002</v>
      </c>
      <c r="AY470" s="4">
        <f>1341314.22+348788.94</f>
        <v>1690103.16</v>
      </c>
      <c r="AZ470" s="4"/>
      <c r="BA470" s="4"/>
      <c r="BB470" s="4">
        <f t="shared" si="72"/>
        <v>357773081.40999991</v>
      </c>
    </row>
    <row r="471" spans="1:54" ht="15.75" thickBot="1" x14ac:dyDescent="0.25">
      <c r="A471" s="1" t="s">
        <v>13</v>
      </c>
      <c r="B471" s="5">
        <f t="shared" ref="B471:AY471" si="73">SUM(B459:B470)</f>
        <v>1455255.7800000003</v>
      </c>
      <c r="C471" s="5">
        <f t="shared" si="73"/>
        <v>0</v>
      </c>
      <c r="D471" s="5">
        <f t="shared" si="73"/>
        <v>2918073.95</v>
      </c>
      <c r="E471" s="5">
        <f t="shared" si="73"/>
        <v>0</v>
      </c>
      <c r="F471" s="5">
        <f t="shared" si="73"/>
        <v>2200415.2599999998</v>
      </c>
      <c r="G471" s="5">
        <f t="shared" si="73"/>
        <v>2405160.87</v>
      </c>
      <c r="H471" s="5">
        <f t="shared" si="73"/>
        <v>2188258.3000000003</v>
      </c>
      <c r="I471" s="5">
        <f t="shared" si="73"/>
        <v>3502214.6900000004</v>
      </c>
      <c r="J471" s="5">
        <f t="shared" si="73"/>
        <v>3400058.5199999996</v>
      </c>
      <c r="K471" s="5">
        <f t="shared" si="73"/>
        <v>1628039.84</v>
      </c>
      <c r="L471" s="5">
        <f t="shared" si="73"/>
        <v>57828.24</v>
      </c>
      <c r="M471" s="5">
        <f t="shared" si="73"/>
        <v>2477184.6100000003</v>
      </c>
      <c r="N471" s="5">
        <f t="shared" si="73"/>
        <v>1291215.1700000002</v>
      </c>
      <c r="O471" s="5">
        <f t="shared" si="73"/>
        <v>1334912.67</v>
      </c>
      <c r="P471" s="5">
        <f t="shared" si="73"/>
        <v>5506130.4299999997</v>
      </c>
      <c r="Q471" s="5">
        <f t="shared" si="73"/>
        <v>1481023.5799999998</v>
      </c>
      <c r="R471" s="5">
        <f t="shared" si="73"/>
        <v>464.91</v>
      </c>
      <c r="S471" s="5">
        <f t="shared" si="73"/>
        <v>761546.91999999993</v>
      </c>
      <c r="T471" s="5">
        <f t="shared" si="73"/>
        <v>335511.11000000004</v>
      </c>
      <c r="U471" s="5">
        <f t="shared" si="73"/>
        <v>522.28</v>
      </c>
      <c r="V471" s="5">
        <f t="shared" si="73"/>
        <v>7771430.6500000004</v>
      </c>
      <c r="W471" s="5">
        <f t="shared" si="73"/>
        <v>104734637.56999999</v>
      </c>
      <c r="X471" s="5">
        <f t="shared" si="73"/>
        <v>4862297.6900000004</v>
      </c>
      <c r="Y471" s="5">
        <f t="shared" si="73"/>
        <v>240544947.38000003</v>
      </c>
      <c r="Z471" s="5"/>
      <c r="AA471" s="5"/>
      <c r="AB471" s="5">
        <f t="shared" si="73"/>
        <v>2239684580.8499999</v>
      </c>
      <c r="AC471" s="5">
        <f t="shared" si="73"/>
        <v>670202.08000000007</v>
      </c>
      <c r="AD471" s="5">
        <f t="shared" si="73"/>
        <v>6371705.6300000008</v>
      </c>
      <c r="AE471" s="5">
        <f t="shared" si="73"/>
        <v>738674.53999999992</v>
      </c>
      <c r="AF471" s="5">
        <f t="shared" si="73"/>
        <v>1159848.8699999999</v>
      </c>
      <c r="AG471" s="5">
        <f t="shared" si="73"/>
        <v>1842317.9100000001</v>
      </c>
      <c r="AH471" s="5">
        <f t="shared" si="73"/>
        <v>3264499.61</v>
      </c>
      <c r="AI471" s="5">
        <f t="shared" si="73"/>
        <v>1782504.1200000003</v>
      </c>
      <c r="AJ471" s="5">
        <f t="shared" si="73"/>
        <v>22302.920000000002</v>
      </c>
      <c r="AK471" s="5">
        <f t="shared" si="73"/>
        <v>6512674.8700000001</v>
      </c>
      <c r="AL471" s="5">
        <f t="shared" si="73"/>
        <v>2331691.2600000002</v>
      </c>
      <c r="AM471" s="5">
        <f t="shared" si="73"/>
        <v>299512.77</v>
      </c>
      <c r="AN471" s="5">
        <f t="shared" si="73"/>
        <v>0</v>
      </c>
      <c r="AO471" s="5">
        <f t="shared" si="73"/>
        <v>4776798.78</v>
      </c>
      <c r="AP471" s="5">
        <f t="shared" si="73"/>
        <v>0</v>
      </c>
      <c r="AQ471" s="5">
        <f t="shared" si="73"/>
        <v>528973.61</v>
      </c>
      <c r="AR471" s="5">
        <f t="shared" si="73"/>
        <v>7199.07</v>
      </c>
      <c r="AS471" s="5">
        <f t="shared" si="73"/>
        <v>217168.47999999998</v>
      </c>
      <c r="AT471" s="5">
        <f t="shared" si="73"/>
        <v>266444.18</v>
      </c>
      <c r="AU471" s="5">
        <f t="shared" si="73"/>
        <v>3378.0299999999997</v>
      </c>
      <c r="AV471" s="5">
        <f t="shared" si="73"/>
        <v>6976217.7199999997</v>
      </c>
      <c r="AW471" s="5">
        <f t="shared" si="73"/>
        <v>17615519.870000001</v>
      </c>
      <c r="AX471" s="5">
        <f t="shared" si="73"/>
        <v>19877236.630000003</v>
      </c>
      <c r="AY471" s="5">
        <f t="shared" si="73"/>
        <v>13248591.379999999</v>
      </c>
      <c r="AZ471" s="5"/>
      <c r="BA471" s="5"/>
      <c r="BB471" s="5">
        <f t="shared" si="72"/>
        <v>2719055173.6000004</v>
      </c>
    </row>
    <row r="472" spans="1:54" ht="15.75" thickTop="1" x14ac:dyDescent="0.2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</row>
    <row r="473" spans="1:54" x14ac:dyDescent="0.2">
      <c r="A473" s="3">
        <v>33239</v>
      </c>
      <c r="B473" s="4">
        <v>103306.79</v>
      </c>
      <c r="C473" s="4">
        <v>0</v>
      </c>
      <c r="D473" s="4">
        <v>207986.65</v>
      </c>
      <c r="E473" s="4">
        <v>0</v>
      </c>
      <c r="F473" s="4">
        <v>131511.59</v>
      </c>
      <c r="G473" s="4">
        <v>158077.69</v>
      </c>
      <c r="H473" s="4">
        <v>0</v>
      </c>
      <c r="I473" s="4">
        <v>223322.46</v>
      </c>
      <c r="J473" s="4">
        <v>260679.89</v>
      </c>
      <c r="K473" s="4">
        <v>119333.53</v>
      </c>
      <c r="L473" s="4">
        <v>0</v>
      </c>
      <c r="M473" s="4">
        <v>113115.81</v>
      </c>
      <c r="N473" s="4">
        <v>72287.16</v>
      </c>
      <c r="O473" s="4">
        <v>84945.7</v>
      </c>
      <c r="P473" s="4">
        <v>367694.43</v>
      </c>
      <c r="Q473" s="4">
        <v>84950.33</v>
      </c>
      <c r="R473" s="4">
        <v>0</v>
      </c>
      <c r="S473" s="4">
        <v>0</v>
      </c>
      <c r="T473" s="4">
        <v>12870.88</v>
      </c>
      <c r="U473" s="4">
        <v>0</v>
      </c>
      <c r="V473" s="4">
        <v>664324.06000000006</v>
      </c>
      <c r="W473" s="4">
        <v>6634823.5499999998</v>
      </c>
      <c r="X473" s="4">
        <v>0</v>
      </c>
      <c r="Y473" s="4">
        <v>18524173.91</v>
      </c>
      <c r="Z473" s="4"/>
      <c r="AA473" s="4"/>
      <c r="AB473" s="4">
        <v>195891153.94</v>
      </c>
      <c r="AC473" s="4">
        <v>72409.759999999995</v>
      </c>
      <c r="AD473" s="4">
        <v>536326.29</v>
      </c>
      <c r="AE473" s="4">
        <v>0</v>
      </c>
      <c r="AF473" s="4">
        <v>63981.07</v>
      </c>
      <c r="AG473" s="4">
        <v>111544.65</v>
      </c>
      <c r="AH473" s="4">
        <v>281667.39</v>
      </c>
      <c r="AI473" s="4">
        <v>126091.62</v>
      </c>
      <c r="AJ473" s="4">
        <v>38486.269999999997</v>
      </c>
      <c r="AK473" s="4">
        <v>474243.76</v>
      </c>
      <c r="AL473" s="4">
        <v>219150.72</v>
      </c>
      <c r="AM473" s="4">
        <v>33725</v>
      </c>
      <c r="AN473" s="4">
        <v>0</v>
      </c>
      <c r="AO473" s="4">
        <v>341027.09</v>
      </c>
      <c r="AP473" s="4">
        <v>50286.23</v>
      </c>
      <c r="AQ473" s="4">
        <v>40010.980000000003</v>
      </c>
      <c r="AR473" s="4">
        <v>0</v>
      </c>
      <c r="AS473" s="4">
        <v>0</v>
      </c>
      <c r="AT473" s="4">
        <v>12156.3</v>
      </c>
      <c r="AU473" s="4">
        <v>0</v>
      </c>
      <c r="AV473" s="4">
        <v>512433.65</v>
      </c>
      <c r="AW473" s="4">
        <v>1559763.56</v>
      </c>
      <c r="AX473" s="4">
        <v>1623728.56</v>
      </c>
      <c r="AY473" s="4">
        <v>1082485.6399999999</v>
      </c>
      <c r="AZ473" s="4"/>
      <c r="BA473" s="4"/>
      <c r="BB473" s="4">
        <f t="shared" ref="BB473:BB485" si="74">SUM(B473:AY473)</f>
        <v>230834076.90999997</v>
      </c>
    </row>
    <row r="474" spans="1:54" x14ac:dyDescent="0.2">
      <c r="A474" s="3">
        <v>33270</v>
      </c>
      <c r="B474" s="4">
        <v>82103.5</v>
      </c>
      <c r="C474" s="4">
        <v>0</v>
      </c>
      <c r="D474" s="4">
        <v>167336.87</v>
      </c>
      <c r="E474" s="4">
        <v>0</v>
      </c>
      <c r="F474" s="4">
        <v>102319.17</v>
      </c>
      <c r="G474" s="4">
        <v>121407.85</v>
      </c>
      <c r="H474" s="4">
        <v>0</v>
      </c>
      <c r="I474" s="4">
        <v>195221.86</v>
      </c>
      <c r="J474" s="4">
        <v>211109.25</v>
      </c>
      <c r="K474" s="4">
        <v>95704.69</v>
      </c>
      <c r="L474" s="4">
        <v>0</v>
      </c>
      <c r="M474" s="4">
        <v>151200.95999999999</v>
      </c>
      <c r="N474" s="4">
        <v>58928.27</v>
      </c>
      <c r="O474" s="4">
        <v>76378.06</v>
      </c>
      <c r="P474" s="4">
        <v>290514.88</v>
      </c>
      <c r="Q474" s="4">
        <v>69437.69</v>
      </c>
      <c r="R474" s="4">
        <v>0</v>
      </c>
      <c r="S474" s="4">
        <v>0</v>
      </c>
      <c r="T474" s="4">
        <v>5134.24</v>
      </c>
      <c r="U474" s="4">
        <v>0</v>
      </c>
      <c r="V474" s="4">
        <v>514154.65</v>
      </c>
      <c r="W474" s="4">
        <v>5188744.3099999996</v>
      </c>
      <c r="X474" s="4">
        <v>0</v>
      </c>
      <c r="Y474" s="4">
        <v>14555967.68</v>
      </c>
      <c r="Z474" s="4"/>
      <c r="AA474" s="4"/>
      <c r="AB474" s="4">
        <v>154959198.06</v>
      </c>
      <c r="AC474" s="4">
        <v>58776.63</v>
      </c>
      <c r="AD474" s="4">
        <v>414550.64</v>
      </c>
      <c r="AE474" s="4">
        <v>0</v>
      </c>
      <c r="AF474" s="4">
        <v>52659.09</v>
      </c>
      <c r="AG474" s="4">
        <v>89013.68</v>
      </c>
      <c r="AH474" s="4">
        <v>207972.79</v>
      </c>
      <c r="AI474" s="4">
        <v>100987.47</v>
      </c>
      <c r="AJ474" s="4">
        <v>32044.79</v>
      </c>
      <c r="AK474" s="4">
        <v>383702.98</v>
      </c>
      <c r="AL474" s="4">
        <v>172417.75</v>
      </c>
      <c r="AM474" s="4">
        <v>27826.55</v>
      </c>
      <c r="AN474" s="4">
        <v>0</v>
      </c>
      <c r="AO474" s="4">
        <v>275897.59999999998</v>
      </c>
      <c r="AP474" s="4">
        <v>41448.839999999997</v>
      </c>
      <c r="AQ474" s="4">
        <v>30969.200000000001</v>
      </c>
      <c r="AR474" s="4">
        <v>0</v>
      </c>
      <c r="AS474" s="4">
        <v>0</v>
      </c>
      <c r="AT474" s="4">
        <v>9886.9699999999993</v>
      </c>
      <c r="AU474" s="4">
        <v>0</v>
      </c>
      <c r="AV474" s="4">
        <v>394146.76</v>
      </c>
      <c r="AW474" s="4">
        <v>1263522.06</v>
      </c>
      <c r="AX474" s="4">
        <v>1290375.69</v>
      </c>
      <c r="AY474" s="4">
        <v>860250.4</v>
      </c>
      <c r="AZ474" s="4"/>
      <c r="BA474" s="4"/>
      <c r="BB474" s="4">
        <f t="shared" si="74"/>
        <v>182551311.87999997</v>
      </c>
    </row>
    <row r="475" spans="1:54" x14ac:dyDescent="0.2">
      <c r="A475" s="3">
        <v>33298</v>
      </c>
      <c r="B475" s="4">
        <v>127000</v>
      </c>
      <c r="C475" s="4">
        <v>0</v>
      </c>
      <c r="D475" s="4">
        <v>228726.48</v>
      </c>
      <c r="E475" s="4">
        <v>0</v>
      </c>
      <c r="F475" s="4">
        <v>295375.34999999998</v>
      </c>
      <c r="G475" s="4">
        <v>284303.32</v>
      </c>
      <c r="H475" s="4">
        <v>0</v>
      </c>
      <c r="I475" s="4">
        <v>388501.65</v>
      </c>
      <c r="J475" s="4">
        <v>446546.42</v>
      </c>
      <c r="K475" s="4">
        <v>174659.68</v>
      </c>
      <c r="L475" s="4">
        <v>12764.68</v>
      </c>
      <c r="M475" s="4">
        <v>302728.43</v>
      </c>
      <c r="N475" s="4">
        <v>115266.27</v>
      </c>
      <c r="O475" s="4">
        <v>99000</v>
      </c>
      <c r="P475" s="4">
        <v>670523.42000000004</v>
      </c>
      <c r="Q475" s="4">
        <v>161802.79</v>
      </c>
      <c r="R475" s="4">
        <v>0</v>
      </c>
      <c r="S475" s="4">
        <v>0</v>
      </c>
      <c r="T475" s="4">
        <v>116919.15</v>
      </c>
      <c r="U475" s="4">
        <v>109.58</v>
      </c>
      <c r="V475" s="4">
        <v>995951.07</v>
      </c>
      <c r="W475" s="4">
        <v>16347645.439999999</v>
      </c>
      <c r="X475" s="4">
        <v>0</v>
      </c>
      <c r="Y475" s="4">
        <v>24964189.870000001</v>
      </c>
      <c r="Z475" s="4"/>
      <c r="AA475" s="4"/>
      <c r="AB475" s="4">
        <v>218400779.61000001</v>
      </c>
      <c r="AC475" s="4">
        <v>58272.9</v>
      </c>
      <c r="AD475" s="4">
        <v>720008.94</v>
      </c>
      <c r="AE475" s="4">
        <v>0</v>
      </c>
      <c r="AF475" s="4">
        <v>148750.57</v>
      </c>
      <c r="AG475" s="4">
        <v>153345.62</v>
      </c>
      <c r="AH475" s="4">
        <v>238000</v>
      </c>
      <c r="AI475" s="4">
        <v>180040.07</v>
      </c>
      <c r="AJ475" s="4">
        <v>35690.269999999997</v>
      </c>
      <c r="AK475" s="4">
        <v>584561.84</v>
      </c>
      <c r="AL475" s="4">
        <v>199000</v>
      </c>
      <c r="AM475" s="4">
        <v>21030.89</v>
      </c>
      <c r="AN475" s="4">
        <v>0</v>
      </c>
      <c r="AO475" s="4">
        <v>479947.32</v>
      </c>
      <c r="AP475" s="4">
        <v>27591.54</v>
      </c>
      <c r="AQ475" s="4">
        <v>43000</v>
      </c>
      <c r="AR475" s="4">
        <v>0</v>
      </c>
      <c r="AS475" s="4">
        <v>79739.58</v>
      </c>
      <c r="AT475" s="4">
        <v>12000</v>
      </c>
      <c r="AU475" s="4">
        <v>0</v>
      </c>
      <c r="AV475" s="4">
        <v>765136</v>
      </c>
      <c r="AW475" s="4">
        <v>1621231.17</v>
      </c>
      <c r="AX475" s="4">
        <v>1805504.84</v>
      </c>
      <c r="AY475" s="4">
        <v>1203308.01</v>
      </c>
      <c r="AZ475" s="4"/>
      <c r="BA475" s="4"/>
      <c r="BB475" s="4">
        <f t="shared" si="74"/>
        <v>272508952.76999998</v>
      </c>
    </row>
    <row r="476" spans="1:54" x14ac:dyDescent="0.2">
      <c r="A476" s="3">
        <v>33329</v>
      </c>
      <c r="B476" s="4">
        <v>71912.08</v>
      </c>
      <c r="C476" s="4">
        <v>0</v>
      </c>
      <c r="D476" s="4">
        <v>173983.14</v>
      </c>
      <c r="E476" s="4">
        <v>0</v>
      </c>
      <c r="F476" s="4">
        <v>142651.71</v>
      </c>
      <c r="G476" s="4">
        <v>124592.85</v>
      </c>
      <c r="H476" s="4">
        <v>199183.06</v>
      </c>
      <c r="I476" s="4">
        <v>230092.91</v>
      </c>
      <c r="J476" s="4">
        <v>236427.97</v>
      </c>
      <c r="K476" s="4">
        <v>93358.62</v>
      </c>
      <c r="L476" s="4">
        <v>0</v>
      </c>
      <c r="M476" s="4">
        <v>190171.26</v>
      </c>
      <c r="N476" s="4">
        <v>69993.7</v>
      </c>
      <c r="O476" s="4">
        <v>0</v>
      </c>
      <c r="P476" s="4">
        <v>305889.07</v>
      </c>
      <c r="Q476" s="4">
        <v>78242.259999999995</v>
      </c>
      <c r="R476" s="4">
        <v>0</v>
      </c>
      <c r="S476" s="4">
        <v>0</v>
      </c>
      <c r="T476" s="4">
        <v>6354.46</v>
      </c>
      <c r="U476" s="4">
        <v>0</v>
      </c>
      <c r="V476" s="4">
        <v>485662.48</v>
      </c>
      <c r="W476" s="4">
        <v>5410938.8399999999</v>
      </c>
      <c r="X476" s="4">
        <v>223455.47</v>
      </c>
      <c r="Y476" s="4">
        <v>15120374.560000001</v>
      </c>
      <c r="Z476" s="4"/>
      <c r="AA476" s="4"/>
      <c r="AB476" s="4">
        <v>155138846.5</v>
      </c>
      <c r="AC476" s="4">
        <v>57446.05</v>
      </c>
      <c r="AD476" s="4">
        <v>428644.64</v>
      </c>
      <c r="AE476" s="4">
        <v>0</v>
      </c>
      <c r="AF476" s="4">
        <v>60412.42</v>
      </c>
      <c r="AG476" s="4">
        <v>83560.539999999994</v>
      </c>
      <c r="AH476" s="4">
        <v>161679.18</v>
      </c>
      <c r="AI476" s="4">
        <v>100566.24</v>
      </c>
      <c r="AJ476" s="4">
        <v>60661.41</v>
      </c>
      <c r="AK476" s="4">
        <v>394203.83</v>
      </c>
      <c r="AL476" s="4">
        <v>161929.69</v>
      </c>
      <c r="AM476" s="4">
        <v>22362.41</v>
      </c>
      <c r="AN476" s="4">
        <v>0</v>
      </c>
      <c r="AO476" s="4">
        <v>289714.56</v>
      </c>
      <c r="AP476" s="4">
        <v>13988.52</v>
      </c>
      <c r="AQ476" s="4">
        <v>30869.63</v>
      </c>
      <c r="AR476" s="4">
        <v>0</v>
      </c>
      <c r="AS476" s="4">
        <v>250.51</v>
      </c>
      <c r="AT476" s="4">
        <v>13992.52</v>
      </c>
      <c r="AU476" s="4">
        <v>0</v>
      </c>
      <c r="AV476" s="4">
        <v>436648.99</v>
      </c>
      <c r="AW476" s="4">
        <v>1088527.04</v>
      </c>
      <c r="AX476" s="4">
        <v>1302626.01</v>
      </c>
      <c r="AY476" s="4">
        <v>868417.32</v>
      </c>
      <c r="AZ476" s="4"/>
      <c r="BA476" s="4"/>
      <c r="BB476" s="4">
        <f t="shared" si="74"/>
        <v>183878632.44999999</v>
      </c>
    </row>
    <row r="477" spans="1:54" x14ac:dyDescent="0.2">
      <c r="A477" s="3">
        <v>33359</v>
      </c>
      <c r="B477" s="4">
        <v>86422.399999999994</v>
      </c>
      <c r="C477" s="4">
        <v>0</v>
      </c>
      <c r="D477" s="4">
        <v>170293.15</v>
      </c>
      <c r="E477" s="4">
        <v>0</v>
      </c>
      <c r="F477" s="4">
        <v>143970.07</v>
      </c>
      <c r="G477" s="4">
        <v>129359.47</v>
      </c>
      <c r="H477" s="4">
        <v>210724.41</v>
      </c>
      <c r="I477" s="4">
        <v>229181.73</v>
      </c>
      <c r="J477" s="4">
        <v>236489.39</v>
      </c>
      <c r="K477" s="4">
        <v>95076.58</v>
      </c>
      <c r="L477" s="4">
        <v>0</v>
      </c>
      <c r="M477" s="4">
        <v>191771.13</v>
      </c>
      <c r="N477" s="4">
        <v>72536.800000000003</v>
      </c>
      <c r="O477" s="4">
        <v>70326.820000000007</v>
      </c>
      <c r="P477" s="4">
        <v>308804.78999999998</v>
      </c>
      <c r="Q477" s="4">
        <v>81016.83</v>
      </c>
      <c r="R477" s="4">
        <v>0</v>
      </c>
      <c r="S477" s="4">
        <v>0</v>
      </c>
      <c r="T477" s="4">
        <v>5825.54</v>
      </c>
      <c r="U477" s="4">
        <v>0</v>
      </c>
      <c r="V477" s="4">
        <v>489241.91</v>
      </c>
      <c r="W477" s="4">
        <v>5440400.9100000001</v>
      </c>
      <c r="X477" s="4">
        <v>232880.32</v>
      </c>
      <c r="Y477" s="4">
        <v>15364758.720000001</v>
      </c>
      <c r="Z477" s="4"/>
      <c r="AA477" s="4"/>
      <c r="AB477" s="4">
        <v>155264520.09</v>
      </c>
      <c r="AC477" s="4">
        <v>59937.84</v>
      </c>
      <c r="AD477" s="4">
        <v>426987.07</v>
      </c>
      <c r="AE477" s="4">
        <v>0</v>
      </c>
      <c r="AF477" s="4">
        <v>62633.75</v>
      </c>
      <c r="AG477" s="4">
        <v>87864.320000000007</v>
      </c>
      <c r="AH477" s="4">
        <v>194411.59</v>
      </c>
      <c r="AI477" s="4">
        <v>101137.64</v>
      </c>
      <c r="AJ477" s="4">
        <v>63207.57</v>
      </c>
      <c r="AK477" s="4">
        <v>404695.03</v>
      </c>
      <c r="AL477" s="4">
        <v>171699.35</v>
      </c>
      <c r="AM477" s="4">
        <v>23305.599999999999</v>
      </c>
      <c r="AN477" s="4">
        <v>0</v>
      </c>
      <c r="AO477" s="4">
        <v>299806.75</v>
      </c>
      <c r="AP477" s="4">
        <v>14625.18</v>
      </c>
      <c r="AQ477" s="4">
        <v>32718.58</v>
      </c>
      <c r="AR477" s="4">
        <v>0</v>
      </c>
      <c r="AS477" s="4">
        <v>0</v>
      </c>
      <c r="AT477" s="4">
        <v>14461.71</v>
      </c>
      <c r="AU477" s="4">
        <v>0</v>
      </c>
      <c r="AV477" s="4">
        <v>437056.49</v>
      </c>
      <c r="AW477" s="4">
        <v>1119906.02</v>
      </c>
      <c r="AX477" s="4">
        <v>1282133.94</v>
      </c>
      <c r="AY477" s="4">
        <v>854755.94</v>
      </c>
      <c r="AZ477" s="4"/>
      <c r="BA477" s="4"/>
      <c r="BB477" s="4">
        <f t="shared" si="74"/>
        <v>184474945.43000001</v>
      </c>
    </row>
    <row r="478" spans="1:54" x14ac:dyDescent="0.2">
      <c r="A478" s="3">
        <v>33390</v>
      </c>
      <c r="B478" s="4">
        <v>208991.79</v>
      </c>
      <c r="C478" s="4">
        <v>0</v>
      </c>
      <c r="D478" s="4">
        <v>312738.33</v>
      </c>
      <c r="E478" s="4">
        <v>0</v>
      </c>
      <c r="F478" s="4">
        <v>290091.49</v>
      </c>
      <c r="G478" s="4">
        <v>296944.09999999998</v>
      </c>
      <c r="H478" s="4">
        <v>484521.56</v>
      </c>
      <c r="I478" s="4">
        <v>418561.27</v>
      </c>
      <c r="J478" s="4">
        <v>463825.34</v>
      </c>
      <c r="K478" s="4">
        <v>223264</v>
      </c>
      <c r="L478" s="4">
        <v>9148.9</v>
      </c>
      <c r="M478" s="4">
        <v>256985.99</v>
      </c>
      <c r="N478" s="4">
        <v>139270.65</v>
      </c>
      <c r="O478" s="4">
        <v>156713.45000000001</v>
      </c>
      <c r="P478" s="4">
        <v>827583.42</v>
      </c>
      <c r="Q478" s="4">
        <v>171605.19</v>
      </c>
      <c r="R478" s="4">
        <v>21.45</v>
      </c>
      <c r="S478" s="4">
        <v>0</v>
      </c>
      <c r="T478" s="4">
        <v>71772.149999999994</v>
      </c>
      <c r="U478" s="4">
        <v>106.22</v>
      </c>
      <c r="V478" s="4">
        <v>945555.92</v>
      </c>
      <c r="W478" s="4">
        <v>15216350.18</v>
      </c>
      <c r="X478" s="4">
        <v>483000</v>
      </c>
      <c r="Y478" s="4">
        <v>26270510.359999999</v>
      </c>
      <c r="Z478" s="4"/>
      <c r="AA478" s="4"/>
      <c r="AB478" s="4">
        <v>236933785.13999999</v>
      </c>
      <c r="AC478" s="4">
        <v>59874.879999999997</v>
      </c>
      <c r="AD478" s="4">
        <v>950417.64</v>
      </c>
      <c r="AE478" s="4">
        <v>0</v>
      </c>
      <c r="AF478" s="4">
        <v>121586.55</v>
      </c>
      <c r="AG478" s="4">
        <v>199881.69</v>
      </c>
      <c r="AH478" s="4">
        <v>277847.78000000003</v>
      </c>
      <c r="AI478" s="4">
        <v>212566.5</v>
      </c>
      <c r="AJ478" s="4">
        <v>88000</v>
      </c>
      <c r="AK478" s="4">
        <v>719679.16</v>
      </c>
      <c r="AL478" s="4">
        <v>408841.43</v>
      </c>
      <c r="AM478" s="4">
        <v>25453.19</v>
      </c>
      <c r="AN478" s="4">
        <v>0</v>
      </c>
      <c r="AO478" s="4">
        <v>457705.41</v>
      </c>
      <c r="AP478" s="4">
        <v>11664.9</v>
      </c>
      <c r="AQ478" s="4">
        <v>66377.509999999995</v>
      </c>
      <c r="AR478" s="4">
        <v>568.42999999999995</v>
      </c>
      <c r="AS478" s="4">
        <v>79095.37</v>
      </c>
      <c r="AT478" s="4">
        <v>28673.77</v>
      </c>
      <c r="AU478" s="4">
        <v>1997.9</v>
      </c>
      <c r="AV478" s="4">
        <v>965992.8</v>
      </c>
      <c r="AW478" s="4">
        <v>2020339.86</v>
      </c>
      <c r="AX478" s="4">
        <v>2489938.69</v>
      </c>
      <c r="AY478" s="4">
        <v>1659455.1</v>
      </c>
      <c r="AZ478" s="4"/>
      <c r="BA478" s="4"/>
      <c r="BB478" s="4">
        <f t="shared" si="74"/>
        <v>295027305.45999998</v>
      </c>
    </row>
    <row r="479" spans="1:54" x14ac:dyDescent="0.2">
      <c r="A479" s="3">
        <v>33420</v>
      </c>
      <c r="B479" s="4">
        <v>103260.28</v>
      </c>
      <c r="C479" s="4">
        <v>0</v>
      </c>
      <c r="D479" s="4">
        <v>227001.15</v>
      </c>
      <c r="E479" s="4">
        <v>0</v>
      </c>
      <c r="F479" s="4">
        <v>155258.49</v>
      </c>
      <c r="G479" s="4">
        <v>161226.71</v>
      </c>
      <c r="H479" s="4">
        <v>53535.839999999997</v>
      </c>
      <c r="I479" s="4">
        <v>229368.15</v>
      </c>
      <c r="J479" s="4">
        <v>224873.8</v>
      </c>
      <c r="K479" s="4">
        <v>103322.9</v>
      </c>
      <c r="L479" s="4">
        <v>0</v>
      </c>
      <c r="M479" s="4">
        <v>186518</v>
      </c>
      <c r="N479" s="4">
        <v>70359.41</v>
      </c>
      <c r="O479" s="4">
        <v>72680.22</v>
      </c>
      <c r="P479" s="4">
        <v>326244.53000000003</v>
      </c>
      <c r="Q479" s="4">
        <v>94900.14</v>
      </c>
      <c r="R479" s="4">
        <v>0</v>
      </c>
      <c r="S479" s="4">
        <v>0</v>
      </c>
      <c r="T479" s="4">
        <v>11843.88</v>
      </c>
      <c r="U479" s="4">
        <v>0</v>
      </c>
      <c r="V479" s="4">
        <v>506928.96</v>
      </c>
      <c r="W479" s="4">
        <v>5609082.5</v>
      </c>
      <c r="X479" s="4">
        <v>0</v>
      </c>
      <c r="Y479" s="4">
        <v>16982608.300000001</v>
      </c>
      <c r="Z479" s="4"/>
      <c r="AA479" s="4"/>
      <c r="AB479" s="4">
        <v>157006123.63999999</v>
      </c>
      <c r="AC479" s="4">
        <v>43913.35</v>
      </c>
      <c r="AD479" s="4">
        <v>480663.9</v>
      </c>
      <c r="AE479" s="4">
        <v>0</v>
      </c>
      <c r="AF479" s="4">
        <v>65458.61</v>
      </c>
      <c r="AG479" s="4">
        <v>101404.25</v>
      </c>
      <c r="AH479" s="4">
        <v>200313.14</v>
      </c>
      <c r="AI479" s="4">
        <v>113111.27</v>
      </c>
      <c r="AJ479" s="4">
        <v>9760.26</v>
      </c>
      <c r="AK479" s="4">
        <v>421475</v>
      </c>
      <c r="AL479" s="4">
        <v>197484.54</v>
      </c>
      <c r="AM479" s="4">
        <v>18508.98</v>
      </c>
      <c r="AN479" s="4">
        <v>0</v>
      </c>
      <c r="AO479" s="4">
        <v>311939.95</v>
      </c>
      <c r="AP479" s="4">
        <v>13687.49</v>
      </c>
      <c r="AQ479" s="4">
        <v>39946.68</v>
      </c>
      <c r="AR479" s="4">
        <v>0</v>
      </c>
      <c r="AS479" s="4">
        <v>0</v>
      </c>
      <c r="AT479" s="4">
        <v>12546.21</v>
      </c>
      <c r="AU479" s="4">
        <v>0</v>
      </c>
      <c r="AV479" s="4">
        <v>460494.99</v>
      </c>
      <c r="AW479" s="4">
        <v>1176231.3600000001</v>
      </c>
      <c r="AX479" s="4">
        <v>1387385.88</v>
      </c>
      <c r="AY479" s="4">
        <v>924923.9</v>
      </c>
      <c r="AZ479" s="4"/>
      <c r="BA479" s="4"/>
      <c r="BB479" s="4">
        <f t="shared" si="74"/>
        <v>188104386.66</v>
      </c>
    </row>
    <row r="480" spans="1:54" x14ac:dyDescent="0.2">
      <c r="A480" s="3">
        <v>33451</v>
      </c>
      <c r="B480" s="4">
        <v>100047.88</v>
      </c>
      <c r="C480" s="4">
        <v>0</v>
      </c>
      <c r="D480" s="4">
        <v>195724.09</v>
      </c>
      <c r="E480" s="4">
        <v>0</v>
      </c>
      <c r="F480" s="4">
        <v>151745.01999999999</v>
      </c>
      <c r="G480" s="4">
        <v>157536.16</v>
      </c>
      <c r="H480" s="4">
        <v>52227.38</v>
      </c>
      <c r="I480" s="4">
        <v>212333.9</v>
      </c>
      <c r="J480" s="4">
        <v>219197.81</v>
      </c>
      <c r="K480" s="4">
        <v>94507.75</v>
      </c>
      <c r="L480" s="4">
        <v>0</v>
      </c>
      <c r="M480" s="4">
        <v>177030.84</v>
      </c>
      <c r="N480" s="4">
        <v>68381.42</v>
      </c>
      <c r="O480" s="4">
        <v>70750.720000000001</v>
      </c>
      <c r="P480" s="4">
        <v>318511.68</v>
      </c>
      <c r="Q480" s="4">
        <v>91807.97</v>
      </c>
      <c r="R480" s="4">
        <v>0</v>
      </c>
      <c r="S480" s="4">
        <v>0</v>
      </c>
      <c r="T480" s="4">
        <v>8618.6200000000008</v>
      </c>
      <c r="U480" s="4">
        <v>0</v>
      </c>
      <c r="V480" s="4">
        <v>483550.29</v>
      </c>
      <c r="W480" s="4">
        <v>5272772.26</v>
      </c>
      <c r="X480" s="4">
        <v>5561.28</v>
      </c>
      <c r="Y480" s="4">
        <v>16073825.01</v>
      </c>
      <c r="Z480" s="4"/>
      <c r="AA480" s="4"/>
      <c r="AB480" s="4">
        <v>149060357.59999999</v>
      </c>
      <c r="AC480" s="4">
        <v>43606.82</v>
      </c>
      <c r="AD480" s="4">
        <v>453952.24</v>
      </c>
      <c r="AE480" s="4">
        <v>0</v>
      </c>
      <c r="AF480" s="4">
        <v>63305.08</v>
      </c>
      <c r="AG480" s="4">
        <v>99098.42</v>
      </c>
      <c r="AH480" s="4">
        <v>183256.58</v>
      </c>
      <c r="AI480" s="4">
        <v>111597.29</v>
      </c>
      <c r="AJ480" s="4">
        <v>36069.870000000003</v>
      </c>
      <c r="AK480" s="4">
        <v>414496.21</v>
      </c>
      <c r="AL480" s="4">
        <v>192290.6</v>
      </c>
      <c r="AM480" s="4">
        <v>18385.54</v>
      </c>
      <c r="AN480" s="4">
        <v>0</v>
      </c>
      <c r="AO480" s="4">
        <v>301626.62</v>
      </c>
      <c r="AP480" s="4">
        <v>13516.69</v>
      </c>
      <c r="AQ480" s="4">
        <v>35517.230000000003</v>
      </c>
      <c r="AR480" s="4">
        <v>0</v>
      </c>
      <c r="AS480" s="4">
        <v>0</v>
      </c>
      <c r="AT480" s="4">
        <v>12653.66</v>
      </c>
      <c r="AU480" s="4">
        <v>0</v>
      </c>
      <c r="AV480" s="4">
        <v>436335.11</v>
      </c>
      <c r="AW480" s="4">
        <v>1143368.98</v>
      </c>
      <c r="AX480" s="4">
        <v>1328863.04</v>
      </c>
      <c r="AY480" s="4">
        <v>885908.66</v>
      </c>
      <c r="AZ480" s="4"/>
      <c r="BA480" s="4"/>
      <c r="BB480" s="4">
        <f t="shared" si="74"/>
        <v>178588336.31999999</v>
      </c>
    </row>
    <row r="481" spans="1:54" x14ac:dyDescent="0.2">
      <c r="A481" s="3">
        <v>33482</v>
      </c>
      <c r="B481" s="4">
        <v>156562.88</v>
      </c>
      <c r="C481" s="4">
        <v>0</v>
      </c>
      <c r="D481" s="4">
        <v>339683.87</v>
      </c>
      <c r="E481" s="4">
        <v>0</v>
      </c>
      <c r="F481" s="4">
        <v>318626.8</v>
      </c>
      <c r="G481" s="4">
        <v>278697.65000000002</v>
      </c>
      <c r="H481" s="4">
        <v>240399.14</v>
      </c>
      <c r="I481" s="4">
        <v>421779.85</v>
      </c>
      <c r="J481" s="4">
        <v>322272.78000000003</v>
      </c>
      <c r="K481" s="4">
        <v>223976.05</v>
      </c>
      <c r="L481" s="4">
        <v>13271.63</v>
      </c>
      <c r="M481" s="4">
        <v>209000</v>
      </c>
      <c r="N481" s="4">
        <v>121852.65</v>
      </c>
      <c r="O481" s="4">
        <v>160947.57</v>
      </c>
      <c r="P481" s="4">
        <v>825588.79</v>
      </c>
      <c r="Q481" s="4">
        <v>192168.83</v>
      </c>
      <c r="R481" s="4">
        <v>495.16</v>
      </c>
      <c r="S481" s="4">
        <v>0</v>
      </c>
      <c r="T481" s="4">
        <v>92878.91</v>
      </c>
      <c r="U481" s="4">
        <v>28.86</v>
      </c>
      <c r="V481" s="4">
        <v>745133.23</v>
      </c>
      <c r="W481" s="4">
        <v>15116101.16</v>
      </c>
      <c r="X481" s="4">
        <v>658846.15</v>
      </c>
      <c r="Y481" s="4">
        <v>25542989.649999999</v>
      </c>
      <c r="Z481" s="4"/>
      <c r="AA481" s="4"/>
      <c r="AB481" s="4">
        <v>231194845.33000001</v>
      </c>
      <c r="AC481" s="4">
        <v>55435.71</v>
      </c>
      <c r="AD481" s="4">
        <v>827328.66</v>
      </c>
      <c r="AE481" s="4">
        <v>0</v>
      </c>
      <c r="AF481" s="4">
        <v>117979.95</v>
      </c>
      <c r="AG481" s="4">
        <v>134212.95000000001</v>
      </c>
      <c r="AH481" s="4">
        <v>427282.25</v>
      </c>
      <c r="AI481" s="4">
        <v>187195.21</v>
      </c>
      <c r="AJ481" s="4">
        <v>60378.6</v>
      </c>
      <c r="AK481" s="4">
        <v>663994.97</v>
      </c>
      <c r="AL481" s="4">
        <v>326141.28999999998</v>
      </c>
      <c r="AM481" s="4">
        <v>20161.650000000001</v>
      </c>
      <c r="AN481" s="4">
        <v>0</v>
      </c>
      <c r="AO481" s="4">
        <v>513854.32</v>
      </c>
      <c r="AP481" s="4">
        <v>14963.86</v>
      </c>
      <c r="AQ481" s="4">
        <v>58375.199999999997</v>
      </c>
      <c r="AR481" s="4">
        <v>16691.87</v>
      </c>
      <c r="AS481" s="4">
        <v>23880.54</v>
      </c>
      <c r="AT481" s="4">
        <v>27830.63</v>
      </c>
      <c r="AU481" s="4">
        <v>249.98</v>
      </c>
      <c r="AV481" s="4">
        <v>785775.28</v>
      </c>
      <c r="AW481" s="4">
        <v>2312397.13</v>
      </c>
      <c r="AX481" s="4">
        <v>2137088.4500000002</v>
      </c>
      <c r="AY481" s="4">
        <v>1424571.84</v>
      </c>
      <c r="AZ481" s="4"/>
      <c r="BA481" s="4"/>
      <c r="BB481" s="4">
        <f t="shared" si="74"/>
        <v>287311937.27999997</v>
      </c>
    </row>
    <row r="482" spans="1:54" x14ac:dyDescent="0.2">
      <c r="A482" s="3">
        <v>33512</v>
      </c>
      <c r="B482" s="4">
        <v>99334.31</v>
      </c>
      <c r="C482" s="4">
        <v>0</v>
      </c>
      <c r="D482" s="4">
        <v>190845.41</v>
      </c>
      <c r="E482" s="4">
        <v>0</v>
      </c>
      <c r="F482" s="4">
        <v>127946.35</v>
      </c>
      <c r="G482" s="4">
        <v>151197.41</v>
      </c>
      <c r="H482" s="4">
        <v>51037.71</v>
      </c>
      <c r="I482" s="4">
        <v>212290.63</v>
      </c>
      <c r="J482" s="4">
        <v>202410.64</v>
      </c>
      <c r="K482" s="4">
        <v>100540.21</v>
      </c>
      <c r="L482" s="4">
        <v>0</v>
      </c>
      <c r="M482" s="4">
        <v>104860.39</v>
      </c>
      <c r="N482" s="4">
        <v>65655.789999999994</v>
      </c>
      <c r="O482" s="4">
        <v>76581.73</v>
      </c>
      <c r="P482" s="4">
        <v>344840.64</v>
      </c>
      <c r="Q482" s="4">
        <v>84593.3</v>
      </c>
      <c r="R482" s="4">
        <v>0</v>
      </c>
      <c r="S482" s="4">
        <v>0</v>
      </c>
      <c r="T482" s="4">
        <v>10649.51</v>
      </c>
      <c r="U482" s="4">
        <v>0</v>
      </c>
      <c r="V482" s="4">
        <v>495950.73</v>
      </c>
      <c r="W482" s="4">
        <v>5550489.4699999997</v>
      </c>
      <c r="X482" s="4">
        <v>121797.64</v>
      </c>
      <c r="Y482" s="4">
        <v>16272965.560000001</v>
      </c>
      <c r="Z482" s="4"/>
      <c r="AA482" s="4"/>
      <c r="AB482" s="4">
        <v>154740592.25999999</v>
      </c>
      <c r="AC482" s="4">
        <v>42473.54</v>
      </c>
      <c r="AD482" s="4">
        <v>460829.51</v>
      </c>
      <c r="AE482" s="4">
        <v>0</v>
      </c>
      <c r="AF482" s="4">
        <v>63899.05</v>
      </c>
      <c r="AG482" s="4">
        <v>102028.24</v>
      </c>
      <c r="AH482" s="4">
        <v>185326.27</v>
      </c>
      <c r="AI482" s="4">
        <v>97564.99</v>
      </c>
      <c r="AJ482" s="4">
        <v>34328.25</v>
      </c>
      <c r="AK482" s="4">
        <v>416102.38</v>
      </c>
      <c r="AL482" s="4">
        <v>195850.6</v>
      </c>
      <c r="AM482" s="4">
        <v>18309.240000000002</v>
      </c>
      <c r="AN482" s="4">
        <v>0</v>
      </c>
      <c r="AO482" s="4">
        <v>286520.89</v>
      </c>
      <c r="AP482" s="4">
        <v>0</v>
      </c>
      <c r="AQ482" s="4">
        <v>37680.57</v>
      </c>
      <c r="AR482" s="4">
        <v>0</v>
      </c>
      <c r="AS482" s="4">
        <v>0</v>
      </c>
      <c r="AT482" s="4">
        <v>12237.87</v>
      </c>
      <c r="AU482" s="4">
        <v>0</v>
      </c>
      <c r="AV482" s="4">
        <v>442783.44</v>
      </c>
      <c r="AW482" s="4">
        <v>1199819.8</v>
      </c>
      <c r="AX482" s="4">
        <v>1342465.24</v>
      </c>
      <c r="AY482" s="4">
        <v>894942.25</v>
      </c>
      <c r="AZ482" s="4"/>
      <c r="BA482" s="4"/>
      <c r="BB482" s="4">
        <f t="shared" si="74"/>
        <v>184837741.82000002</v>
      </c>
    </row>
    <row r="483" spans="1:54" x14ac:dyDescent="0.2">
      <c r="A483" s="3">
        <v>33543</v>
      </c>
      <c r="B483" s="4">
        <v>88899.65</v>
      </c>
      <c r="C483" s="4">
        <v>0</v>
      </c>
      <c r="D483" s="4">
        <v>199659.43</v>
      </c>
      <c r="E483" s="4">
        <v>0</v>
      </c>
      <c r="F483" s="4">
        <v>128433.27</v>
      </c>
      <c r="G483" s="4">
        <v>166160.85</v>
      </c>
      <c r="H483" s="4">
        <v>66905.05</v>
      </c>
      <c r="I483" s="4">
        <v>214314.89</v>
      </c>
      <c r="J483" s="4">
        <v>213561.76</v>
      </c>
      <c r="K483" s="4">
        <v>103662.87</v>
      </c>
      <c r="L483" s="4">
        <v>0</v>
      </c>
      <c r="M483" s="4">
        <v>157935.85</v>
      </c>
      <c r="N483" s="4">
        <v>65511.72</v>
      </c>
      <c r="O483" s="4">
        <v>76715.97</v>
      </c>
      <c r="P483" s="4">
        <v>345946.72</v>
      </c>
      <c r="Q483" s="4">
        <v>86646.22</v>
      </c>
      <c r="R483" s="4">
        <v>0</v>
      </c>
      <c r="S483" s="4">
        <v>0</v>
      </c>
      <c r="T483" s="4">
        <v>6483.35</v>
      </c>
      <c r="U483" s="4">
        <v>0</v>
      </c>
      <c r="V483" s="4">
        <v>490153.62</v>
      </c>
      <c r="W483" s="4">
        <v>5382962.0199999996</v>
      </c>
      <c r="X483" s="4">
        <v>118864.48</v>
      </c>
      <c r="Y483" s="4">
        <v>16544806.25</v>
      </c>
      <c r="Z483" s="4"/>
      <c r="AA483" s="4"/>
      <c r="AB483" s="4">
        <v>157690832.34</v>
      </c>
      <c r="AC483" s="4">
        <v>43710.29</v>
      </c>
      <c r="AD483" s="4">
        <v>466721.79</v>
      </c>
      <c r="AE483" s="4">
        <v>0</v>
      </c>
      <c r="AF483" s="4">
        <v>68897.570000000007</v>
      </c>
      <c r="AG483" s="4">
        <v>106496.94</v>
      </c>
      <c r="AH483" s="4">
        <v>186925.79</v>
      </c>
      <c r="AI483" s="4">
        <v>99027.42</v>
      </c>
      <c r="AJ483" s="4">
        <v>39060.339999999997</v>
      </c>
      <c r="AK483" s="4">
        <v>411884.66</v>
      </c>
      <c r="AL483" s="4">
        <v>193279.92</v>
      </c>
      <c r="AM483" s="4">
        <v>18471.55</v>
      </c>
      <c r="AN483" s="4">
        <v>0</v>
      </c>
      <c r="AO483" s="4">
        <v>289959.73</v>
      </c>
      <c r="AP483" s="4">
        <v>0</v>
      </c>
      <c r="AQ483" s="4">
        <v>35740.959999999999</v>
      </c>
      <c r="AR483" s="4">
        <v>0</v>
      </c>
      <c r="AS483" s="4">
        <v>0</v>
      </c>
      <c r="AT483" s="4">
        <v>11941.56</v>
      </c>
      <c r="AU483" s="4">
        <v>0</v>
      </c>
      <c r="AV483" s="4">
        <v>452642.9</v>
      </c>
      <c r="AW483" s="4">
        <v>1193707.6599999999</v>
      </c>
      <c r="AX483" s="4">
        <v>1356044.92</v>
      </c>
      <c r="AY483" s="4">
        <v>903970.8</v>
      </c>
      <c r="AZ483" s="4"/>
      <c r="BA483" s="4"/>
      <c r="BB483" s="4">
        <f t="shared" si="74"/>
        <v>188026941.10999995</v>
      </c>
    </row>
    <row r="484" spans="1:54" x14ac:dyDescent="0.2">
      <c r="A484" s="3">
        <v>33573</v>
      </c>
      <c r="B484" s="4">
        <v>199414.84</v>
      </c>
      <c r="C484" s="4">
        <v>0</v>
      </c>
      <c r="D484" s="4">
        <v>276976.17</v>
      </c>
      <c r="E484" s="4">
        <v>0</v>
      </c>
      <c r="F484" s="4">
        <v>227439.49</v>
      </c>
      <c r="G484" s="4">
        <v>313723.88</v>
      </c>
      <c r="H484" s="4">
        <v>165000</v>
      </c>
      <c r="I484" s="4">
        <v>340669.86</v>
      </c>
      <c r="J484" s="4">
        <v>371913.49</v>
      </c>
      <c r="K484" s="4">
        <v>195884.07</v>
      </c>
      <c r="L484" s="4">
        <v>12771.86</v>
      </c>
      <c r="M484" s="4">
        <v>224999.96</v>
      </c>
      <c r="N484" s="4">
        <v>113999.98</v>
      </c>
      <c r="O484" s="4">
        <v>114591.97</v>
      </c>
      <c r="P484" s="4">
        <v>717906.15</v>
      </c>
      <c r="Q484" s="4">
        <v>174653.28</v>
      </c>
      <c r="R484" s="4">
        <v>0</v>
      </c>
      <c r="S484" s="4">
        <v>0</v>
      </c>
      <c r="T484" s="4">
        <v>53999.99</v>
      </c>
      <c r="U484" s="4">
        <v>102.81</v>
      </c>
      <c r="V484" s="4">
        <v>915303.26</v>
      </c>
      <c r="W484" s="4">
        <v>14724555.960000001</v>
      </c>
      <c r="X484" s="4">
        <v>769522.06</v>
      </c>
      <c r="Y484" s="4">
        <v>25130866.07</v>
      </c>
      <c r="Z484" s="4"/>
      <c r="AA484" s="4"/>
      <c r="AB484" s="4">
        <v>234538343.56999999</v>
      </c>
      <c r="AC484" s="4">
        <v>40307.08</v>
      </c>
      <c r="AD484" s="4">
        <v>749404.79</v>
      </c>
      <c r="AE484" s="4">
        <v>0</v>
      </c>
      <c r="AF484" s="4">
        <v>143684.14000000001</v>
      </c>
      <c r="AG484" s="4">
        <v>131752.09</v>
      </c>
      <c r="AH484" s="4">
        <v>316062.11</v>
      </c>
      <c r="AI484" s="4">
        <v>190975.6</v>
      </c>
      <c r="AJ484" s="4">
        <v>57776.57</v>
      </c>
      <c r="AK484" s="4">
        <v>565525.23</v>
      </c>
      <c r="AL484" s="4">
        <v>278925.53000000003</v>
      </c>
      <c r="AM484" s="4">
        <v>21804.18</v>
      </c>
      <c r="AN484" s="4">
        <v>0</v>
      </c>
      <c r="AO484" s="4">
        <v>459374.26</v>
      </c>
      <c r="AP484" s="4">
        <v>0</v>
      </c>
      <c r="AQ484" s="4">
        <v>60520.99</v>
      </c>
      <c r="AR484" s="4">
        <v>5454.83</v>
      </c>
      <c r="AS484" s="4">
        <v>6946.3</v>
      </c>
      <c r="AT484" s="4">
        <v>20340.14</v>
      </c>
      <c r="AU484" s="4">
        <v>1885.95</v>
      </c>
      <c r="AV484" s="4">
        <v>867551.57</v>
      </c>
      <c r="AW484" s="4">
        <v>2126171.17</v>
      </c>
      <c r="AX484" s="4">
        <v>1915044.07</v>
      </c>
      <c r="AY484" s="4">
        <v>1273699.8400000001</v>
      </c>
      <c r="AZ484" s="4"/>
      <c r="BA484" s="4"/>
      <c r="BB484" s="4">
        <f t="shared" si="74"/>
        <v>288815845.15999991</v>
      </c>
    </row>
    <row r="485" spans="1:54" ht="15.75" thickBot="1" x14ac:dyDescent="0.25">
      <c r="A485" s="1" t="s">
        <v>14</v>
      </c>
      <c r="B485" s="5">
        <f t="shared" ref="B485:AY485" si="75">SUM(B473:B484)</f>
        <v>1427256.4000000001</v>
      </c>
      <c r="C485" s="5">
        <f t="shared" si="75"/>
        <v>0</v>
      </c>
      <c r="D485" s="5">
        <f t="shared" si="75"/>
        <v>2690954.74</v>
      </c>
      <c r="E485" s="5">
        <f t="shared" si="75"/>
        <v>0</v>
      </c>
      <c r="F485" s="5">
        <f t="shared" si="75"/>
        <v>2215368.7999999998</v>
      </c>
      <c r="G485" s="5">
        <f t="shared" si="75"/>
        <v>2343227.94</v>
      </c>
      <c r="H485" s="5">
        <f t="shared" si="75"/>
        <v>1523534.1500000001</v>
      </c>
      <c r="I485" s="5">
        <f t="shared" si="75"/>
        <v>3315639.16</v>
      </c>
      <c r="J485" s="5">
        <f t="shared" si="75"/>
        <v>3409308.540000001</v>
      </c>
      <c r="K485" s="5">
        <f t="shared" si="75"/>
        <v>1623290.95</v>
      </c>
      <c r="L485" s="5">
        <f t="shared" si="75"/>
        <v>47957.07</v>
      </c>
      <c r="M485" s="5">
        <f t="shared" si="75"/>
        <v>2266318.62</v>
      </c>
      <c r="N485" s="5">
        <f t="shared" si="75"/>
        <v>1034043.8200000001</v>
      </c>
      <c r="O485" s="5">
        <f t="shared" si="75"/>
        <v>1059632.21</v>
      </c>
      <c r="P485" s="5">
        <f t="shared" si="75"/>
        <v>5650048.5199999996</v>
      </c>
      <c r="Q485" s="5">
        <f t="shared" si="75"/>
        <v>1371824.83</v>
      </c>
      <c r="R485" s="5">
        <f t="shared" si="75"/>
        <v>516.61</v>
      </c>
      <c r="S485" s="5">
        <f t="shared" si="75"/>
        <v>0</v>
      </c>
      <c r="T485" s="5">
        <f t="shared" si="75"/>
        <v>403350.67999999993</v>
      </c>
      <c r="U485" s="5">
        <f t="shared" si="75"/>
        <v>347.47</v>
      </c>
      <c r="V485" s="5">
        <f t="shared" si="75"/>
        <v>7731910.1800000006</v>
      </c>
      <c r="W485" s="5">
        <f t="shared" si="75"/>
        <v>105894866.59999999</v>
      </c>
      <c r="X485" s="5">
        <f t="shared" si="75"/>
        <v>2613927.4000000004</v>
      </c>
      <c r="Y485" s="5">
        <f t="shared" si="75"/>
        <v>231348035.94</v>
      </c>
      <c r="Z485" s="5"/>
      <c r="AA485" s="5"/>
      <c r="AB485" s="5">
        <f t="shared" si="75"/>
        <v>2200819378.0799999</v>
      </c>
      <c r="AC485" s="5">
        <f t="shared" si="75"/>
        <v>636164.85</v>
      </c>
      <c r="AD485" s="5">
        <f t="shared" si="75"/>
        <v>6915836.1100000003</v>
      </c>
      <c r="AE485" s="5">
        <f t="shared" si="75"/>
        <v>0</v>
      </c>
      <c r="AF485" s="5">
        <f t="shared" si="75"/>
        <v>1033247.85</v>
      </c>
      <c r="AG485" s="5">
        <f t="shared" si="75"/>
        <v>1400203.3900000001</v>
      </c>
      <c r="AH485" s="5">
        <f t="shared" si="75"/>
        <v>2860744.87</v>
      </c>
      <c r="AI485" s="5">
        <f t="shared" si="75"/>
        <v>1620861.32</v>
      </c>
      <c r="AJ485" s="5">
        <f t="shared" si="75"/>
        <v>555464.19999999995</v>
      </c>
      <c r="AK485" s="5">
        <f t="shared" si="75"/>
        <v>5854565.0500000007</v>
      </c>
      <c r="AL485" s="5">
        <f t="shared" si="75"/>
        <v>2717011.42</v>
      </c>
      <c r="AM485" s="5">
        <f t="shared" si="75"/>
        <v>269344.78000000003</v>
      </c>
      <c r="AN485" s="5">
        <f t="shared" si="75"/>
        <v>0</v>
      </c>
      <c r="AO485" s="5">
        <f t="shared" si="75"/>
        <v>4307374.5</v>
      </c>
      <c r="AP485" s="5">
        <f t="shared" si="75"/>
        <v>201773.25</v>
      </c>
      <c r="AQ485" s="5">
        <f t="shared" si="75"/>
        <v>511727.53</v>
      </c>
      <c r="AR485" s="5">
        <f t="shared" si="75"/>
        <v>22715.129999999997</v>
      </c>
      <c r="AS485" s="5">
        <f t="shared" si="75"/>
        <v>189912.3</v>
      </c>
      <c r="AT485" s="5">
        <f t="shared" si="75"/>
        <v>188721.33999999997</v>
      </c>
      <c r="AU485" s="5">
        <f t="shared" si="75"/>
        <v>4133.83</v>
      </c>
      <c r="AV485" s="5">
        <f t="shared" si="75"/>
        <v>6956997.9800000023</v>
      </c>
      <c r="AW485" s="5">
        <f t="shared" si="75"/>
        <v>17824985.810000002</v>
      </c>
      <c r="AX485" s="5">
        <f t="shared" si="75"/>
        <v>19261199.329999998</v>
      </c>
      <c r="AY485" s="5">
        <f t="shared" si="75"/>
        <v>12836689.700000001</v>
      </c>
      <c r="AZ485" s="5"/>
      <c r="BA485" s="5"/>
      <c r="BB485" s="5">
        <f t="shared" si="74"/>
        <v>2664960413.2500005</v>
      </c>
    </row>
    <row r="486" spans="1:54" ht="15.75" thickTop="1" x14ac:dyDescent="0.2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</row>
    <row r="487" spans="1:54" x14ac:dyDescent="0.2">
      <c r="A487" s="3">
        <v>32874</v>
      </c>
      <c r="B487" s="4">
        <v>106811.93</v>
      </c>
      <c r="C487" s="4">
        <v>0</v>
      </c>
      <c r="D487" s="4">
        <v>221195.55</v>
      </c>
      <c r="E487" s="4">
        <v>0</v>
      </c>
      <c r="F487" s="4">
        <v>143860.75</v>
      </c>
      <c r="G487" s="4">
        <v>140064.21</v>
      </c>
      <c r="H487" s="4">
        <v>0</v>
      </c>
      <c r="I487" s="4">
        <v>263187.01</v>
      </c>
      <c r="J487" s="4">
        <v>276529.75</v>
      </c>
      <c r="K487" s="4">
        <v>116701.08</v>
      </c>
      <c r="L487" s="4">
        <v>0</v>
      </c>
      <c r="M487" s="4">
        <v>192826.65</v>
      </c>
      <c r="N487" s="4">
        <v>79608.100000000006</v>
      </c>
      <c r="O487" s="4">
        <v>120175</v>
      </c>
      <c r="P487" s="4">
        <v>359376.69</v>
      </c>
      <c r="Q487" s="4">
        <v>81203.98</v>
      </c>
      <c r="R487" s="4">
        <v>0</v>
      </c>
      <c r="S487" s="4">
        <v>0</v>
      </c>
      <c r="T487" s="4">
        <v>11624.99</v>
      </c>
      <c r="U487" s="4">
        <v>0</v>
      </c>
      <c r="V487" s="4">
        <v>660028.93999999994</v>
      </c>
      <c r="W487" s="4">
        <v>5778980.2699999996</v>
      </c>
      <c r="X487" s="4">
        <v>0</v>
      </c>
      <c r="Y487" s="4">
        <v>19677714.260000002</v>
      </c>
      <c r="Z487" s="4"/>
      <c r="AA487" s="4"/>
      <c r="AB487" s="4">
        <v>204487343.78</v>
      </c>
      <c r="AC487" s="4">
        <v>67249.279999999999</v>
      </c>
      <c r="AD487" s="4">
        <v>571837.51</v>
      </c>
      <c r="AE487" s="4">
        <v>0</v>
      </c>
      <c r="AF487" s="4">
        <v>37971.699999999997</v>
      </c>
      <c r="AG487" s="4">
        <v>108210.88</v>
      </c>
      <c r="AH487" s="4">
        <v>240909.21</v>
      </c>
      <c r="AI487" s="4">
        <v>121391.13</v>
      </c>
      <c r="AJ487" s="4">
        <v>43308.4</v>
      </c>
      <c r="AK487" s="4">
        <v>469362.91</v>
      </c>
      <c r="AL487" s="4">
        <v>236081.4</v>
      </c>
      <c r="AM487" s="4">
        <v>32332.46</v>
      </c>
      <c r="AN487" s="4">
        <v>276423.26</v>
      </c>
      <c r="AO487" s="4">
        <v>318457.43</v>
      </c>
      <c r="AP487" s="4">
        <v>43496.03</v>
      </c>
      <c r="AQ487" s="4">
        <v>41537.32</v>
      </c>
      <c r="AR487" s="4">
        <v>0</v>
      </c>
      <c r="AS487" s="4">
        <v>0</v>
      </c>
      <c r="AT487" s="4">
        <v>12876.38</v>
      </c>
      <c r="AU487" s="4">
        <v>0</v>
      </c>
      <c r="AV487" s="4">
        <v>531957.72</v>
      </c>
      <c r="AW487" s="4">
        <v>1796809.78</v>
      </c>
      <c r="AX487" s="4">
        <v>1706623.97</v>
      </c>
      <c r="AY487" s="4">
        <v>1137774.8700000001</v>
      </c>
      <c r="AZ487" s="4"/>
      <c r="BA487" s="4"/>
      <c r="BB487" s="4">
        <f t="shared" ref="BB487:BB499" si="76">SUM(B487:AY487)</f>
        <v>240511844.57999998</v>
      </c>
    </row>
    <row r="488" spans="1:54" x14ac:dyDescent="0.2">
      <c r="A488" s="3">
        <v>32905</v>
      </c>
      <c r="B488" s="4">
        <v>82026.31</v>
      </c>
      <c r="C488" s="4">
        <v>0</v>
      </c>
      <c r="D488" s="4">
        <v>162614</v>
      </c>
      <c r="E488" s="4">
        <v>0</v>
      </c>
      <c r="F488" s="4">
        <v>112252.72</v>
      </c>
      <c r="G488" s="4">
        <v>105992.38</v>
      </c>
      <c r="H488" s="4">
        <v>0</v>
      </c>
      <c r="I488" s="4">
        <v>205875.44</v>
      </c>
      <c r="J488" s="4">
        <v>202826.16</v>
      </c>
      <c r="K488" s="4">
        <v>86921.12</v>
      </c>
      <c r="L488" s="4">
        <v>0</v>
      </c>
      <c r="M488" s="4">
        <v>146541.87</v>
      </c>
      <c r="N488" s="4">
        <v>57649.760000000002</v>
      </c>
      <c r="O488" s="4">
        <v>83214.64</v>
      </c>
      <c r="P488" s="4">
        <v>271443.01</v>
      </c>
      <c r="Q488" s="4">
        <v>63036.18</v>
      </c>
      <c r="R488" s="4">
        <v>0</v>
      </c>
      <c r="S488" s="4">
        <v>0</v>
      </c>
      <c r="T488" s="4">
        <v>5563.74</v>
      </c>
      <c r="U488" s="4">
        <v>0</v>
      </c>
      <c r="V488" s="4">
        <v>481823.32</v>
      </c>
      <c r="W488" s="4">
        <v>4285597.9400000004</v>
      </c>
      <c r="X488" s="4">
        <v>0</v>
      </c>
      <c r="Y488" s="4">
        <v>14618527.58</v>
      </c>
      <c r="Z488" s="4"/>
      <c r="AA488" s="4"/>
      <c r="AB488" s="4">
        <v>150321040.77000001</v>
      </c>
      <c r="AC488" s="4">
        <v>53641.89</v>
      </c>
      <c r="AD488" s="4">
        <v>425205.97</v>
      </c>
      <c r="AE488" s="4">
        <v>0</v>
      </c>
      <c r="AF488" s="4">
        <v>29996.799999999999</v>
      </c>
      <c r="AG488" s="4">
        <v>83845.31</v>
      </c>
      <c r="AH488" s="4">
        <v>189946.22</v>
      </c>
      <c r="AI488" s="4">
        <v>90805.34</v>
      </c>
      <c r="AJ488" s="4">
        <v>34737.29</v>
      </c>
      <c r="AK488" s="4">
        <v>338562.43</v>
      </c>
      <c r="AL488" s="4">
        <v>176077.94</v>
      </c>
      <c r="AM488" s="4">
        <v>25933.59</v>
      </c>
      <c r="AN488" s="4">
        <v>276270.90000000002</v>
      </c>
      <c r="AO488" s="4">
        <v>223079.65</v>
      </c>
      <c r="AP488" s="4">
        <v>35325.08</v>
      </c>
      <c r="AQ488" s="4">
        <v>30607.08</v>
      </c>
      <c r="AR488" s="4">
        <v>0</v>
      </c>
      <c r="AS488" s="4">
        <v>0</v>
      </c>
      <c r="AT488" s="4">
        <v>10197.290000000001</v>
      </c>
      <c r="AU488" s="4">
        <v>0</v>
      </c>
      <c r="AV488" s="4">
        <v>400456.18</v>
      </c>
      <c r="AW488" s="4">
        <v>1324430.8600000001</v>
      </c>
      <c r="AX488" s="4">
        <v>1317837.25</v>
      </c>
      <c r="AY488" s="4">
        <v>878578.67</v>
      </c>
      <c r="AZ488" s="4"/>
      <c r="BA488" s="4"/>
      <c r="BB488" s="4">
        <f t="shared" si="76"/>
        <v>177238482.68000004</v>
      </c>
    </row>
    <row r="489" spans="1:54" x14ac:dyDescent="0.2">
      <c r="A489" s="3">
        <v>32933</v>
      </c>
      <c r="B489" s="4">
        <v>142423.82999999999</v>
      </c>
      <c r="C489" s="4">
        <v>0</v>
      </c>
      <c r="D489" s="4">
        <v>284296.27</v>
      </c>
      <c r="E489" s="4">
        <v>0</v>
      </c>
      <c r="F489" s="4">
        <v>192000</v>
      </c>
      <c r="G489" s="4">
        <v>288208.98</v>
      </c>
      <c r="H489" s="4">
        <v>0</v>
      </c>
      <c r="I489" s="4">
        <v>325046.05</v>
      </c>
      <c r="J489" s="4">
        <v>383999.91</v>
      </c>
      <c r="K489" s="4">
        <v>199001.14</v>
      </c>
      <c r="L489" s="4">
        <v>149529.47</v>
      </c>
      <c r="M489" s="4">
        <v>210000</v>
      </c>
      <c r="N489" s="4">
        <v>110831.02</v>
      </c>
      <c r="O489" s="4">
        <v>124000</v>
      </c>
      <c r="P489" s="4">
        <v>685242.42</v>
      </c>
      <c r="Q489" s="4">
        <v>167173.9</v>
      </c>
      <c r="R489" s="4">
        <v>0</v>
      </c>
      <c r="S489" s="4">
        <v>0</v>
      </c>
      <c r="T489" s="4">
        <v>63028.160000000003</v>
      </c>
      <c r="U489" s="4">
        <v>122.52</v>
      </c>
      <c r="V489" s="4">
        <v>938306.45</v>
      </c>
      <c r="W489" s="4">
        <v>14928705.939999999</v>
      </c>
      <c r="X489" s="4">
        <v>0</v>
      </c>
      <c r="Y489" s="4">
        <v>33555360.200000003</v>
      </c>
      <c r="Z489" s="4"/>
      <c r="AA489" s="4"/>
      <c r="AB489" s="4">
        <v>272571974.32999998</v>
      </c>
      <c r="AC489" s="4">
        <v>59469.13</v>
      </c>
      <c r="AD489" s="4">
        <v>773268.58</v>
      </c>
      <c r="AE489" s="4">
        <v>0</v>
      </c>
      <c r="AF489" s="4">
        <v>48630.46</v>
      </c>
      <c r="AG489" s="4">
        <v>131682.06</v>
      </c>
      <c r="AH489" s="4">
        <v>424198.47</v>
      </c>
      <c r="AI489" s="4">
        <v>158591.07999999999</v>
      </c>
      <c r="AJ489" s="4">
        <v>22596.01</v>
      </c>
      <c r="AK489" s="4">
        <v>724580.27</v>
      </c>
      <c r="AL489" s="4">
        <v>211000</v>
      </c>
      <c r="AM489" s="4">
        <v>23688</v>
      </c>
      <c r="AN489" s="4">
        <v>406593.23</v>
      </c>
      <c r="AO489" s="4">
        <v>525966.09</v>
      </c>
      <c r="AP489" s="4">
        <v>29181.61</v>
      </c>
      <c r="AQ489" s="4">
        <v>62378.41</v>
      </c>
      <c r="AR489" s="4">
        <v>0</v>
      </c>
      <c r="AS489" s="4">
        <v>0</v>
      </c>
      <c r="AT489" s="4">
        <v>19422.86</v>
      </c>
      <c r="AU489" s="4">
        <v>0</v>
      </c>
      <c r="AV489" s="4">
        <v>851950.15</v>
      </c>
      <c r="AW489" s="4">
        <v>1668470.25</v>
      </c>
      <c r="AX489" s="4">
        <v>1889952.71</v>
      </c>
      <c r="AY489" s="4">
        <v>1255295.07</v>
      </c>
      <c r="AZ489" s="4"/>
      <c r="BA489" s="4"/>
      <c r="BB489" s="4">
        <f t="shared" si="76"/>
        <v>334606165.02999991</v>
      </c>
    </row>
    <row r="490" spans="1:54" x14ac:dyDescent="0.2">
      <c r="A490" s="3">
        <v>32964</v>
      </c>
      <c r="B490" s="4">
        <v>100582.68</v>
      </c>
      <c r="C490" s="4">
        <v>0</v>
      </c>
      <c r="D490" s="4">
        <v>177801.8</v>
      </c>
      <c r="E490" s="4">
        <v>0</v>
      </c>
      <c r="F490" s="4">
        <v>103355.27</v>
      </c>
      <c r="G490" s="4">
        <v>126820.41</v>
      </c>
      <c r="H490" s="4">
        <v>0</v>
      </c>
      <c r="I490" s="4">
        <v>242368.64000000001</v>
      </c>
      <c r="J490" s="4">
        <v>233836.16</v>
      </c>
      <c r="K490" s="4">
        <v>96375.84</v>
      </c>
      <c r="L490" s="4">
        <v>0</v>
      </c>
      <c r="M490" s="4">
        <v>132004.13</v>
      </c>
      <c r="N490" s="4">
        <v>72302.149999999994</v>
      </c>
      <c r="O490" s="4">
        <v>68855.02</v>
      </c>
      <c r="P490" s="4">
        <v>325091.87</v>
      </c>
      <c r="Q490" s="4">
        <v>73448.02</v>
      </c>
      <c r="R490" s="4">
        <v>0</v>
      </c>
      <c r="S490" s="4">
        <v>0</v>
      </c>
      <c r="T490" s="4">
        <v>8362.81</v>
      </c>
      <c r="U490" s="4">
        <v>0</v>
      </c>
      <c r="V490" s="4">
        <v>539283.68000000005</v>
      </c>
      <c r="W490" s="4">
        <v>4862871.5</v>
      </c>
      <c r="X490" s="4">
        <v>0</v>
      </c>
      <c r="Y490" s="4">
        <v>7960075.04</v>
      </c>
      <c r="Z490" s="4"/>
      <c r="AA490" s="4"/>
      <c r="AB490" s="4">
        <v>167376328.77000001</v>
      </c>
      <c r="AC490" s="4">
        <v>56277.02</v>
      </c>
      <c r="AD490" s="4">
        <v>468847.58</v>
      </c>
      <c r="AE490" s="4">
        <v>0</v>
      </c>
      <c r="AF490" s="4">
        <v>69947.05</v>
      </c>
      <c r="AG490" s="4">
        <v>86121.64</v>
      </c>
      <c r="AH490" s="4">
        <v>191393.87</v>
      </c>
      <c r="AI490" s="4">
        <v>103373.81</v>
      </c>
      <c r="AJ490" s="4">
        <v>34781.879999999997</v>
      </c>
      <c r="AK490" s="4">
        <v>391034.25</v>
      </c>
      <c r="AL490" s="4">
        <v>143835.66</v>
      </c>
      <c r="AM490" s="4">
        <v>28030.05</v>
      </c>
      <c r="AN490" s="4">
        <v>0</v>
      </c>
      <c r="AO490" s="4">
        <v>274720.78000000003</v>
      </c>
      <c r="AP490" s="4">
        <v>32221.5</v>
      </c>
      <c r="AQ490" s="4">
        <v>35164.32</v>
      </c>
      <c r="AR490" s="4">
        <v>0</v>
      </c>
      <c r="AS490" s="4">
        <v>0</v>
      </c>
      <c r="AT490" s="4">
        <v>12037.73</v>
      </c>
      <c r="AU490" s="4">
        <v>0</v>
      </c>
      <c r="AV490" s="4">
        <v>454157.79</v>
      </c>
      <c r="AW490" s="4">
        <v>1221293.01</v>
      </c>
      <c r="AX490" s="4">
        <v>1434021.97</v>
      </c>
      <c r="AY490" s="4">
        <v>956048.96</v>
      </c>
      <c r="AZ490" s="4"/>
      <c r="BA490" s="4"/>
      <c r="BB490" s="4">
        <f t="shared" si="76"/>
        <v>188493072.66000003</v>
      </c>
    </row>
    <row r="491" spans="1:54" x14ac:dyDescent="0.2">
      <c r="A491" s="3">
        <v>32994</v>
      </c>
      <c r="B491" s="4">
        <v>91998.76</v>
      </c>
      <c r="C491" s="4">
        <v>0</v>
      </c>
      <c r="D491" s="4">
        <v>170991.65</v>
      </c>
      <c r="E491" s="4">
        <v>0</v>
      </c>
      <c r="F491" s="4">
        <v>135377.54999999999</v>
      </c>
      <c r="G491" s="4">
        <v>121304.5</v>
      </c>
      <c r="H491" s="4">
        <v>0</v>
      </c>
      <c r="I491" s="4">
        <v>224255.38</v>
      </c>
      <c r="J491" s="4">
        <v>231557.13</v>
      </c>
      <c r="K491" s="4">
        <v>94369.85</v>
      </c>
      <c r="L491" s="4">
        <v>0</v>
      </c>
      <c r="M491" s="4">
        <v>171799.64</v>
      </c>
      <c r="N491" s="4">
        <v>69125.2</v>
      </c>
      <c r="O491" s="4">
        <v>90409.21</v>
      </c>
      <c r="P491" s="4">
        <v>299989.46999999997</v>
      </c>
      <c r="Q491" s="4">
        <v>70784.28</v>
      </c>
      <c r="R491" s="4">
        <v>0</v>
      </c>
      <c r="S491" s="4">
        <v>0</v>
      </c>
      <c r="T491" s="4">
        <v>7377.29</v>
      </c>
      <c r="U491" s="4">
        <v>0</v>
      </c>
      <c r="V491" s="4">
        <v>484846.44</v>
      </c>
      <c r="W491" s="4">
        <v>4592707.82</v>
      </c>
      <c r="X491" s="4">
        <v>0</v>
      </c>
      <c r="Y491" s="4">
        <v>15253911.380000001</v>
      </c>
      <c r="Z491" s="4"/>
      <c r="AA491" s="4"/>
      <c r="AB491" s="4">
        <v>154624488.21000001</v>
      </c>
      <c r="AC491" s="4">
        <v>54148.73</v>
      </c>
      <c r="AD491" s="4">
        <v>435301.55</v>
      </c>
      <c r="AE491" s="4">
        <v>0</v>
      </c>
      <c r="AF491" s="4">
        <v>68227.929999999993</v>
      </c>
      <c r="AG491" s="4">
        <v>82817.8</v>
      </c>
      <c r="AH491" s="4">
        <v>185291.82</v>
      </c>
      <c r="AI491" s="4">
        <v>101535.61</v>
      </c>
      <c r="AJ491" s="4">
        <v>33547.49</v>
      </c>
      <c r="AK491" s="4">
        <v>379409.1</v>
      </c>
      <c r="AL491" s="4">
        <v>173840.14</v>
      </c>
      <c r="AM491" s="4">
        <v>27035.29</v>
      </c>
      <c r="AN491" s="4">
        <v>0</v>
      </c>
      <c r="AO491" s="4">
        <v>256966.11</v>
      </c>
      <c r="AP491" s="4">
        <v>14225.28</v>
      </c>
      <c r="AQ491" s="4">
        <v>32447.16</v>
      </c>
      <c r="AR491" s="4">
        <v>0</v>
      </c>
      <c r="AS491" s="4">
        <v>0</v>
      </c>
      <c r="AT491" s="4">
        <v>11408.25</v>
      </c>
      <c r="AU491" s="4">
        <v>0</v>
      </c>
      <c r="AV491" s="4">
        <v>431312.4</v>
      </c>
      <c r="AW491" s="4">
        <v>1125677.6299999999</v>
      </c>
      <c r="AX491" s="4">
        <v>1296348.08</v>
      </c>
      <c r="AY491" s="4">
        <v>864265.2</v>
      </c>
      <c r="AZ491" s="4"/>
      <c r="BA491" s="4"/>
      <c r="BB491" s="4">
        <f t="shared" si="76"/>
        <v>182309099.33000004</v>
      </c>
    </row>
    <row r="492" spans="1:54" x14ac:dyDescent="0.2">
      <c r="A492" s="3">
        <v>33025</v>
      </c>
      <c r="B492" s="4">
        <v>190640.08</v>
      </c>
      <c r="C492" s="4">
        <v>0</v>
      </c>
      <c r="D492" s="4">
        <v>259421.87</v>
      </c>
      <c r="E492" s="4">
        <v>0</v>
      </c>
      <c r="F492" s="4">
        <v>214583.57</v>
      </c>
      <c r="G492" s="4">
        <v>253793.88</v>
      </c>
      <c r="H492" s="4">
        <v>0</v>
      </c>
      <c r="I492" s="4">
        <v>381536.27</v>
      </c>
      <c r="J492" s="4">
        <v>396529.24</v>
      </c>
      <c r="K492" s="4">
        <v>188472.98</v>
      </c>
      <c r="L492" s="4">
        <v>15372.58</v>
      </c>
      <c r="M492" s="4">
        <v>263114.46000000002</v>
      </c>
      <c r="N492" s="4">
        <v>138045.41</v>
      </c>
      <c r="O492" s="4">
        <v>247820.93</v>
      </c>
      <c r="P492" s="4">
        <v>712269.8</v>
      </c>
      <c r="Q492" s="4">
        <v>200995.36</v>
      </c>
      <c r="R492" s="4">
        <v>0</v>
      </c>
      <c r="S492" s="4">
        <v>0</v>
      </c>
      <c r="T492" s="4">
        <v>59155.37</v>
      </c>
      <c r="U492" s="4">
        <v>112.88</v>
      </c>
      <c r="V492" s="4">
        <v>865667.52</v>
      </c>
      <c r="W492" s="4">
        <v>16396415.32</v>
      </c>
      <c r="X492" s="4">
        <v>0</v>
      </c>
      <c r="Y492" s="4">
        <v>26674821.879999999</v>
      </c>
      <c r="Z492" s="4"/>
      <c r="AA492" s="4"/>
      <c r="AB492" s="4">
        <v>268697436.00999999</v>
      </c>
      <c r="AC492" s="4">
        <v>52643.37</v>
      </c>
      <c r="AD492" s="4">
        <v>778330.86</v>
      </c>
      <c r="AE492" s="4">
        <v>0</v>
      </c>
      <c r="AF492" s="4">
        <v>138000</v>
      </c>
      <c r="AG492" s="4">
        <v>143356.87</v>
      </c>
      <c r="AH492" s="4">
        <v>314189.09999999998</v>
      </c>
      <c r="AI492" s="4">
        <v>188850.38</v>
      </c>
      <c r="AJ492" s="4">
        <v>21000</v>
      </c>
      <c r="AK492" s="4">
        <v>687823.05</v>
      </c>
      <c r="AL492" s="4">
        <v>226000</v>
      </c>
      <c r="AM492" s="4">
        <v>17000</v>
      </c>
      <c r="AN492" s="4">
        <v>0</v>
      </c>
      <c r="AO492" s="4">
        <v>454265.14</v>
      </c>
      <c r="AP492" s="4">
        <v>7000</v>
      </c>
      <c r="AQ492" s="4">
        <v>63164.14</v>
      </c>
      <c r="AR492" s="4">
        <v>1573.81</v>
      </c>
      <c r="AS492" s="4">
        <v>0</v>
      </c>
      <c r="AT492" s="4">
        <v>33395.14</v>
      </c>
      <c r="AU492" s="4">
        <v>0</v>
      </c>
      <c r="AV492" s="4">
        <v>847724.2</v>
      </c>
      <c r="AW492" s="4">
        <v>1864161</v>
      </c>
      <c r="AX492" s="4">
        <v>1923663.18</v>
      </c>
      <c r="AY492" s="4">
        <v>1289368.24</v>
      </c>
      <c r="AZ492" s="4"/>
      <c r="BA492" s="4"/>
      <c r="BB492" s="4">
        <f t="shared" si="76"/>
        <v>325207713.88999999</v>
      </c>
    </row>
    <row r="493" spans="1:54" x14ac:dyDescent="0.2">
      <c r="A493" s="3">
        <v>33055</v>
      </c>
      <c r="B493" s="4">
        <v>103510.93</v>
      </c>
      <c r="C493" s="4">
        <v>0</v>
      </c>
      <c r="D493" s="4">
        <v>190189.47</v>
      </c>
      <c r="E493" s="4">
        <v>0</v>
      </c>
      <c r="F493" s="4">
        <v>165021.14000000001</v>
      </c>
      <c r="G493" s="4">
        <v>153712.79999999999</v>
      </c>
      <c r="H493" s="4">
        <v>0</v>
      </c>
      <c r="I493" s="4">
        <v>224792.39</v>
      </c>
      <c r="J493" s="4">
        <v>242035.72</v>
      </c>
      <c r="K493" s="4">
        <v>92156.22</v>
      </c>
      <c r="L493" s="4">
        <v>0</v>
      </c>
      <c r="M493" s="4">
        <v>172396.98</v>
      </c>
      <c r="N493" s="4">
        <v>72268.09</v>
      </c>
      <c r="O493" s="4">
        <v>92439.92</v>
      </c>
      <c r="P493" s="4">
        <v>335542.03000000003</v>
      </c>
      <c r="Q493" s="4">
        <v>79354.7</v>
      </c>
      <c r="R493" s="4">
        <v>0</v>
      </c>
      <c r="S493" s="4">
        <v>0</v>
      </c>
      <c r="T493" s="4">
        <v>7162.75</v>
      </c>
      <c r="U493" s="4">
        <v>0</v>
      </c>
      <c r="V493" s="4">
        <v>487900.61</v>
      </c>
      <c r="W493" s="4">
        <v>4614137.92</v>
      </c>
      <c r="X493" s="4">
        <v>0</v>
      </c>
      <c r="Y493" s="4">
        <v>16105290.939999999</v>
      </c>
      <c r="Z493" s="4"/>
      <c r="AA493" s="4"/>
      <c r="AB493" s="4">
        <v>156809806.53999999</v>
      </c>
      <c r="AC493" s="4">
        <v>35520.559999999998</v>
      </c>
      <c r="AD493" s="4">
        <v>451273.85</v>
      </c>
      <c r="AE493" s="4">
        <v>0</v>
      </c>
      <c r="AF493" s="4">
        <v>29851.85</v>
      </c>
      <c r="AG493" s="4">
        <v>92388.93</v>
      </c>
      <c r="AH493" s="4">
        <v>191268.1</v>
      </c>
      <c r="AI493" s="4">
        <v>98871.8</v>
      </c>
      <c r="AJ493" s="4">
        <v>21463.86</v>
      </c>
      <c r="AK493" s="4">
        <v>408557.49</v>
      </c>
      <c r="AL493" s="4">
        <v>122181.43</v>
      </c>
      <c r="AM493" s="4">
        <v>12612.08</v>
      </c>
      <c r="AN493" s="4">
        <v>0</v>
      </c>
      <c r="AO493" s="4">
        <v>287094.32</v>
      </c>
      <c r="AP493" s="4">
        <v>0</v>
      </c>
      <c r="AQ493" s="4">
        <v>33434.120000000003</v>
      </c>
      <c r="AR493" s="4">
        <v>0</v>
      </c>
      <c r="AS493" s="4">
        <v>0</v>
      </c>
      <c r="AT493" s="4">
        <v>14785.78</v>
      </c>
      <c r="AU493" s="4">
        <v>0</v>
      </c>
      <c r="AV493" s="4">
        <v>482838.66</v>
      </c>
      <c r="AW493" s="4">
        <v>1270559.0900000001</v>
      </c>
      <c r="AX493" s="4">
        <v>1277825.92</v>
      </c>
      <c r="AY493" s="4">
        <v>851883.95</v>
      </c>
      <c r="AZ493" s="4"/>
      <c r="BA493" s="4"/>
      <c r="BB493" s="4">
        <f t="shared" si="76"/>
        <v>185630130.94</v>
      </c>
    </row>
    <row r="494" spans="1:54" x14ac:dyDescent="0.2">
      <c r="A494" s="3">
        <v>33086</v>
      </c>
      <c r="B494" s="4">
        <v>96326.12</v>
      </c>
      <c r="C494" s="4">
        <v>0</v>
      </c>
      <c r="D494" s="4">
        <v>185799.7</v>
      </c>
      <c r="E494" s="4">
        <v>0</v>
      </c>
      <c r="F494" s="4">
        <v>164958.5</v>
      </c>
      <c r="G494" s="4">
        <v>146117.62</v>
      </c>
      <c r="H494" s="4">
        <v>0</v>
      </c>
      <c r="I494" s="4">
        <v>221173.53</v>
      </c>
      <c r="J494" s="4">
        <v>245399.63</v>
      </c>
      <c r="K494" s="4">
        <v>87954.65</v>
      </c>
      <c r="L494" s="4">
        <v>0</v>
      </c>
      <c r="M494" s="4">
        <v>167713.39000000001</v>
      </c>
      <c r="N494" s="4">
        <v>71799.360000000001</v>
      </c>
      <c r="O494" s="4">
        <v>93035.37</v>
      </c>
      <c r="P494" s="4">
        <v>330858.86</v>
      </c>
      <c r="Q494" s="4">
        <v>79624.789999999994</v>
      </c>
      <c r="R494" s="4">
        <v>0</v>
      </c>
      <c r="S494" s="4">
        <v>0</v>
      </c>
      <c r="T494" s="4">
        <v>7051.59</v>
      </c>
      <c r="U494" s="4">
        <v>0</v>
      </c>
      <c r="V494" s="4">
        <v>488184.67</v>
      </c>
      <c r="W494" s="4">
        <v>4581426.96</v>
      </c>
      <c r="X494" s="4">
        <v>0</v>
      </c>
      <c r="Y494" s="4">
        <v>16125305.49</v>
      </c>
      <c r="Z494" s="4"/>
      <c r="AA494" s="4"/>
      <c r="AB494" s="4">
        <v>160052483.09999999</v>
      </c>
      <c r="AC494" s="4">
        <v>36142.76</v>
      </c>
      <c r="AD494" s="4">
        <v>444343.36</v>
      </c>
      <c r="AE494" s="4">
        <v>0</v>
      </c>
      <c r="AF494" s="4">
        <v>55891.32</v>
      </c>
      <c r="AG494" s="4">
        <v>88111.32</v>
      </c>
      <c r="AH494" s="4">
        <v>190702.46</v>
      </c>
      <c r="AI494" s="4">
        <v>97794.69</v>
      </c>
      <c r="AJ494" s="4">
        <v>24137.87</v>
      </c>
      <c r="AK494" s="4">
        <v>403793.19</v>
      </c>
      <c r="AL494" s="4">
        <v>177780.06</v>
      </c>
      <c r="AM494" s="4">
        <v>16853.900000000001</v>
      </c>
      <c r="AN494" s="4">
        <v>0</v>
      </c>
      <c r="AO494" s="4">
        <v>285794.55</v>
      </c>
      <c r="AP494" s="4">
        <v>6592.06</v>
      </c>
      <c r="AQ494" s="4">
        <v>35345.730000000003</v>
      </c>
      <c r="AR494" s="4">
        <v>0</v>
      </c>
      <c r="AS494" s="4">
        <v>0</v>
      </c>
      <c r="AT494" s="4">
        <v>17595.09</v>
      </c>
      <c r="AU494" s="4">
        <v>0</v>
      </c>
      <c r="AV494" s="4">
        <v>462531.58</v>
      </c>
      <c r="AW494" s="4">
        <v>1249374.07</v>
      </c>
      <c r="AX494" s="4">
        <v>1259062.18</v>
      </c>
      <c r="AY494" s="4">
        <v>839374.54</v>
      </c>
      <c r="AZ494" s="4"/>
      <c r="BA494" s="4"/>
      <c r="BB494" s="4">
        <f t="shared" si="76"/>
        <v>188836434.06</v>
      </c>
    </row>
    <row r="495" spans="1:54" x14ac:dyDescent="0.2">
      <c r="A495" s="3">
        <v>33117</v>
      </c>
      <c r="B495" s="4">
        <v>210811.3</v>
      </c>
      <c r="C495" s="4">
        <v>0</v>
      </c>
      <c r="D495" s="4">
        <v>357539.06</v>
      </c>
      <c r="E495" s="4">
        <v>0</v>
      </c>
      <c r="F495" s="4">
        <v>228930.31</v>
      </c>
      <c r="G495" s="4">
        <v>335283.36</v>
      </c>
      <c r="H495" s="4">
        <v>0</v>
      </c>
      <c r="I495" s="4">
        <v>385591.07</v>
      </c>
      <c r="J495" s="4">
        <v>314000</v>
      </c>
      <c r="K495" s="4">
        <v>220660.92</v>
      </c>
      <c r="L495" s="4">
        <v>0</v>
      </c>
      <c r="M495" s="4">
        <v>355741.68</v>
      </c>
      <c r="N495" s="4">
        <v>148999.44</v>
      </c>
      <c r="O495" s="4">
        <v>157028.62</v>
      </c>
      <c r="P495" s="4">
        <v>515331.77</v>
      </c>
      <c r="Q495" s="4">
        <v>169429.82</v>
      </c>
      <c r="R495" s="4">
        <v>0</v>
      </c>
      <c r="S495" s="4">
        <v>0</v>
      </c>
      <c r="T495" s="4">
        <v>75177.31</v>
      </c>
      <c r="U495" s="4">
        <v>0</v>
      </c>
      <c r="V495" s="4">
        <v>901779.79</v>
      </c>
      <c r="W495" s="4">
        <v>17064105.52</v>
      </c>
      <c r="X495" s="4">
        <v>0</v>
      </c>
      <c r="Y495" s="4">
        <v>27234000.559999999</v>
      </c>
      <c r="Z495" s="4"/>
      <c r="AA495" s="4"/>
      <c r="AB495" s="4">
        <v>244058289.72999999</v>
      </c>
      <c r="AC495" s="4">
        <v>46687.49</v>
      </c>
      <c r="AD495" s="4">
        <v>911110.14</v>
      </c>
      <c r="AE495" s="4">
        <v>0</v>
      </c>
      <c r="AF495" s="4">
        <v>136263.85</v>
      </c>
      <c r="AG495" s="4">
        <v>194056.38</v>
      </c>
      <c r="AH495" s="4">
        <v>383263.98</v>
      </c>
      <c r="AI495" s="4">
        <v>185364.77</v>
      </c>
      <c r="AJ495" s="4">
        <v>12000</v>
      </c>
      <c r="AK495" s="4">
        <v>763815.91</v>
      </c>
      <c r="AL495" s="4">
        <v>366339.95</v>
      </c>
      <c r="AM495" s="4">
        <v>20273.3</v>
      </c>
      <c r="AN495" s="4">
        <v>0</v>
      </c>
      <c r="AO495" s="4">
        <v>410168.49</v>
      </c>
      <c r="AP495" s="4">
        <v>15412.43</v>
      </c>
      <c r="AQ495" s="4">
        <v>64618.39</v>
      </c>
      <c r="AR495" s="4">
        <v>5869.29</v>
      </c>
      <c r="AS495" s="4">
        <v>115837.43</v>
      </c>
      <c r="AT495" s="4">
        <v>18432.830000000002</v>
      </c>
      <c r="AU495" s="4">
        <v>0</v>
      </c>
      <c r="AV495" s="4">
        <v>708847.08</v>
      </c>
      <c r="AW495" s="4">
        <v>1488532.86</v>
      </c>
      <c r="AX495" s="4">
        <v>2411914.7799999998</v>
      </c>
      <c r="AY495" s="4">
        <v>1591659.77</v>
      </c>
      <c r="AZ495" s="4"/>
      <c r="BA495" s="4"/>
      <c r="BB495" s="4">
        <f t="shared" si="76"/>
        <v>302583169.38</v>
      </c>
    </row>
    <row r="496" spans="1:54" x14ac:dyDescent="0.2">
      <c r="A496" s="3">
        <v>33147</v>
      </c>
      <c r="B496" s="4">
        <v>102412.23</v>
      </c>
      <c r="C496" s="4">
        <v>0</v>
      </c>
      <c r="D496" s="4">
        <v>196411.91</v>
      </c>
      <c r="E496" s="4">
        <v>0</v>
      </c>
      <c r="F496" s="4">
        <v>135476.38</v>
      </c>
      <c r="G496" s="4">
        <v>146883.39000000001</v>
      </c>
      <c r="H496" s="4">
        <v>0</v>
      </c>
      <c r="I496" s="4">
        <v>230074.94</v>
      </c>
      <c r="J496" s="4">
        <v>219388.58</v>
      </c>
      <c r="K496" s="4">
        <v>101704.71</v>
      </c>
      <c r="L496" s="4">
        <v>0</v>
      </c>
      <c r="M496" s="4">
        <v>215392.02</v>
      </c>
      <c r="N496" s="4">
        <v>66419.47</v>
      </c>
      <c r="O496" s="4">
        <v>80134.55</v>
      </c>
      <c r="P496" s="4">
        <v>360965.43</v>
      </c>
      <c r="Q496" s="4">
        <v>78993.509999999995</v>
      </c>
      <c r="R496" s="4">
        <v>0</v>
      </c>
      <c r="S496" s="4">
        <v>0</v>
      </c>
      <c r="T496" s="4">
        <v>10194.06</v>
      </c>
      <c r="U496" s="4">
        <v>0</v>
      </c>
      <c r="V496" s="4">
        <v>520243.54</v>
      </c>
      <c r="W496" s="4">
        <v>5210427.66</v>
      </c>
      <c r="X496" s="4">
        <v>0</v>
      </c>
      <c r="Y496" s="4">
        <v>17062809.57</v>
      </c>
      <c r="Z496" s="4"/>
      <c r="AA496" s="4"/>
      <c r="AB496" s="4">
        <v>168646364.44999999</v>
      </c>
      <c r="AC496" s="4">
        <v>40738.15</v>
      </c>
      <c r="AD496" s="4">
        <v>473678.11</v>
      </c>
      <c r="AE496" s="4">
        <v>0</v>
      </c>
      <c r="AF496" s="4">
        <v>42000</v>
      </c>
      <c r="AG496" s="4">
        <v>90873.68</v>
      </c>
      <c r="AH496" s="4">
        <v>208229.7</v>
      </c>
      <c r="AI496" s="4">
        <v>128868.96</v>
      </c>
      <c r="AJ496" s="4">
        <v>29535.43</v>
      </c>
      <c r="AK496" s="4">
        <v>433704.66</v>
      </c>
      <c r="AL496" s="4">
        <v>207937.18</v>
      </c>
      <c r="AM496" s="4">
        <v>18907.490000000002</v>
      </c>
      <c r="AN496" s="4">
        <v>0</v>
      </c>
      <c r="AO496" s="4">
        <v>325468.65999999997</v>
      </c>
      <c r="AP496" s="4">
        <v>14114.72</v>
      </c>
      <c r="AQ496" s="4">
        <v>38793.49</v>
      </c>
      <c r="AR496" s="4">
        <v>0</v>
      </c>
      <c r="AS496" s="4">
        <v>0</v>
      </c>
      <c r="AT496" s="4">
        <v>12720.53</v>
      </c>
      <c r="AU496" s="4">
        <v>0</v>
      </c>
      <c r="AV496" s="4">
        <v>484236.56</v>
      </c>
      <c r="AW496" s="4">
        <v>1371507.35</v>
      </c>
      <c r="AX496" s="4">
        <v>1409690.68</v>
      </c>
      <c r="AY496" s="4">
        <v>939784.94</v>
      </c>
      <c r="AZ496" s="4"/>
      <c r="BA496" s="4"/>
      <c r="BB496" s="4">
        <f t="shared" si="76"/>
        <v>199655086.69000003</v>
      </c>
    </row>
    <row r="497" spans="1:54" x14ac:dyDescent="0.2">
      <c r="A497" s="3">
        <v>33178</v>
      </c>
      <c r="B497" s="4">
        <v>104851</v>
      </c>
      <c r="C497" s="4">
        <v>0</v>
      </c>
      <c r="D497" s="4">
        <v>191359.15</v>
      </c>
      <c r="E497" s="4">
        <v>0</v>
      </c>
      <c r="F497" s="4">
        <v>128314.82</v>
      </c>
      <c r="G497" s="4">
        <v>141737.76999999999</v>
      </c>
      <c r="H497" s="4">
        <v>0</v>
      </c>
      <c r="I497" s="4">
        <v>219579.63</v>
      </c>
      <c r="J497" s="4">
        <v>221690.92</v>
      </c>
      <c r="K497" s="4">
        <v>90918.47</v>
      </c>
      <c r="L497" s="4">
        <v>0</v>
      </c>
      <c r="M497" s="4">
        <v>196257.25</v>
      </c>
      <c r="N497" s="4">
        <v>66448.850000000006</v>
      </c>
      <c r="O497" s="4">
        <v>79606.31</v>
      </c>
      <c r="P497" s="4">
        <v>338256.87</v>
      </c>
      <c r="Q497" s="4">
        <v>79927.8</v>
      </c>
      <c r="R497" s="4">
        <v>0</v>
      </c>
      <c r="S497" s="4">
        <v>0</v>
      </c>
      <c r="T497" s="4">
        <v>6099.65</v>
      </c>
      <c r="U497" s="4">
        <v>0</v>
      </c>
      <c r="V497" s="4">
        <v>497460.72</v>
      </c>
      <c r="W497" s="4">
        <v>4947606.7699999996</v>
      </c>
      <c r="X497" s="4">
        <v>0</v>
      </c>
      <c r="Y497" s="4">
        <v>16219960.789999999</v>
      </c>
      <c r="Z497" s="4"/>
      <c r="AA497" s="4"/>
      <c r="AB497" s="4">
        <v>160429951.16999999</v>
      </c>
      <c r="AC497" s="4">
        <v>41017.519999999997</v>
      </c>
      <c r="AD497" s="4">
        <v>455603.55</v>
      </c>
      <c r="AE497" s="4">
        <v>0</v>
      </c>
      <c r="AF497" s="4">
        <v>56694.239999999998</v>
      </c>
      <c r="AG497" s="4">
        <v>87060.6</v>
      </c>
      <c r="AH497" s="4">
        <v>198944.86</v>
      </c>
      <c r="AI497" s="4">
        <v>122699.81</v>
      </c>
      <c r="AJ497" s="4">
        <v>25719.59</v>
      </c>
      <c r="AK497" s="4">
        <v>421785.11</v>
      </c>
      <c r="AL497" s="4">
        <v>188420.76</v>
      </c>
      <c r="AM497" s="4">
        <v>19154.61</v>
      </c>
      <c r="AN497" s="4">
        <v>0</v>
      </c>
      <c r="AO497" s="4">
        <v>309796.31</v>
      </c>
      <c r="AP497" s="4">
        <v>11544.28</v>
      </c>
      <c r="AQ497" s="4">
        <v>37751.78</v>
      </c>
      <c r="AR497" s="4">
        <v>0</v>
      </c>
      <c r="AS497" s="4">
        <v>0</v>
      </c>
      <c r="AT497" s="4">
        <v>12476.97</v>
      </c>
      <c r="AU497" s="4">
        <v>0</v>
      </c>
      <c r="AV497" s="4">
        <v>460383.65</v>
      </c>
      <c r="AW497" s="4">
        <v>1309764.1000000001</v>
      </c>
      <c r="AX497" s="4">
        <v>1352610.61</v>
      </c>
      <c r="AY497" s="4">
        <v>901738.33</v>
      </c>
      <c r="AZ497" s="4"/>
      <c r="BA497" s="4"/>
      <c r="BB497" s="4">
        <f t="shared" si="76"/>
        <v>189973194.62000009</v>
      </c>
    </row>
    <row r="498" spans="1:54" x14ac:dyDescent="0.2">
      <c r="A498" s="3">
        <v>33208</v>
      </c>
      <c r="B498" s="4">
        <v>194352.66</v>
      </c>
      <c r="C498" s="4">
        <v>0</v>
      </c>
      <c r="D498" s="4">
        <v>368232.57</v>
      </c>
      <c r="E498" s="4">
        <v>0</v>
      </c>
      <c r="F498" s="4">
        <v>267315.40999999997</v>
      </c>
      <c r="G498" s="4">
        <v>303378.82</v>
      </c>
      <c r="H498" s="4">
        <v>0</v>
      </c>
      <c r="I498" s="4">
        <v>294000</v>
      </c>
      <c r="J498" s="4">
        <v>296705.73</v>
      </c>
      <c r="K498" s="4">
        <v>212225.67</v>
      </c>
      <c r="L498" s="4">
        <v>0</v>
      </c>
      <c r="M498" s="4">
        <v>242000</v>
      </c>
      <c r="N498" s="4">
        <v>166118</v>
      </c>
      <c r="O498" s="4">
        <v>113000</v>
      </c>
      <c r="P498" s="4">
        <v>649497.89</v>
      </c>
      <c r="Q498" s="4">
        <v>188751.89</v>
      </c>
      <c r="R498" s="4">
        <v>0</v>
      </c>
      <c r="S498" s="4">
        <v>0</v>
      </c>
      <c r="T498" s="4">
        <v>70079.17</v>
      </c>
      <c r="U498" s="4">
        <v>69.95</v>
      </c>
      <c r="V498" s="4">
        <v>858555.33</v>
      </c>
      <c r="W498" s="4">
        <v>14739039.289999999</v>
      </c>
      <c r="X498" s="4">
        <v>0</v>
      </c>
      <c r="Y498" s="4">
        <v>27068367.050000001</v>
      </c>
      <c r="Z498" s="4"/>
      <c r="AA498" s="4"/>
      <c r="AB498" s="4">
        <v>248263463.34999999</v>
      </c>
      <c r="AC498" s="4">
        <v>52786.58</v>
      </c>
      <c r="AD498" s="4">
        <v>756296.65</v>
      </c>
      <c r="AE498" s="4">
        <v>0</v>
      </c>
      <c r="AF498" s="4">
        <v>150953.46</v>
      </c>
      <c r="AG498" s="4">
        <v>177898.36</v>
      </c>
      <c r="AH498" s="4">
        <v>327132.09999999998</v>
      </c>
      <c r="AI498" s="4">
        <v>124947.11</v>
      </c>
      <c r="AJ498" s="4">
        <v>16000</v>
      </c>
      <c r="AK498" s="4">
        <v>634843.72</v>
      </c>
      <c r="AL498" s="4">
        <v>262431.61</v>
      </c>
      <c r="AM498" s="4">
        <v>22998.05</v>
      </c>
      <c r="AN498" s="4">
        <v>0</v>
      </c>
      <c r="AO498" s="4">
        <v>667067.06000000006</v>
      </c>
      <c r="AP498" s="4">
        <v>27029.85</v>
      </c>
      <c r="AQ498" s="4">
        <v>66070.5</v>
      </c>
      <c r="AR498" s="4">
        <v>5696.19</v>
      </c>
      <c r="AS498" s="4">
        <v>0</v>
      </c>
      <c r="AT498" s="4">
        <v>27204.560000000001</v>
      </c>
      <c r="AU498" s="4">
        <v>0</v>
      </c>
      <c r="AV498" s="4">
        <v>707942.74</v>
      </c>
      <c r="AW498" s="4">
        <v>1375719.56</v>
      </c>
      <c r="AX498" s="4">
        <v>1899914.68</v>
      </c>
      <c r="AY498" s="4">
        <v>1262521.22</v>
      </c>
      <c r="AZ498" s="4"/>
      <c r="BA498" s="4"/>
      <c r="BB498" s="4">
        <f t="shared" si="76"/>
        <v>302860606.78000009</v>
      </c>
    </row>
    <row r="499" spans="1:54" ht="15.75" thickBot="1" x14ac:dyDescent="0.25">
      <c r="A499" s="1" t="s">
        <v>15</v>
      </c>
      <c r="B499" s="5">
        <f t="shared" ref="B499:AY499" si="77">SUM(B487:B498)</f>
        <v>1526747.8299999998</v>
      </c>
      <c r="C499" s="5">
        <f t="shared" si="77"/>
        <v>0</v>
      </c>
      <c r="D499" s="5">
        <f t="shared" si="77"/>
        <v>2765853</v>
      </c>
      <c r="E499" s="5">
        <f t="shared" si="77"/>
        <v>0</v>
      </c>
      <c r="F499" s="5">
        <f t="shared" si="77"/>
        <v>1991446.42</v>
      </c>
      <c r="G499" s="5">
        <f t="shared" si="77"/>
        <v>2263298.1199999996</v>
      </c>
      <c r="H499" s="5">
        <f t="shared" si="77"/>
        <v>0</v>
      </c>
      <c r="I499" s="5">
        <f t="shared" si="77"/>
        <v>3217480.35</v>
      </c>
      <c r="J499" s="5">
        <f t="shared" si="77"/>
        <v>3264498.9299999997</v>
      </c>
      <c r="K499" s="5">
        <f t="shared" si="77"/>
        <v>1587462.65</v>
      </c>
      <c r="L499" s="5">
        <f t="shared" si="77"/>
        <v>164902.04999999999</v>
      </c>
      <c r="M499" s="5">
        <f t="shared" si="77"/>
        <v>2465788.0700000003</v>
      </c>
      <c r="N499" s="5">
        <f t="shared" si="77"/>
        <v>1119614.8500000001</v>
      </c>
      <c r="O499" s="5">
        <f t="shared" si="77"/>
        <v>1349719.57</v>
      </c>
      <c r="P499" s="5">
        <f t="shared" si="77"/>
        <v>5183866.1099999994</v>
      </c>
      <c r="Q499" s="5">
        <f t="shared" si="77"/>
        <v>1332724.23</v>
      </c>
      <c r="R499" s="5">
        <f t="shared" si="77"/>
        <v>0</v>
      </c>
      <c r="S499" s="5">
        <f t="shared" si="77"/>
        <v>0</v>
      </c>
      <c r="T499" s="5">
        <f t="shared" si="77"/>
        <v>330876.88999999996</v>
      </c>
      <c r="U499" s="5">
        <f t="shared" si="77"/>
        <v>305.34999999999997</v>
      </c>
      <c r="V499" s="5">
        <f t="shared" si="77"/>
        <v>7724081.0099999998</v>
      </c>
      <c r="W499" s="5">
        <f t="shared" si="77"/>
        <v>102002022.91</v>
      </c>
      <c r="X499" s="5">
        <f t="shared" si="77"/>
        <v>0</v>
      </c>
      <c r="Y499" s="5">
        <f t="shared" si="77"/>
        <v>237556144.74000001</v>
      </c>
      <c r="Z499" s="5"/>
      <c r="AA499" s="5"/>
      <c r="AB499" s="5">
        <f t="shared" si="77"/>
        <v>2356338970.21</v>
      </c>
      <c r="AC499" s="5">
        <f t="shared" si="77"/>
        <v>596322.48</v>
      </c>
      <c r="AD499" s="5">
        <f t="shared" si="77"/>
        <v>6945097.71</v>
      </c>
      <c r="AE499" s="5">
        <f t="shared" si="77"/>
        <v>0</v>
      </c>
      <c r="AF499" s="5">
        <f t="shared" si="77"/>
        <v>864428.65999999992</v>
      </c>
      <c r="AG499" s="5">
        <f t="shared" si="77"/>
        <v>1366423.83</v>
      </c>
      <c r="AH499" s="5">
        <f t="shared" si="77"/>
        <v>3045469.89</v>
      </c>
      <c r="AI499" s="5">
        <f t="shared" si="77"/>
        <v>1523094.4900000002</v>
      </c>
      <c r="AJ499" s="5">
        <f t="shared" si="77"/>
        <v>318827.82</v>
      </c>
      <c r="AK499" s="5">
        <f t="shared" si="77"/>
        <v>6057272.0899999999</v>
      </c>
      <c r="AL499" s="5">
        <f t="shared" si="77"/>
        <v>2491926.13</v>
      </c>
      <c r="AM499" s="5">
        <f t="shared" si="77"/>
        <v>264818.81999999995</v>
      </c>
      <c r="AN499" s="5">
        <f t="shared" si="77"/>
        <v>959287.39</v>
      </c>
      <c r="AO499" s="5">
        <f t="shared" si="77"/>
        <v>4338844.59</v>
      </c>
      <c r="AP499" s="5">
        <f t="shared" si="77"/>
        <v>236142.84</v>
      </c>
      <c r="AQ499" s="5">
        <f t="shared" si="77"/>
        <v>541312.43999999994</v>
      </c>
      <c r="AR499" s="5">
        <f t="shared" si="77"/>
        <v>13139.29</v>
      </c>
      <c r="AS499" s="5">
        <f t="shared" si="77"/>
        <v>115837.43</v>
      </c>
      <c r="AT499" s="5">
        <f t="shared" si="77"/>
        <v>202553.40999999997</v>
      </c>
      <c r="AU499" s="5">
        <f t="shared" si="77"/>
        <v>0</v>
      </c>
      <c r="AV499" s="5">
        <f t="shared" si="77"/>
        <v>6824338.71</v>
      </c>
      <c r="AW499" s="5">
        <f t="shared" si="77"/>
        <v>17066299.559999999</v>
      </c>
      <c r="AX499" s="5">
        <f t="shared" si="77"/>
        <v>19179466.009999998</v>
      </c>
      <c r="AY499" s="5">
        <f t="shared" si="77"/>
        <v>12768293.760000002</v>
      </c>
      <c r="AZ499" s="5"/>
      <c r="BA499" s="5"/>
      <c r="BB499" s="5">
        <f t="shared" si="76"/>
        <v>2817905000.6400003</v>
      </c>
    </row>
    <row r="500" spans="1:54" ht="15.75" thickTop="1" x14ac:dyDescent="0.2"/>
    <row r="501" spans="1:54" x14ac:dyDescent="0.2">
      <c r="A501" s="1" t="s">
        <v>159</v>
      </c>
      <c r="B501" s="1" t="s">
        <v>160</v>
      </c>
    </row>
    <row r="503" spans="1:54" x14ac:dyDescent="0.2">
      <c r="A503" s="1" t="s">
        <v>161</v>
      </c>
      <c r="B503" s="1" t="s">
        <v>162</v>
      </c>
    </row>
  </sheetData>
  <phoneticPr fontId="0" type="noConversion"/>
  <pageMargins left="0.5" right="0.5" top="0.5" bottom="0.5" header="0" footer="0"/>
  <pageSetup orientation="portrait" r:id="rId1"/>
  <headerFooter alignWithMargins="0">
    <oddHeader xml:space="preserve">&amp;C                                                   _x000D_
NYS DEPARTMENT OF TAXATION &amp; FINANCE_x000D_
OFFICE OF TAX POLICY ANALYSIS_x000D_
CASH DISTRIBUTION DATABASE_x000D_
1990 - PRESENT&amp;RAS570_x000D_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I563"/>
  <sheetViews>
    <sheetView tabSelected="1" showOutlineSymbols="0" zoomScale="70" zoomScaleNormal="70" workbookViewId="0">
      <pane xSplit="1" ySplit="9" topLeftCell="AV1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77734375" defaultRowHeight="15" x14ac:dyDescent="0.2"/>
  <cols>
    <col min="1" max="1" width="9.77734375" style="1" customWidth="1"/>
    <col min="2" max="28" width="15.77734375" style="1" customWidth="1"/>
    <col min="29" max="29" width="17.6640625" style="1" bestFit="1" customWidth="1"/>
    <col min="30" max="47" width="15.77734375" style="1" customWidth="1"/>
    <col min="48" max="48" width="17.6640625" style="1" bestFit="1" customWidth="1"/>
    <col min="49" max="59" width="15.77734375" style="1" customWidth="1"/>
    <col min="60" max="60" width="16.77734375" style="1" customWidth="1"/>
    <col min="61" max="62" width="11.77734375" style="1" customWidth="1"/>
    <col min="63" max="63" width="12.77734375" style="1" customWidth="1"/>
    <col min="64" max="64" width="13.77734375" style="1" customWidth="1"/>
    <col min="65" max="65" width="14.77734375" style="1" customWidth="1"/>
    <col min="66" max="67" width="11.77734375" style="1" customWidth="1"/>
    <col min="68" max="68" width="13.77734375" style="1" customWidth="1"/>
    <col min="69" max="69" width="12.77734375" style="1" customWidth="1"/>
    <col min="70" max="70" width="13.77734375" style="1" customWidth="1"/>
    <col min="71" max="71" width="14.77734375" style="1" customWidth="1"/>
    <col min="72" max="72" width="12.77734375" style="1" customWidth="1"/>
    <col min="73" max="74" width="13.77734375" style="1" customWidth="1"/>
    <col min="75" max="76" width="12.77734375" style="1" customWidth="1"/>
    <col min="77" max="77" width="11.77734375" style="1" customWidth="1"/>
    <col min="78" max="78" width="13.77734375" style="1" customWidth="1"/>
    <col min="79" max="83" width="9.77734375" style="1" customWidth="1"/>
    <col min="84" max="84" width="16.77734375" style="1" customWidth="1"/>
    <col min="85" max="85" width="15.77734375" style="1" customWidth="1"/>
    <col min="86" max="86" width="16.77734375" style="1" customWidth="1"/>
    <col min="87" max="16384" width="9.77734375" style="1"/>
  </cols>
  <sheetData>
    <row r="1" spans="1:60" x14ac:dyDescent="0.2">
      <c r="E1" s="1" t="s">
        <v>18</v>
      </c>
    </row>
    <row r="2" spans="1:60" x14ac:dyDescent="0.2">
      <c r="A2" s="1" t="str">
        <f>Totals!A2</f>
        <v>DEPARTMENT OF TAXATION &amp; FINANCE</v>
      </c>
    </row>
    <row r="3" spans="1:60" x14ac:dyDescent="0.2">
      <c r="A3" s="1" t="str">
        <f>Totals!A3</f>
        <v>OFFICE OF TAX POLICY ANALYSIS</v>
      </c>
    </row>
    <row r="4" spans="1:60" x14ac:dyDescent="0.2">
      <c r="A4" s="1" t="str">
        <f>Totals!A4</f>
        <v>SALES TAX CASH COLLECTIONS DATABASE</v>
      </c>
    </row>
    <row r="5" spans="1:60" x14ac:dyDescent="0.2">
      <c r="A5" s="1" t="str">
        <f>Totals!A5</f>
        <v>1990-PRESENT</v>
      </c>
    </row>
    <row r="8" spans="1:60" x14ac:dyDescent="0.2">
      <c r="B8" s="1" t="s">
        <v>20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26</v>
      </c>
      <c r="H8" s="1" t="s">
        <v>27</v>
      </c>
      <c r="I8" s="1" t="s">
        <v>28</v>
      </c>
      <c r="J8" s="1" t="s">
        <v>29</v>
      </c>
      <c r="K8" s="1" t="s">
        <v>30</v>
      </c>
      <c r="L8" s="1" t="s">
        <v>31</v>
      </c>
      <c r="M8" s="1" t="s">
        <v>32</v>
      </c>
      <c r="N8" s="1" t="s">
        <v>33</v>
      </c>
      <c r="O8" s="1" t="s">
        <v>34</v>
      </c>
      <c r="P8" s="1" t="s">
        <v>35</v>
      </c>
      <c r="Q8" s="1" t="s">
        <v>36</v>
      </c>
      <c r="R8" s="1" t="s">
        <v>37</v>
      </c>
      <c r="S8" s="1" t="s">
        <v>38</v>
      </c>
      <c r="T8" s="1" t="s">
        <v>39</v>
      </c>
      <c r="U8" s="1" t="s">
        <v>40</v>
      </c>
      <c r="V8" s="1" t="s">
        <v>41</v>
      </c>
      <c r="W8" s="1" t="s">
        <v>42</v>
      </c>
      <c r="X8" s="1" t="s">
        <v>43</v>
      </c>
      <c r="Y8" s="1" t="s">
        <v>44</v>
      </c>
      <c r="Z8" s="1" t="s">
        <v>45</v>
      </c>
      <c r="AA8" s="1" t="s">
        <v>46</v>
      </c>
      <c r="AB8" s="1" t="s">
        <v>47</v>
      </c>
      <c r="AC8" s="1" t="s">
        <v>48</v>
      </c>
      <c r="AD8" s="1" t="s">
        <v>49</v>
      </c>
      <c r="AE8" s="1" t="s">
        <v>50</v>
      </c>
      <c r="AF8" s="1" t="s">
        <v>51</v>
      </c>
      <c r="AG8" s="1" t="s">
        <v>52</v>
      </c>
      <c r="AH8" s="1" t="s">
        <v>53</v>
      </c>
      <c r="AI8" s="1" t="s">
        <v>54</v>
      </c>
      <c r="AJ8" s="1" t="s">
        <v>55</v>
      </c>
      <c r="AK8" s="1" t="s">
        <v>56</v>
      </c>
      <c r="AL8" s="1" t="s">
        <v>57</v>
      </c>
      <c r="AM8" s="1" t="s">
        <v>58</v>
      </c>
      <c r="AN8" s="1" t="s">
        <v>59</v>
      </c>
      <c r="AO8" s="1" t="s">
        <v>60</v>
      </c>
      <c r="AP8" s="1" t="s">
        <v>61</v>
      </c>
      <c r="AQ8" s="1" t="s">
        <v>62</v>
      </c>
      <c r="AR8" s="1" t="s">
        <v>63</v>
      </c>
      <c r="AS8" s="1" t="s">
        <v>64</v>
      </c>
      <c r="AT8" s="1" t="s">
        <v>65</v>
      </c>
      <c r="AU8" s="1" t="s">
        <v>66</v>
      </c>
      <c r="AV8" s="1" t="s">
        <v>67</v>
      </c>
      <c r="AW8" s="1" t="s">
        <v>68</v>
      </c>
      <c r="AX8" s="1" t="s">
        <v>69</v>
      </c>
      <c r="AY8" s="1" t="s">
        <v>70</v>
      </c>
      <c r="AZ8" s="1" t="s">
        <v>71</v>
      </c>
      <c r="BA8" s="1" t="s">
        <v>72</v>
      </c>
      <c r="BB8" s="1" t="s">
        <v>73</v>
      </c>
      <c r="BC8" s="1" t="s">
        <v>74</v>
      </c>
      <c r="BD8" s="1" t="s">
        <v>75</v>
      </c>
      <c r="BE8" s="1" t="s">
        <v>76</v>
      </c>
      <c r="BF8" s="1" t="s">
        <v>77</v>
      </c>
      <c r="BG8" s="1" t="s">
        <v>78</v>
      </c>
    </row>
    <row r="9" spans="1:60" x14ac:dyDescent="0.2">
      <c r="B9" s="1" t="s">
        <v>21</v>
      </c>
      <c r="C9" s="1" t="s">
        <v>21</v>
      </c>
      <c r="D9" s="1" t="s">
        <v>21</v>
      </c>
      <c r="E9" s="1" t="s">
        <v>21</v>
      </c>
      <c r="F9" s="1" t="s">
        <v>21</v>
      </c>
      <c r="G9" s="1" t="s">
        <v>21</v>
      </c>
      <c r="H9" s="1" t="s">
        <v>21</v>
      </c>
      <c r="I9" s="1" t="s">
        <v>21</v>
      </c>
      <c r="J9" s="1" t="s">
        <v>21</v>
      </c>
      <c r="K9" s="1" t="s">
        <v>21</v>
      </c>
      <c r="L9" s="1" t="s">
        <v>21</v>
      </c>
      <c r="M9" s="1" t="s">
        <v>21</v>
      </c>
      <c r="N9" s="1" t="s">
        <v>21</v>
      </c>
      <c r="O9" s="1" t="s">
        <v>21</v>
      </c>
      <c r="P9" s="1" t="s">
        <v>21</v>
      </c>
      <c r="Q9" s="1" t="s">
        <v>21</v>
      </c>
      <c r="R9" s="1" t="s">
        <v>21</v>
      </c>
      <c r="S9" s="1" t="s">
        <v>21</v>
      </c>
      <c r="T9" s="1" t="s">
        <v>21</v>
      </c>
      <c r="U9" s="1" t="s">
        <v>21</v>
      </c>
      <c r="V9" s="1" t="s">
        <v>21</v>
      </c>
      <c r="W9" s="1" t="s">
        <v>21</v>
      </c>
      <c r="X9" s="1" t="s">
        <v>21</v>
      </c>
      <c r="Y9" s="1" t="s">
        <v>21</v>
      </c>
      <c r="Z9" s="1" t="s">
        <v>21</v>
      </c>
      <c r="AA9" s="1" t="s">
        <v>21</v>
      </c>
      <c r="AB9" s="1" t="s">
        <v>21</v>
      </c>
      <c r="AC9" s="1" t="s">
        <v>21</v>
      </c>
      <c r="AD9" s="1" t="s">
        <v>21</v>
      </c>
      <c r="AE9" s="1" t="s">
        <v>21</v>
      </c>
      <c r="AF9" s="1" t="s">
        <v>21</v>
      </c>
      <c r="AG9" s="1" t="s">
        <v>21</v>
      </c>
      <c r="AH9" s="1" t="s">
        <v>21</v>
      </c>
      <c r="AI9" s="1" t="s">
        <v>21</v>
      </c>
      <c r="AJ9" s="1" t="s">
        <v>21</v>
      </c>
      <c r="AK9" s="1" t="s">
        <v>21</v>
      </c>
      <c r="AL9" s="1" t="s">
        <v>21</v>
      </c>
      <c r="AM9" s="1" t="s">
        <v>21</v>
      </c>
      <c r="AN9" s="1" t="s">
        <v>21</v>
      </c>
      <c r="AO9" s="1" t="s">
        <v>21</v>
      </c>
      <c r="AP9" s="1" t="s">
        <v>21</v>
      </c>
      <c r="AQ9" s="1" t="s">
        <v>21</v>
      </c>
      <c r="AR9" s="1" t="s">
        <v>21</v>
      </c>
      <c r="AS9" s="1" t="s">
        <v>21</v>
      </c>
      <c r="AT9" s="1" t="s">
        <v>21</v>
      </c>
      <c r="AU9" s="1" t="s">
        <v>21</v>
      </c>
      <c r="AV9" s="1" t="s">
        <v>21</v>
      </c>
      <c r="AW9" s="1" t="s">
        <v>21</v>
      </c>
      <c r="AX9" s="1" t="s">
        <v>21</v>
      </c>
      <c r="AY9" s="1" t="s">
        <v>21</v>
      </c>
      <c r="AZ9" s="1" t="s">
        <v>21</v>
      </c>
      <c r="BA9" s="1" t="s">
        <v>21</v>
      </c>
      <c r="BB9" s="1" t="s">
        <v>21</v>
      </c>
      <c r="BC9" s="1" t="s">
        <v>21</v>
      </c>
      <c r="BD9" s="1" t="s">
        <v>21</v>
      </c>
      <c r="BE9" s="1" t="s">
        <v>21</v>
      </c>
      <c r="BF9" s="1" t="s">
        <v>21</v>
      </c>
      <c r="BG9" s="1" t="s">
        <v>79</v>
      </c>
      <c r="BH9" s="1" t="s">
        <v>16</v>
      </c>
    </row>
    <row r="11" spans="1:60" x14ac:dyDescent="0.2">
      <c r="A11" s="3">
        <v>45292</v>
      </c>
      <c r="B11" s="4">
        <v>29840067.439999998</v>
      </c>
      <c r="C11" s="4">
        <v>2421540.1799999997</v>
      </c>
      <c r="D11" s="4">
        <v>14861222.16</v>
      </c>
      <c r="E11" s="4">
        <v>4024108.8200000003</v>
      </c>
      <c r="F11" s="4">
        <v>3744098.8500000006</v>
      </c>
      <c r="G11" s="4">
        <v>6708999.2300000004</v>
      </c>
      <c r="H11" s="4">
        <v>6564764.9800000004</v>
      </c>
      <c r="I11" s="4">
        <v>2466668.6199999996</v>
      </c>
      <c r="J11" s="4">
        <v>5677374.1699999999</v>
      </c>
      <c r="K11" s="4">
        <v>4585465.47</v>
      </c>
      <c r="L11" s="4">
        <v>3143190.0999999996</v>
      </c>
      <c r="M11" s="4">
        <v>2255223.3600000003</v>
      </c>
      <c r="N11" s="4">
        <v>20551480.440000005</v>
      </c>
      <c r="O11" s="4">
        <v>88130621.960000008</v>
      </c>
      <c r="P11" s="4">
        <v>3278430.49</v>
      </c>
      <c r="Q11" s="4">
        <v>2581704.13</v>
      </c>
      <c r="R11" s="4">
        <v>2229255.1899999995</v>
      </c>
      <c r="S11" s="4">
        <v>4194373.37</v>
      </c>
      <c r="T11" s="4">
        <v>3755621.44</v>
      </c>
      <c r="U11" s="4">
        <v>368352.43999999994</v>
      </c>
      <c r="V11" s="4">
        <v>3465517.34</v>
      </c>
      <c r="W11" s="4">
        <v>7716508.870000001</v>
      </c>
      <c r="X11" s="4">
        <v>1238356.8599999999</v>
      </c>
      <c r="Y11" s="4">
        <v>3468877.75</v>
      </c>
      <c r="Z11" s="4">
        <v>2945413.8</v>
      </c>
      <c r="AA11" s="4">
        <v>53866432.149999991</v>
      </c>
      <c r="AB11" s="4">
        <v>3448259.5300000003</v>
      </c>
      <c r="AC11" s="4">
        <v>126123386.57999998</v>
      </c>
      <c r="AD11" s="4">
        <v>14126199.02</v>
      </c>
      <c r="AE11" s="4">
        <v>15467256.189999999</v>
      </c>
      <c r="AF11" s="4">
        <v>38675733.460000001</v>
      </c>
      <c r="AG11" s="4">
        <v>9173646.4299999997</v>
      </c>
      <c r="AH11" s="4">
        <v>30138722.920000002</v>
      </c>
      <c r="AI11" s="4">
        <v>1834111.13</v>
      </c>
      <c r="AJ11" s="4">
        <v>4810185.5999999996</v>
      </c>
      <c r="AK11" s="4">
        <v>3582388</v>
      </c>
      <c r="AL11" s="4">
        <v>7112139.4600000009</v>
      </c>
      <c r="AM11" s="4">
        <v>10135392.489999998</v>
      </c>
      <c r="AN11" s="4">
        <v>22515252.129999995</v>
      </c>
      <c r="AO11" s="4">
        <v>6187815.6599999992</v>
      </c>
      <c r="AP11" s="4">
        <v>13807567.109999999</v>
      </c>
      <c r="AQ11" s="4">
        <v>10716238.319999998</v>
      </c>
      <c r="AR11" s="4">
        <v>1672218.7800000003</v>
      </c>
      <c r="AS11" s="4">
        <v>941518.79</v>
      </c>
      <c r="AT11" s="4">
        <v>2508147.5300000003</v>
      </c>
      <c r="AU11" s="4">
        <v>5915988.129999999</v>
      </c>
      <c r="AV11" s="4">
        <v>153470469.37</v>
      </c>
      <c r="AW11" s="4">
        <v>5104508.3900000006</v>
      </c>
      <c r="AX11" s="4">
        <v>2705287.58</v>
      </c>
      <c r="AY11" s="4">
        <v>5222548.25</v>
      </c>
      <c r="AZ11" s="4">
        <v>13026595.749999998</v>
      </c>
      <c r="BA11" s="4">
        <v>5200711.5500000007</v>
      </c>
      <c r="BB11" s="4">
        <v>2316998.29</v>
      </c>
      <c r="BC11" s="4">
        <v>4802229.5600000005</v>
      </c>
      <c r="BD11" s="4">
        <v>70697235.430000007</v>
      </c>
      <c r="BE11" s="4">
        <v>1836675.18</v>
      </c>
      <c r="BF11" s="4">
        <v>1277178.76</v>
      </c>
      <c r="BG11" s="4">
        <v>0</v>
      </c>
      <c r="BH11" s="4">
        <f>SUM(B11:BG11)</f>
        <v>878636274.9799999</v>
      </c>
    </row>
    <row r="12" spans="1:60" x14ac:dyDescent="0.2">
      <c r="A12" s="3">
        <v>45323</v>
      </c>
      <c r="B12" s="4">
        <v>25798751</v>
      </c>
      <c r="C12" s="4">
        <v>2043416.14</v>
      </c>
      <c r="D12" s="4">
        <v>13132824.690000001</v>
      </c>
      <c r="E12" s="4">
        <v>3648631.75</v>
      </c>
      <c r="F12" s="4">
        <v>3383422.3800000004</v>
      </c>
      <c r="G12" s="4">
        <v>5952497.6499999994</v>
      </c>
      <c r="H12" s="4">
        <v>5836658.2400000002</v>
      </c>
      <c r="I12" s="4">
        <v>2169367.1400000006</v>
      </c>
      <c r="J12" s="4">
        <v>5145645.0500000007</v>
      </c>
      <c r="K12" s="4">
        <v>4139529.33</v>
      </c>
      <c r="L12" s="4">
        <v>2771215.41</v>
      </c>
      <c r="M12" s="4">
        <v>2030409.4599999995</v>
      </c>
      <c r="N12" s="4">
        <v>18601639.490000002</v>
      </c>
      <c r="O12" s="4">
        <v>78126108.579999998</v>
      </c>
      <c r="P12" s="4">
        <v>2825694.6399999997</v>
      </c>
      <c r="Q12" s="4">
        <v>2284144.2399999998</v>
      </c>
      <c r="R12" s="4">
        <v>1948483.33</v>
      </c>
      <c r="S12" s="4">
        <v>3718246</v>
      </c>
      <c r="T12" s="4">
        <v>3184013.3000000007</v>
      </c>
      <c r="U12" s="4">
        <v>252172.66</v>
      </c>
      <c r="V12" s="4">
        <v>2934128.1599999997</v>
      </c>
      <c r="W12" s="4">
        <v>6852578.7800000012</v>
      </c>
      <c r="X12" s="4">
        <v>1106641.8900000001</v>
      </c>
      <c r="Y12" s="4">
        <v>3016142.9000000004</v>
      </c>
      <c r="Z12" s="4">
        <v>2650062.8200000003</v>
      </c>
      <c r="AA12" s="4">
        <v>47494444.519999996</v>
      </c>
      <c r="AB12" s="4">
        <v>3081351.9899999993</v>
      </c>
      <c r="AC12" s="4">
        <v>116017036.28</v>
      </c>
      <c r="AD12" s="4">
        <v>12036330.460000001</v>
      </c>
      <c r="AE12" s="4">
        <v>13415378.140000001</v>
      </c>
      <c r="AF12" s="4">
        <v>34583828.729999997</v>
      </c>
      <c r="AG12" s="4">
        <v>8101479.3800000008</v>
      </c>
      <c r="AH12" s="4">
        <v>27340467.189999998</v>
      </c>
      <c r="AI12" s="4">
        <v>1564704.4100000001</v>
      </c>
      <c r="AJ12" s="4">
        <v>4240028.63</v>
      </c>
      <c r="AK12" s="4">
        <v>3177453.33</v>
      </c>
      <c r="AL12" s="4">
        <v>6138979.9399999995</v>
      </c>
      <c r="AM12" s="4">
        <v>8637606.9499999993</v>
      </c>
      <c r="AN12" s="4">
        <v>19919643.609999999</v>
      </c>
      <c r="AO12" s="4">
        <v>5690420.3399999999</v>
      </c>
      <c r="AP12" s="4">
        <v>12276328.809999999</v>
      </c>
      <c r="AQ12" s="4">
        <v>7965327.6400000006</v>
      </c>
      <c r="AR12" s="4">
        <v>1472587.66</v>
      </c>
      <c r="AS12" s="4">
        <v>845206.46</v>
      </c>
      <c r="AT12" s="4">
        <v>2179130.6399999997</v>
      </c>
      <c r="AU12" s="4">
        <v>4983694.4800000004</v>
      </c>
      <c r="AV12" s="4">
        <v>134640570.28999999</v>
      </c>
      <c r="AW12" s="4">
        <v>4422285.96</v>
      </c>
      <c r="AX12" s="4">
        <v>2361595.2600000002</v>
      </c>
      <c r="AY12" s="4">
        <v>4681692.7799999993</v>
      </c>
      <c r="AZ12" s="4">
        <v>11731264.65</v>
      </c>
      <c r="BA12" s="4">
        <v>4645636.46</v>
      </c>
      <c r="BB12" s="4">
        <v>2009634.83</v>
      </c>
      <c r="BC12" s="4">
        <v>4326057.82</v>
      </c>
      <c r="BD12" s="4">
        <v>61341945.120000005</v>
      </c>
      <c r="BE12" s="4">
        <v>1578253.88</v>
      </c>
      <c r="BF12" s="4">
        <v>1164924.96</v>
      </c>
      <c r="BG12" s="4">
        <v>0</v>
      </c>
      <c r="BH12" s="4">
        <f t="shared" ref="BH12:BH22" si="0">SUM(B12:BG12)</f>
        <v>777617716.63000011</v>
      </c>
    </row>
    <row r="13" spans="1:60" x14ac:dyDescent="0.2">
      <c r="A13" s="3">
        <v>45352</v>
      </c>
      <c r="B13" s="4">
        <v>33246599.460000001</v>
      </c>
      <c r="C13" s="4">
        <v>3248408.7000000007</v>
      </c>
      <c r="D13" s="4">
        <v>15000204.720000001</v>
      </c>
      <c r="E13" s="4">
        <v>4912550.8499999996</v>
      </c>
      <c r="F13" s="4">
        <v>3872117.8699999996</v>
      </c>
      <c r="G13" s="4">
        <v>7956970.8799999999</v>
      </c>
      <c r="H13" s="4">
        <v>5749521.8600000003</v>
      </c>
      <c r="I13" s="4">
        <v>2856322.79</v>
      </c>
      <c r="J13" s="4">
        <v>6278461.7999999998</v>
      </c>
      <c r="K13" s="4">
        <v>5178892.290000001</v>
      </c>
      <c r="L13" s="4">
        <v>3727041.63</v>
      </c>
      <c r="M13" s="4">
        <v>2565338.1500000004</v>
      </c>
      <c r="N13" s="4">
        <v>23909108.739999998</v>
      </c>
      <c r="O13" s="4">
        <v>71427198.74000001</v>
      </c>
      <c r="P13" s="4">
        <v>3160698.95</v>
      </c>
      <c r="Q13" s="4">
        <v>2683576.7999999998</v>
      </c>
      <c r="R13" s="4">
        <v>2678938.12</v>
      </c>
      <c r="S13" s="4">
        <v>4559066.68</v>
      </c>
      <c r="T13" s="4">
        <v>4696375.9499999993</v>
      </c>
      <c r="U13" s="4">
        <v>381174.76000000007</v>
      </c>
      <c r="V13" s="4">
        <v>3841517.19</v>
      </c>
      <c r="W13" s="4">
        <v>7914411.8100000005</v>
      </c>
      <c r="X13" s="4">
        <v>1837567.3699999996</v>
      </c>
      <c r="Y13" s="4">
        <v>4322454.37</v>
      </c>
      <c r="Z13" s="4">
        <v>3704777.25</v>
      </c>
      <c r="AA13" s="4">
        <v>49200556.889999993</v>
      </c>
      <c r="AB13" s="4">
        <v>4689986.76</v>
      </c>
      <c r="AC13" s="4">
        <v>134488442.78999999</v>
      </c>
      <c r="AD13" s="4">
        <v>13222335.879999999</v>
      </c>
      <c r="AE13" s="4">
        <v>17308128.68</v>
      </c>
      <c r="AF13" s="4">
        <v>42516707.350000001</v>
      </c>
      <c r="AG13" s="4">
        <v>9243534.4100000001</v>
      </c>
      <c r="AH13" s="4">
        <v>34275243.919999994</v>
      </c>
      <c r="AI13" s="4">
        <v>1988991.36</v>
      </c>
      <c r="AJ13" s="4">
        <v>4669847.03</v>
      </c>
      <c r="AK13" s="4">
        <v>4291398.6900000004</v>
      </c>
      <c r="AL13" s="4">
        <v>7642005.9900000012</v>
      </c>
      <c r="AM13" s="4">
        <v>10814136.02</v>
      </c>
      <c r="AN13" s="4">
        <v>26388887.289999999</v>
      </c>
      <c r="AO13" s="4">
        <v>6448965.6699999999</v>
      </c>
      <c r="AP13" s="4">
        <v>13958249.039999999</v>
      </c>
      <c r="AQ13" s="4">
        <v>12463380.050000001</v>
      </c>
      <c r="AR13" s="4">
        <v>2297042.6</v>
      </c>
      <c r="AS13" s="4">
        <v>1216841.68</v>
      </c>
      <c r="AT13" s="4">
        <v>2635530.31</v>
      </c>
      <c r="AU13" s="4">
        <v>5864160.8300000001</v>
      </c>
      <c r="AV13" s="4">
        <v>157922397.18000001</v>
      </c>
      <c r="AW13" s="4">
        <v>7389929.7799999993</v>
      </c>
      <c r="AX13" s="4">
        <v>2549765.37</v>
      </c>
      <c r="AY13" s="4">
        <v>5353395.03</v>
      </c>
      <c r="AZ13" s="4">
        <v>16789368.210000001</v>
      </c>
      <c r="BA13" s="4">
        <v>5740627.3100000005</v>
      </c>
      <c r="BB13" s="4">
        <v>2862329.1099999994</v>
      </c>
      <c r="BC13" s="4">
        <v>5726823.4900000002</v>
      </c>
      <c r="BD13" s="4">
        <v>99037489.129999995</v>
      </c>
      <c r="BE13" s="4">
        <v>2611804.7500000005</v>
      </c>
      <c r="BF13" s="4">
        <v>1575629.1099999999</v>
      </c>
      <c r="BG13" s="4">
        <v>0</v>
      </c>
      <c r="BH13" s="4">
        <f t="shared" si="0"/>
        <v>942893229.43999982</v>
      </c>
    </row>
    <row r="14" spans="1:60" x14ac:dyDescent="0.2">
      <c r="A14" s="3">
        <v>45383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>
        <f t="shared" si="0"/>
        <v>0</v>
      </c>
    </row>
    <row r="15" spans="1:60" x14ac:dyDescent="0.2">
      <c r="A15" s="3">
        <v>45413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>
        <f t="shared" si="0"/>
        <v>0</v>
      </c>
    </row>
    <row r="16" spans="1:60" x14ac:dyDescent="0.2">
      <c r="A16" s="3">
        <v>45444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>
        <f t="shared" si="0"/>
        <v>0</v>
      </c>
    </row>
    <row r="17" spans="1:60" x14ac:dyDescent="0.2">
      <c r="A17" s="3">
        <v>45474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>
        <f t="shared" si="0"/>
        <v>0</v>
      </c>
    </row>
    <row r="18" spans="1:60" x14ac:dyDescent="0.2">
      <c r="A18" s="3">
        <v>45505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>
        <f t="shared" si="0"/>
        <v>0</v>
      </c>
    </row>
    <row r="19" spans="1:60" x14ac:dyDescent="0.2">
      <c r="A19" s="3">
        <v>45536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>
        <f t="shared" si="0"/>
        <v>0</v>
      </c>
    </row>
    <row r="20" spans="1:60" x14ac:dyDescent="0.2">
      <c r="A20" s="3">
        <v>45566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>
        <f t="shared" si="0"/>
        <v>0</v>
      </c>
    </row>
    <row r="21" spans="1:60" x14ac:dyDescent="0.2">
      <c r="A21" s="3">
        <v>45597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>
        <f t="shared" si="0"/>
        <v>0</v>
      </c>
    </row>
    <row r="22" spans="1:60" x14ac:dyDescent="0.2">
      <c r="A22" s="3">
        <v>45627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>
        <f t="shared" si="0"/>
        <v>0</v>
      </c>
    </row>
    <row r="23" spans="1:60" ht="15.75" thickBot="1" x14ac:dyDescent="0.25">
      <c r="A23" s="7" t="s">
        <v>184</v>
      </c>
      <c r="B23" s="5">
        <f t="shared" ref="B23:BH23" si="1">SUM(B11:B22)</f>
        <v>88885417.900000006</v>
      </c>
      <c r="C23" s="5">
        <f t="shared" si="1"/>
        <v>7713365.0199999996</v>
      </c>
      <c r="D23" s="5">
        <f t="shared" si="1"/>
        <v>42994251.57</v>
      </c>
      <c r="E23" s="5">
        <f t="shared" si="1"/>
        <v>12585291.42</v>
      </c>
      <c r="F23" s="5">
        <f t="shared" si="1"/>
        <v>10999639.1</v>
      </c>
      <c r="G23" s="5">
        <f t="shared" si="1"/>
        <v>20618467.759999998</v>
      </c>
      <c r="H23" s="5">
        <f t="shared" si="1"/>
        <v>18150945.080000002</v>
      </c>
      <c r="I23" s="5">
        <f t="shared" si="1"/>
        <v>7492358.5499999998</v>
      </c>
      <c r="J23" s="5">
        <f t="shared" si="1"/>
        <v>17101481.02</v>
      </c>
      <c r="K23" s="5">
        <f t="shared" si="1"/>
        <v>13903887.090000002</v>
      </c>
      <c r="L23" s="5">
        <f t="shared" si="1"/>
        <v>9641447.1400000006</v>
      </c>
      <c r="M23" s="5">
        <f t="shared" si="1"/>
        <v>6850970.9700000007</v>
      </c>
      <c r="N23" s="5">
        <f t="shared" si="1"/>
        <v>63062228.670000002</v>
      </c>
      <c r="O23" s="5">
        <f t="shared" si="1"/>
        <v>237683929.28000003</v>
      </c>
      <c r="P23" s="5">
        <f t="shared" si="1"/>
        <v>9264824.0800000001</v>
      </c>
      <c r="Q23" s="5">
        <f t="shared" si="1"/>
        <v>7549425.169999999</v>
      </c>
      <c r="R23" s="5">
        <f t="shared" si="1"/>
        <v>6856676.6399999997</v>
      </c>
      <c r="S23" s="5">
        <f t="shared" si="1"/>
        <v>12471686.050000001</v>
      </c>
      <c r="T23" s="5">
        <f t="shared" si="1"/>
        <v>11636010.689999999</v>
      </c>
      <c r="U23" s="5">
        <f t="shared" si="1"/>
        <v>1001699.8600000001</v>
      </c>
      <c r="V23" s="5">
        <f t="shared" si="1"/>
        <v>10241162.689999999</v>
      </c>
      <c r="W23" s="5">
        <f t="shared" si="1"/>
        <v>22483499.460000001</v>
      </c>
      <c r="X23" s="5">
        <f t="shared" si="1"/>
        <v>4182566.1199999996</v>
      </c>
      <c r="Y23" s="5">
        <f t="shared" si="1"/>
        <v>10807475.02</v>
      </c>
      <c r="Z23" s="5">
        <f t="shared" si="1"/>
        <v>9300253.870000001</v>
      </c>
      <c r="AA23" s="5">
        <f t="shared" si="1"/>
        <v>150561433.55999997</v>
      </c>
      <c r="AB23" s="5">
        <f t="shared" si="1"/>
        <v>11219598.279999999</v>
      </c>
      <c r="AC23" s="5">
        <f t="shared" si="1"/>
        <v>376628865.64999998</v>
      </c>
      <c r="AD23" s="5">
        <f t="shared" si="1"/>
        <v>39384865.359999999</v>
      </c>
      <c r="AE23" s="5">
        <f t="shared" si="1"/>
        <v>46190763.009999998</v>
      </c>
      <c r="AF23" s="5">
        <f t="shared" si="1"/>
        <v>115776269.53999999</v>
      </c>
      <c r="AG23" s="5">
        <f t="shared" si="1"/>
        <v>26518660.220000003</v>
      </c>
      <c r="AH23" s="5">
        <f t="shared" si="1"/>
        <v>91754434.030000001</v>
      </c>
      <c r="AI23" s="5">
        <f t="shared" si="1"/>
        <v>5387806.9000000004</v>
      </c>
      <c r="AJ23" s="5">
        <f t="shared" si="1"/>
        <v>13720061.260000002</v>
      </c>
      <c r="AK23" s="5">
        <f t="shared" si="1"/>
        <v>11051240.02</v>
      </c>
      <c r="AL23" s="5">
        <f t="shared" si="1"/>
        <v>20893125.390000001</v>
      </c>
      <c r="AM23" s="5">
        <f t="shared" si="1"/>
        <v>29587135.459999997</v>
      </c>
      <c r="AN23" s="5">
        <f t="shared" si="1"/>
        <v>68823783.030000001</v>
      </c>
      <c r="AO23" s="5">
        <f t="shared" si="1"/>
        <v>18327201.670000002</v>
      </c>
      <c r="AP23" s="5">
        <f t="shared" si="1"/>
        <v>40042144.959999993</v>
      </c>
      <c r="AQ23" s="5">
        <f t="shared" si="1"/>
        <v>31144946.010000002</v>
      </c>
      <c r="AR23" s="5">
        <f t="shared" si="1"/>
        <v>5441849.040000001</v>
      </c>
      <c r="AS23" s="5">
        <f t="shared" si="1"/>
        <v>3003566.9299999997</v>
      </c>
      <c r="AT23" s="5">
        <f t="shared" si="1"/>
        <v>7322808.4800000004</v>
      </c>
      <c r="AU23" s="5">
        <f t="shared" si="1"/>
        <v>16763843.439999999</v>
      </c>
      <c r="AV23" s="5">
        <f t="shared" si="1"/>
        <v>446033436.83999997</v>
      </c>
      <c r="AW23" s="5">
        <f t="shared" si="1"/>
        <v>16916724.130000003</v>
      </c>
      <c r="AX23" s="5">
        <f t="shared" si="1"/>
        <v>7616648.21</v>
      </c>
      <c r="AY23" s="5">
        <f t="shared" si="1"/>
        <v>15257636.059999999</v>
      </c>
      <c r="AZ23" s="5">
        <f t="shared" si="1"/>
        <v>41547228.609999999</v>
      </c>
      <c r="BA23" s="5">
        <f t="shared" si="1"/>
        <v>15586975.320000002</v>
      </c>
      <c r="BB23" s="5">
        <f t="shared" si="1"/>
        <v>7188962.2299999995</v>
      </c>
      <c r="BC23" s="5">
        <f t="shared" si="1"/>
        <v>14855110.870000001</v>
      </c>
      <c r="BD23" s="5">
        <f t="shared" si="1"/>
        <v>231076669.68000001</v>
      </c>
      <c r="BE23" s="5">
        <f t="shared" si="1"/>
        <v>6026733.8100000005</v>
      </c>
      <c r="BF23" s="5">
        <f t="shared" si="1"/>
        <v>4017732.8299999996</v>
      </c>
      <c r="BG23" s="5">
        <f t="shared" si="1"/>
        <v>0</v>
      </c>
      <c r="BH23" s="5">
        <f t="shared" si="1"/>
        <v>2599147221.0500002</v>
      </c>
    </row>
    <row r="24" spans="1:60" ht="15.75" thickTop="1" x14ac:dyDescent="0.2"/>
    <row r="25" spans="1:60" x14ac:dyDescent="0.2">
      <c r="A25" s="3">
        <v>44927</v>
      </c>
      <c r="B25" s="4">
        <v>30468134.279999994</v>
      </c>
      <c r="C25" s="4">
        <v>2423428.33</v>
      </c>
      <c r="D25" s="4">
        <v>15971625.66</v>
      </c>
      <c r="E25" s="4">
        <v>4295761.82</v>
      </c>
      <c r="F25" s="4">
        <v>4377356.0999999996</v>
      </c>
      <c r="G25" s="4">
        <v>6774158.0600000005</v>
      </c>
      <c r="H25" s="4">
        <v>6368592.6799999997</v>
      </c>
      <c r="I25" s="4">
        <v>2435800.27</v>
      </c>
      <c r="J25" s="4">
        <v>5866268.5899999999</v>
      </c>
      <c r="K25" s="4">
        <v>4767269.3699999992</v>
      </c>
      <c r="L25" s="4">
        <v>3258711.92</v>
      </c>
      <c r="M25" s="4">
        <v>2531774.91</v>
      </c>
      <c r="N25" s="4">
        <v>22349064.610000003</v>
      </c>
      <c r="O25" s="4">
        <v>88007909.270000011</v>
      </c>
      <c r="P25" s="4">
        <v>3219376.1899999995</v>
      </c>
      <c r="Q25" s="4">
        <v>2655562.5700000003</v>
      </c>
      <c r="R25" s="4">
        <v>2255430.67</v>
      </c>
      <c r="S25" s="4">
        <v>4104849.2699999996</v>
      </c>
      <c r="T25" s="4">
        <v>3693623.9699999997</v>
      </c>
      <c r="U25" s="4">
        <v>323128.74999999994</v>
      </c>
      <c r="V25" s="4">
        <v>3321748.36</v>
      </c>
      <c r="W25" s="4">
        <v>7704318.1200000001</v>
      </c>
      <c r="X25" s="4">
        <v>1306448.42</v>
      </c>
      <c r="Y25" s="4">
        <v>3505873.7900000005</v>
      </c>
      <c r="Z25" s="4">
        <v>3050588.2</v>
      </c>
      <c r="AA25" s="4">
        <v>54600904.170000002</v>
      </c>
      <c r="AB25" s="4">
        <v>3357909.8</v>
      </c>
      <c r="AC25" s="4">
        <v>133433946.44000003</v>
      </c>
      <c r="AD25" s="4">
        <v>13575792.92</v>
      </c>
      <c r="AE25" s="4">
        <v>15303540.030000001</v>
      </c>
      <c r="AF25" s="4">
        <v>36960187.32</v>
      </c>
      <c r="AG25" s="4">
        <v>9119962.7599999979</v>
      </c>
      <c r="AH25" s="4">
        <v>31432327.680000003</v>
      </c>
      <c r="AI25" s="4">
        <v>1821217.9800000002</v>
      </c>
      <c r="AJ25" s="4">
        <v>4754541.51</v>
      </c>
      <c r="AK25" s="4">
        <v>3531162.5700000003</v>
      </c>
      <c r="AL25" s="4">
        <v>6673020.3100000005</v>
      </c>
      <c r="AM25" s="4">
        <v>10131989.469999999</v>
      </c>
      <c r="AN25" s="4">
        <v>24871921.370000001</v>
      </c>
      <c r="AO25" s="4">
        <v>6445584.8899999987</v>
      </c>
      <c r="AP25" s="4">
        <v>13707192.66</v>
      </c>
      <c r="AQ25" s="4">
        <v>10983690.93</v>
      </c>
      <c r="AR25" s="4">
        <v>1625969.52</v>
      </c>
      <c r="AS25" s="4">
        <v>970137.9</v>
      </c>
      <c r="AT25" s="4">
        <v>2418378.9500000002</v>
      </c>
      <c r="AU25" s="4">
        <v>5775171.0999999996</v>
      </c>
      <c r="AV25" s="4">
        <v>156353347.40000001</v>
      </c>
      <c r="AW25" s="4">
        <v>5014558.99</v>
      </c>
      <c r="AX25" s="4">
        <v>2614306.75</v>
      </c>
      <c r="AY25" s="4">
        <v>5432341.7999999998</v>
      </c>
      <c r="AZ25" s="4">
        <v>13164735.559999999</v>
      </c>
      <c r="BA25" s="4">
        <v>5227286.3599999994</v>
      </c>
      <c r="BB25" s="4">
        <v>2218178.7400000002</v>
      </c>
      <c r="BC25" s="4">
        <v>4907505.45</v>
      </c>
      <c r="BD25" s="4">
        <v>79248711.039999992</v>
      </c>
      <c r="BE25" s="4">
        <v>1722959.5</v>
      </c>
      <c r="BF25" s="4">
        <v>1305815.1400000001</v>
      </c>
      <c r="BG25" s="4">
        <v>0</v>
      </c>
      <c r="BH25" s="4">
        <f>SUM(B25:BG25)</f>
        <v>903741101.18999994</v>
      </c>
    </row>
    <row r="26" spans="1:60" x14ac:dyDescent="0.2">
      <c r="A26" s="3">
        <v>44958</v>
      </c>
      <c r="B26" s="4">
        <v>26300498.879999999</v>
      </c>
      <c r="C26" s="4">
        <v>2169821.73</v>
      </c>
      <c r="D26" s="4">
        <v>14366917.679999998</v>
      </c>
      <c r="E26" s="4">
        <v>3680004.57</v>
      </c>
      <c r="F26" s="4">
        <v>3694796.66</v>
      </c>
      <c r="G26" s="4">
        <v>5993121.4000000004</v>
      </c>
      <c r="H26" s="4">
        <v>5599276.5800000001</v>
      </c>
      <c r="I26" s="4">
        <v>2183524.3199999998</v>
      </c>
      <c r="J26" s="4">
        <v>5248650.59</v>
      </c>
      <c r="K26" s="4">
        <v>4287819.5</v>
      </c>
      <c r="L26" s="4">
        <v>2836647.1000000006</v>
      </c>
      <c r="M26" s="4">
        <v>2193193.3499999996</v>
      </c>
      <c r="N26" s="4">
        <v>19399977.400000002</v>
      </c>
      <c r="O26" s="4">
        <v>78564619.74000001</v>
      </c>
      <c r="P26" s="4">
        <v>2777645.39</v>
      </c>
      <c r="Q26" s="4">
        <v>2421854.79</v>
      </c>
      <c r="R26" s="4">
        <v>1987505.86</v>
      </c>
      <c r="S26" s="4">
        <v>3649266.6000000006</v>
      </c>
      <c r="T26" s="4">
        <v>3294029.6199999996</v>
      </c>
      <c r="U26" s="4">
        <v>284104.82000000007</v>
      </c>
      <c r="V26" s="4">
        <v>2960633.37</v>
      </c>
      <c r="W26" s="4">
        <v>6849056.4699999997</v>
      </c>
      <c r="X26" s="4">
        <v>1148754.98</v>
      </c>
      <c r="Y26" s="4">
        <v>3076520.3599999994</v>
      </c>
      <c r="Z26" s="4">
        <v>2629981.2400000002</v>
      </c>
      <c r="AA26" s="4">
        <v>47487527.189999998</v>
      </c>
      <c r="AB26" s="4">
        <v>3094954.57</v>
      </c>
      <c r="AC26" s="4">
        <v>117525083.36</v>
      </c>
      <c r="AD26" s="4">
        <v>11917370.079999998</v>
      </c>
      <c r="AE26" s="4">
        <v>13807585.16</v>
      </c>
      <c r="AF26" s="4">
        <v>33311776.819999993</v>
      </c>
      <c r="AG26" s="4">
        <v>8184621.4200000009</v>
      </c>
      <c r="AH26" s="4">
        <v>28384277.909999996</v>
      </c>
      <c r="AI26" s="4">
        <v>1610412.0299999998</v>
      </c>
      <c r="AJ26" s="4">
        <v>4330159.93</v>
      </c>
      <c r="AK26" s="4">
        <v>3115821.3099999996</v>
      </c>
      <c r="AL26" s="4">
        <v>5979924.7999999989</v>
      </c>
      <c r="AM26" s="4">
        <v>8974797.4100000001</v>
      </c>
      <c r="AN26" s="4">
        <v>21583008.929999996</v>
      </c>
      <c r="AO26" s="4">
        <v>5790341.5599999987</v>
      </c>
      <c r="AP26" s="4">
        <v>11855940.970000001</v>
      </c>
      <c r="AQ26" s="4">
        <v>9858486.6999999993</v>
      </c>
      <c r="AR26" s="4">
        <v>1415712.85</v>
      </c>
      <c r="AS26" s="4">
        <v>868160.08000000007</v>
      </c>
      <c r="AT26" s="4">
        <v>2250413.94</v>
      </c>
      <c r="AU26" s="4">
        <v>5328480.07</v>
      </c>
      <c r="AV26" s="4">
        <v>137276551.44999999</v>
      </c>
      <c r="AW26" s="4">
        <v>4302025.6500000004</v>
      </c>
      <c r="AX26" s="4">
        <v>2352451.62</v>
      </c>
      <c r="AY26" s="4">
        <v>4831335.7200000007</v>
      </c>
      <c r="AZ26" s="4">
        <v>11578421.129999999</v>
      </c>
      <c r="BA26" s="4">
        <v>4480998.26</v>
      </c>
      <c r="BB26" s="4">
        <v>1980699.22</v>
      </c>
      <c r="BC26" s="4">
        <v>4323596.18</v>
      </c>
      <c r="BD26" s="4">
        <v>67440451.870000005</v>
      </c>
      <c r="BE26" s="4">
        <v>1551509.75</v>
      </c>
      <c r="BF26" s="4">
        <v>1126435.76</v>
      </c>
      <c r="BG26" s="4">
        <v>0</v>
      </c>
      <c r="BH26" s="4">
        <f t="shared" ref="BH26:BH36" si="2">SUM(B26:BG26)</f>
        <v>795517556.70000017</v>
      </c>
    </row>
    <row r="27" spans="1:60" x14ac:dyDescent="0.2">
      <c r="A27" s="3">
        <v>44986</v>
      </c>
      <c r="B27" s="4">
        <v>29851480.839999996</v>
      </c>
      <c r="C27" s="4">
        <v>2594990.42</v>
      </c>
      <c r="D27" s="4">
        <v>13074692.32</v>
      </c>
      <c r="E27" s="4">
        <v>4523645.54</v>
      </c>
      <c r="F27" s="4">
        <v>3053674.17</v>
      </c>
      <c r="G27" s="4">
        <v>8684183.6099999994</v>
      </c>
      <c r="H27" s="4">
        <v>6841520.7300000004</v>
      </c>
      <c r="I27" s="4">
        <v>2908577.2699999996</v>
      </c>
      <c r="J27" s="4">
        <v>6063430.5600000005</v>
      </c>
      <c r="K27" s="4">
        <v>5549481.1100000003</v>
      </c>
      <c r="L27" s="4">
        <v>3316493.9899999998</v>
      </c>
      <c r="M27" s="4">
        <v>2590677.0199999996</v>
      </c>
      <c r="N27" s="4">
        <v>18642968.769999996</v>
      </c>
      <c r="O27" s="4">
        <v>87324604.210000008</v>
      </c>
      <c r="P27" s="4">
        <v>3456971.1799999997</v>
      </c>
      <c r="Q27" s="4">
        <v>3025863.75</v>
      </c>
      <c r="R27" s="4">
        <v>2551104.1200000006</v>
      </c>
      <c r="S27" s="4">
        <v>5198879.0500000007</v>
      </c>
      <c r="T27" s="4">
        <v>4001918.620000001</v>
      </c>
      <c r="U27" s="4">
        <v>361514.16</v>
      </c>
      <c r="V27" s="4">
        <v>4249920.58</v>
      </c>
      <c r="W27" s="4">
        <v>8505436.8399999999</v>
      </c>
      <c r="X27" s="4">
        <v>1718242.4</v>
      </c>
      <c r="Y27" s="4">
        <v>4168556.7</v>
      </c>
      <c r="Z27" s="4">
        <v>3569858.3699999996</v>
      </c>
      <c r="AA27" s="4">
        <v>54594424.050000004</v>
      </c>
      <c r="AB27" s="4">
        <v>4502487.37</v>
      </c>
      <c r="AC27" s="4">
        <v>133371211.83000001</v>
      </c>
      <c r="AD27" s="4">
        <v>14475250.829999998</v>
      </c>
      <c r="AE27" s="4">
        <v>17105775.750000004</v>
      </c>
      <c r="AF27" s="4">
        <v>43575746.969999999</v>
      </c>
      <c r="AG27" s="4">
        <v>9758149.6500000004</v>
      </c>
      <c r="AH27" s="4">
        <v>30797618.16</v>
      </c>
      <c r="AI27" s="4">
        <v>2259657.0599999996</v>
      </c>
      <c r="AJ27" s="4">
        <v>5464631.1900000004</v>
      </c>
      <c r="AK27" s="4">
        <v>4393455.26</v>
      </c>
      <c r="AL27" s="4">
        <v>7952760.9199999999</v>
      </c>
      <c r="AM27" s="4">
        <v>11409755.289999999</v>
      </c>
      <c r="AN27" s="4">
        <v>21148046.75</v>
      </c>
      <c r="AO27" s="4">
        <v>6958701</v>
      </c>
      <c r="AP27" s="4">
        <v>13314149.680000002</v>
      </c>
      <c r="AQ27" s="4">
        <v>10485471.390000001</v>
      </c>
      <c r="AR27" s="4">
        <v>2097317.0799999996</v>
      </c>
      <c r="AS27" s="4">
        <v>1351751.41</v>
      </c>
      <c r="AT27" s="4">
        <v>3132615.9899999998</v>
      </c>
      <c r="AU27" s="4">
        <v>6666047.0199999996</v>
      </c>
      <c r="AV27" s="4">
        <v>158810100.03999996</v>
      </c>
      <c r="AW27" s="4">
        <v>5735019.9700000007</v>
      </c>
      <c r="AX27" s="4">
        <v>3146416.45</v>
      </c>
      <c r="AY27" s="4">
        <v>5344858.9099999992</v>
      </c>
      <c r="AZ27" s="4">
        <v>14552198.26</v>
      </c>
      <c r="BA27" s="4">
        <v>5220961.0599999996</v>
      </c>
      <c r="BB27" s="4">
        <v>2670024.7799999998</v>
      </c>
      <c r="BC27" s="4">
        <v>5605471.1600000001</v>
      </c>
      <c r="BD27" s="4">
        <v>58302841.719999999</v>
      </c>
      <c r="BE27" s="4">
        <v>2440649.39</v>
      </c>
      <c r="BF27" s="4">
        <v>1893030.66</v>
      </c>
      <c r="BG27" s="4">
        <v>0</v>
      </c>
      <c r="BH27" s="4">
        <f t="shared" si="2"/>
        <v>904365283.37999964</v>
      </c>
    </row>
    <row r="28" spans="1:60" x14ac:dyDescent="0.2">
      <c r="A28" s="3">
        <v>45017</v>
      </c>
      <c r="B28" s="4">
        <v>27485992.769999996</v>
      </c>
      <c r="C28" s="4">
        <v>2323052.84</v>
      </c>
      <c r="D28" s="4">
        <v>14568000.369999997</v>
      </c>
      <c r="E28" s="4">
        <v>3866240.5200000005</v>
      </c>
      <c r="F28" s="4">
        <v>3834826.6500000004</v>
      </c>
      <c r="G28" s="4">
        <v>6879742.2999999998</v>
      </c>
      <c r="H28" s="4">
        <v>5955180.9500000011</v>
      </c>
      <c r="I28" s="4">
        <v>2457240.09</v>
      </c>
      <c r="J28" s="4">
        <v>5637673.8599999994</v>
      </c>
      <c r="K28" s="4">
        <v>4498002.3400000008</v>
      </c>
      <c r="L28" s="4">
        <v>2835610.1500000004</v>
      </c>
      <c r="M28" s="4">
        <v>2346036.3199999998</v>
      </c>
      <c r="N28" s="4">
        <v>19347471.370000001</v>
      </c>
      <c r="O28" s="4">
        <v>77763901.140000001</v>
      </c>
      <c r="P28" s="4">
        <v>2876499.6300000004</v>
      </c>
      <c r="Q28" s="4">
        <v>2427009.6999999997</v>
      </c>
      <c r="R28" s="4">
        <v>2116224.3499999996</v>
      </c>
      <c r="S28" s="4">
        <v>4068830.56</v>
      </c>
      <c r="T28" s="4">
        <v>3516705.4299999997</v>
      </c>
      <c r="U28" s="4">
        <v>307890.03999999998</v>
      </c>
      <c r="V28" s="4">
        <v>3045370.53</v>
      </c>
      <c r="W28" s="4">
        <v>7868207.290000001</v>
      </c>
      <c r="X28" s="4">
        <v>1297441.17</v>
      </c>
      <c r="Y28" s="4">
        <v>3092075.25</v>
      </c>
      <c r="Z28" s="4">
        <v>3010650.2899999996</v>
      </c>
      <c r="AA28" s="4">
        <v>50327075.150000006</v>
      </c>
      <c r="AB28" s="4">
        <v>3522981.6400000006</v>
      </c>
      <c r="AC28" s="4">
        <v>122561934.09999999</v>
      </c>
      <c r="AD28" s="4">
        <v>12494968.129999999</v>
      </c>
      <c r="AE28" s="4">
        <v>14729262.469999999</v>
      </c>
      <c r="AF28" s="4">
        <v>36140286.109999999</v>
      </c>
      <c r="AG28" s="4">
        <v>8498610.8200000003</v>
      </c>
      <c r="AH28" s="4">
        <v>31084739.409999996</v>
      </c>
      <c r="AI28" s="4">
        <v>1716047.1800000002</v>
      </c>
      <c r="AJ28" s="4">
        <v>4812706.6400000006</v>
      </c>
      <c r="AK28" s="4">
        <v>3513413.02</v>
      </c>
      <c r="AL28" s="4">
        <v>6652126.0499999998</v>
      </c>
      <c r="AM28" s="4">
        <v>9292616.5999999996</v>
      </c>
      <c r="AN28" s="4">
        <v>24340809.370000005</v>
      </c>
      <c r="AO28" s="4">
        <v>5721518.9000000004</v>
      </c>
      <c r="AP28" s="4">
        <v>12968319.76</v>
      </c>
      <c r="AQ28" s="4">
        <v>10418346.43</v>
      </c>
      <c r="AR28" s="4">
        <v>1629102.8599999999</v>
      </c>
      <c r="AS28" s="4">
        <v>1066635.6000000001</v>
      </c>
      <c r="AT28" s="4">
        <v>2387995.6399999997</v>
      </c>
      <c r="AU28" s="4">
        <v>5814197.5099999998</v>
      </c>
      <c r="AV28" s="4">
        <v>151589746.82999998</v>
      </c>
      <c r="AW28" s="4">
        <v>5194962.71</v>
      </c>
      <c r="AX28" s="4">
        <v>2564950.1799999997</v>
      </c>
      <c r="AY28" s="4">
        <v>4911730.76</v>
      </c>
      <c r="AZ28" s="4">
        <v>12461947.350000001</v>
      </c>
      <c r="BA28" s="4">
        <v>4803850.3599999994</v>
      </c>
      <c r="BB28" s="4">
        <v>2196712.7599999998</v>
      </c>
      <c r="BC28" s="4">
        <v>4806619.26</v>
      </c>
      <c r="BD28" s="4">
        <v>71670840.359999999</v>
      </c>
      <c r="BE28" s="4">
        <v>1779588.0500000003</v>
      </c>
      <c r="BF28" s="4">
        <v>1364930.3399999999</v>
      </c>
      <c r="BG28" s="4">
        <v>0</v>
      </c>
      <c r="BH28" s="4">
        <f t="shared" si="2"/>
        <v>846465448.25999987</v>
      </c>
    </row>
    <row r="29" spans="1:60" x14ac:dyDescent="0.2">
      <c r="A29" s="3">
        <v>45047</v>
      </c>
      <c r="B29" s="4">
        <v>26448147.020000003</v>
      </c>
      <c r="C29" s="4">
        <v>2292954.6100000003</v>
      </c>
      <c r="D29" s="4">
        <v>14532357.34</v>
      </c>
      <c r="E29" s="4">
        <v>3673179.58</v>
      </c>
      <c r="F29" s="4">
        <v>3608151.89</v>
      </c>
      <c r="G29" s="4">
        <v>6952829.9800000004</v>
      </c>
      <c r="H29" s="4">
        <v>6475875.8700000001</v>
      </c>
      <c r="I29" s="4">
        <v>2354667.4899999998</v>
      </c>
      <c r="J29" s="4">
        <v>5650315.3300000001</v>
      </c>
      <c r="K29" s="4">
        <v>4562752.6099999994</v>
      </c>
      <c r="L29" s="4">
        <v>3128258.73</v>
      </c>
      <c r="M29" s="4">
        <v>2383609.64</v>
      </c>
      <c r="N29" s="4">
        <v>19165954.16</v>
      </c>
      <c r="O29" s="4">
        <v>78039637.989999995</v>
      </c>
      <c r="P29" s="4">
        <v>2679986</v>
      </c>
      <c r="Q29" s="4">
        <v>2351099.96</v>
      </c>
      <c r="R29" s="4">
        <v>2155864.8000000003</v>
      </c>
      <c r="S29" s="4">
        <v>4068309.0900000003</v>
      </c>
      <c r="T29" s="4">
        <v>3345918.83</v>
      </c>
      <c r="U29" s="4">
        <v>283908.49</v>
      </c>
      <c r="V29" s="4">
        <v>3012657.74</v>
      </c>
      <c r="W29" s="4">
        <v>7649925.7800000003</v>
      </c>
      <c r="X29" s="4">
        <v>1324446.97</v>
      </c>
      <c r="Y29" s="4">
        <v>3546032.42</v>
      </c>
      <c r="Z29" s="4">
        <v>2955124.76</v>
      </c>
      <c r="AA29" s="4">
        <v>48862041.600000001</v>
      </c>
      <c r="AB29" s="4">
        <v>3628164.27</v>
      </c>
      <c r="AC29" s="4">
        <v>120346803.56</v>
      </c>
      <c r="AD29" s="4">
        <v>12159820.91</v>
      </c>
      <c r="AE29" s="4">
        <v>14340781.049999999</v>
      </c>
      <c r="AF29" s="4">
        <v>35737379.120000005</v>
      </c>
      <c r="AG29" s="4">
        <v>8273788.9500000002</v>
      </c>
      <c r="AH29" s="4">
        <v>29577939.530000001</v>
      </c>
      <c r="AI29" s="4">
        <v>1681286.22</v>
      </c>
      <c r="AJ29" s="4">
        <v>4697331.28</v>
      </c>
      <c r="AK29" s="4">
        <v>3459905.5999999996</v>
      </c>
      <c r="AL29" s="4">
        <v>6310373.9299999997</v>
      </c>
      <c r="AM29" s="4">
        <v>9279857.1300000008</v>
      </c>
      <c r="AN29" s="4">
        <v>24091553.099999998</v>
      </c>
      <c r="AO29" s="4">
        <v>6183160.5599999996</v>
      </c>
      <c r="AP29" s="4">
        <v>12968034</v>
      </c>
      <c r="AQ29" s="4">
        <v>10012306.01</v>
      </c>
      <c r="AR29" s="4">
        <v>1582755.8299999998</v>
      </c>
      <c r="AS29" s="4">
        <v>1023274.72</v>
      </c>
      <c r="AT29" s="4">
        <v>2304864.1799999997</v>
      </c>
      <c r="AU29" s="4">
        <v>5881130.3899999997</v>
      </c>
      <c r="AV29" s="4">
        <v>149285207.43000001</v>
      </c>
      <c r="AW29" s="4">
        <v>4861682.49</v>
      </c>
      <c r="AX29" s="4">
        <v>2581146.62</v>
      </c>
      <c r="AY29" s="4">
        <v>4783793.580000001</v>
      </c>
      <c r="AZ29" s="4">
        <v>12390325.48</v>
      </c>
      <c r="BA29" s="4">
        <v>4870928.6399999997</v>
      </c>
      <c r="BB29" s="4">
        <v>2158220.8200000003</v>
      </c>
      <c r="BC29" s="4">
        <v>4864322.5299999993</v>
      </c>
      <c r="BD29" s="4">
        <v>69245740.390000001</v>
      </c>
      <c r="BE29" s="4">
        <v>1743041.1099999996</v>
      </c>
      <c r="BF29" s="4">
        <v>1365894.96</v>
      </c>
      <c r="BG29" s="4">
        <v>0</v>
      </c>
      <c r="BH29" s="4">
        <f t="shared" si="2"/>
        <v>833194823.07000017</v>
      </c>
    </row>
    <row r="30" spans="1:60" x14ac:dyDescent="0.2">
      <c r="A30" s="3">
        <v>45078</v>
      </c>
      <c r="B30" s="4">
        <v>33988654.770000003</v>
      </c>
      <c r="C30" s="4">
        <v>2982162.72</v>
      </c>
      <c r="D30" s="4">
        <v>17105585.66</v>
      </c>
      <c r="E30" s="4">
        <v>5238318.42</v>
      </c>
      <c r="F30" s="4">
        <v>4074114.87</v>
      </c>
      <c r="G30" s="4">
        <v>8869146.8200000003</v>
      </c>
      <c r="H30" s="4">
        <v>6458610.7200000007</v>
      </c>
      <c r="I30" s="4">
        <v>3307497.79</v>
      </c>
      <c r="J30" s="4">
        <v>7033261.4099999992</v>
      </c>
      <c r="K30" s="4">
        <v>6037760.3599999994</v>
      </c>
      <c r="L30" s="4">
        <v>3795039.9399999995</v>
      </c>
      <c r="M30" s="4">
        <v>3264107.8600000003</v>
      </c>
      <c r="N30" s="4">
        <v>22959575.129999999</v>
      </c>
      <c r="O30" s="4">
        <v>100941448.02</v>
      </c>
      <c r="P30" s="4">
        <v>3895952.3</v>
      </c>
      <c r="Q30" s="4">
        <v>3249611.5300000003</v>
      </c>
      <c r="R30" s="4">
        <v>3043765.95</v>
      </c>
      <c r="S30" s="4">
        <v>5588573.1599999992</v>
      </c>
      <c r="T30" s="4">
        <v>4634486.6400000006</v>
      </c>
      <c r="U30" s="4">
        <v>606680.37999999989</v>
      </c>
      <c r="V30" s="4">
        <v>4892347.8100000005</v>
      </c>
      <c r="W30" s="4">
        <v>10692026.510000002</v>
      </c>
      <c r="X30" s="4">
        <v>1878963.81</v>
      </c>
      <c r="Y30" s="4">
        <v>4229544.1899999995</v>
      </c>
      <c r="Z30" s="4">
        <v>4595225.9399999995</v>
      </c>
      <c r="AA30" s="4">
        <v>59745831.460000001</v>
      </c>
      <c r="AB30" s="4">
        <v>4214553.01</v>
      </c>
      <c r="AC30" s="4">
        <v>148543360.38</v>
      </c>
      <c r="AD30" s="4">
        <v>16149762.950000001</v>
      </c>
      <c r="AE30" s="4">
        <v>19577717.109999999</v>
      </c>
      <c r="AF30" s="4">
        <v>49675949.43</v>
      </c>
      <c r="AG30" s="4">
        <v>11151663.089999998</v>
      </c>
      <c r="AH30" s="4">
        <v>36626046.230000004</v>
      </c>
      <c r="AI30" s="4">
        <v>2534956.2399999998</v>
      </c>
      <c r="AJ30" s="4">
        <v>6099716.2200000007</v>
      </c>
      <c r="AK30" s="4">
        <v>5044927.379999999</v>
      </c>
      <c r="AL30" s="4">
        <v>9362644.3199999984</v>
      </c>
      <c r="AM30" s="4">
        <v>12308790.66</v>
      </c>
      <c r="AN30" s="4">
        <v>25866414.120000005</v>
      </c>
      <c r="AO30" s="4">
        <v>8580971.6100000013</v>
      </c>
      <c r="AP30" s="4">
        <v>16060265.289999999</v>
      </c>
      <c r="AQ30" s="4">
        <v>12600471.810000001</v>
      </c>
      <c r="AR30" s="4">
        <v>2881528.7699999996</v>
      </c>
      <c r="AS30" s="4">
        <v>1698645.44</v>
      </c>
      <c r="AT30" s="4">
        <v>3140931.06</v>
      </c>
      <c r="AU30" s="4">
        <v>6979615.9500000011</v>
      </c>
      <c r="AV30" s="4">
        <v>187439708.33000001</v>
      </c>
      <c r="AW30" s="4">
        <v>10564313.620000001</v>
      </c>
      <c r="AX30" s="4">
        <v>3168226.8500000006</v>
      </c>
      <c r="AY30" s="4">
        <v>6533753.8499999996</v>
      </c>
      <c r="AZ30" s="4">
        <v>16719814.5</v>
      </c>
      <c r="BA30" s="4">
        <v>7588937.7300000004</v>
      </c>
      <c r="BB30" s="4">
        <v>2846910.7199999997</v>
      </c>
      <c r="BC30" s="4">
        <v>6349515.6799999997</v>
      </c>
      <c r="BD30" s="4">
        <v>84048464.689999998</v>
      </c>
      <c r="BE30" s="4">
        <v>3369554.75</v>
      </c>
      <c r="BF30" s="4">
        <v>2731430.3600000003</v>
      </c>
      <c r="BG30" s="4">
        <v>0</v>
      </c>
      <c r="BH30" s="4">
        <f t="shared" si="2"/>
        <v>1063567856.3200001</v>
      </c>
    </row>
    <row r="31" spans="1:60" x14ac:dyDescent="0.2">
      <c r="A31" s="3">
        <v>45108</v>
      </c>
      <c r="B31" s="4">
        <v>28647804.279999997</v>
      </c>
      <c r="C31" s="4">
        <v>2349164.3899999997</v>
      </c>
      <c r="D31" s="4">
        <v>14365459.170000002</v>
      </c>
      <c r="E31" s="4">
        <v>4112019.5600000005</v>
      </c>
      <c r="F31" s="4">
        <v>4158797.42</v>
      </c>
      <c r="G31" s="4">
        <v>7593687.2400000002</v>
      </c>
      <c r="H31" s="4">
        <v>5653584.9900000002</v>
      </c>
      <c r="I31" s="4">
        <v>2672588.61</v>
      </c>
      <c r="J31" s="4">
        <v>6216522.5800000001</v>
      </c>
      <c r="K31" s="4">
        <v>5078190.13</v>
      </c>
      <c r="L31" s="4">
        <v>3183646.7699999996</v>
      </c>
      <c r="M31" s="4">
        <v>2559115.81</v>
      </c>
      <c r="N31" s="4">
        <v>20511836.529999997</v>
      </c>
      <c r="O31" s="4">
        <v>87126011.200000003</v>
      </c>
      <c r="P31" s="4">
        <v>4013041.3099999996</v>
      </c>
      <c r="Q31" s="4">
        <v>2796828.59</v>
      </c>
      <c r="R31" s="4">
        <v>2395936.8500000006</v>
      </c>
      <c r="S31" s="4">
        <v>4762537.08</v>
      </c>
      <c r="T31" s="4">
        <v>3893036.2</v>
      </c>
      <c r="U31" s="4">
        <v>593866.20000000007</v>
      </c>
      <c r="V31" s="4">
        <v>3724334.3200000003</v>
      </c>
      <c r="W31" s="4">
        <v>9806530.1699999999</v>
      </c>
      <c r="X31" s="4">
        <v>1572167.39</v>
      </c>
      <c r="Y31" s="4">
        <v>3952446.79</v>
      </c>
      <c r="Z31" s="4">
        <v>3285595.33</v>
      </c>
      <c r="AA31" s="4">
        <v>53530251.709999993</v>
      </c>
      <c r="AB31" s="4">
        <v>3624959.9400000004</v>
      </c>
      <c r="AC31" s="4">
        <v>124415971.99000001</v>
      </c>
      <c r="AD31" s="4">
        <v>13855361.869999999</v>
      </c>
      <c r="AE31" s="4">
        <v>15466412.789999999</v>
      </c>
      <c r="AF31" s="4">
        <v>38392648.020000003</v>
      </c>
      <c r="AG31" s="4">
        <v>9880617.4299999997</v>
      </c>
      <c r="AH31" s="4">
        <v>31688071.760000002</v>
      </c>
      <c r="AI31" s="4">
        <v>1545614.5699999998</v>
      </c>
      <c r="AJ31" s="4">
        <v>5024511.97</v>
      </c>
      <c r="AK31" s="4">
        <v>4442061.3</v>
      </c>
      <c r="AL31" s="4">
        <v>6737853.5499999998</v>
      </c>
      <c r="AM31" s="4">
        <v>9939906.7799999993</v>
      </c>
      <c r="AN31" s="4">
        <v>23002814.510000002</v>
      </c>
      <c r="AO31" s="4">
        <v>7124696.290000001</v>
      </c>
      <c r="AP31" s="4">
        <v>14292077.93</v>
      </c>
      <c r="AQ31" s="4">
        <v>10325136.74</v>
      </c>
      <c r="AR31" s="4">
        <v>1803057.83</v>
      </c>
      <c r="AS31" s="4">
        <v>1522306.8800000004</v>
      </c>
      <c r="AT31" s="4">
        <v>2610348.09</v>
      </c>
      <c r="AU31" s="4">
        <v>6745960.6500000004</v>
      </c>
      <c r="AV31" s="4">
        <v>166543706.11000001</v>
      </c>
      <c r="AW31" s="4">
        <v>6653829.4399999995</v>
      </c>
      <c r="AX31" s="4">
        <v>2610023.6</v>
      </c>
      <c r="AY31" s="4">
        <v>5389006.5099999998</v>
      </c>
      <c r="AZ31" s="4">
        <v>13724833.979999999</v>
      </c>
      <c r="BA31" s="4">
        <v>7467804.0399999991</v>
      </c>
      <c r="BB31" s="4">
        <v>2332882.4200000004</v>
      </c>
      <c r="BC31" s="4">
        <v>5149380.43</v>
      </c>
      <c r="BD31" s="4">
        <v>70114952.819999993</v>
      </c>
      <c r="BE31" s="4">
        <v>2169482.6800000002</v>
      </c>
      <c r="BF31" s="4">
        <v>1668070.1300000001</v>
      </c>
      <c r="BG31" s="4">
        <v>0</v>
      </c>
      <c r="BH31" s="4">
        <f t="shared" si="2"/>
        <v>904819363.66999984</v>
      </c>
    </row>
    <row r="32" spans="1:60" x14ac:dyDescent="0.2">
      <c r="A32" s="3">
        <v>45139</v>
      </c>
      <c r="B32" s="4">
        <v>27506554.539999999</v>
      </c>
      <c r="C32" s="4">
        <v>2958209.74</v>
      </c>
      <c r="D32" s="4">
        <v>14336151.379999999</v>
      </c>
      <c r="E32" s="4">
        <v>3889781.5499999993</v>
      </c>
      <c r="F32" s="4">
        <v>4107954.4299999997</v>
      </c>
      <c r="G32" s="4">
        <v>7432354.1600000001</v>
      </c>
      <c r="H32" s="4">
        <v>5998622.6599999992</v>
      </c>
      <c r="I32" s="4">
        <v>2596014.4099999997</v>
      </c>
      <c r="J32" s="4">
        <v>6019315.2500000009</v>
      </c>
      <c r="K32" s="4">
        <v>5080732.8099999996</v>
      </c>
      <c r="L32" s="4">
        <v>3120626.86</v>
      </c>
      <c r="M32" s="4">
        <v>2557889.2400000002</v>
      </c>
      <c r="N32" s="4">
        <v>20190096.369999997</v>
      </c>
      <c r="O32" s="4">
        <v>84266641.430000007</v>
      </c>
      <c r="P32" s="4">
        <v>3913575.4799999995</v>
      </c>
      <c r="Q32" s="4">
        <v>2684297.8199999998</v>
      </c>
      <c r="R32" s="4">
        <v>2370168.5700000003</v>
      </c>
      <c r="S32" s="4">
        <v>4622717.03</v>
      </c>
      <c r="T32" s="4">
        <v>3842041.88</v>
      </c>
      <c r="U32" s="4">
        <v>566370.23</v>
      </c>
      <c r="V32" s="4">
        <v>3564955.6399999997</v>
      </c>
      <c r="W32" s="4">
        <v>9109225.1100000013</v>
      </c>
      <c r="X32" s="4">
        <v>1433162.81</v>
      </c>
      <c r="Y32" s="4">
        <v>3984294.5</v>
      </c>
      <c r="Z32" s="4">
        <v>3271800.4799999995</v>
      </c>
      <c r="AA32" s="4">
        <v>53113742.960000008</v>
      </c>
      <c r="AB32" s="4">
        <v>3504599.3200000003</v>
      </c>
      <c r="AC32" s="4">
        <v>121432377.24999999</v>
      </c>
      <c r="AD32" s="4">
        <v>13257833.029999997</v>
      </c>
      <c r="AE32" s="4">
        <v>14855594.810000001</v>
      </c>
      <c r="AF32" s="4">
        <v>37180115.210000008</v>
      </c>
      <c r="AG32" s="4">
        <v>9393136.0899999999</v>
      </c>
      <c r="AH32" s="4">
        <v>31328900.200000003</v>
      </c>
      <c r="AI32" s="4">
        <v>1552738.4899999998</v>
      </c>
      <c r="AJ32" s="4">
        <v>4975656.26</v>
      </c>
      <c r="AK32" s="4">
        <v>4325025.43</v>
      </c>
      <c r="AL32" s="4">
        <v>6609399.9499999993</v>
      </c>
      <c r="AM32" s="4">
        <v>9760429.629999999</v>
      </c>
      <c r="AN32" s="4">
        <v>21516414.809999999</v>
      </c>
      <c r="AO32" s="4">
        <v>6777949.2300000004</v>
      </c>
      <c r="AP32" s="4">
        <v>14228886.350000001</v>
      </c>
      <c r="AQ32" s="4">
        <v>10119030.59</v>
      </c>
      <c r="AR32" s="4">
        <v>1754399.3800000001</v>
      </c>
      <c r="AS32" s="4">
        <v>1489641.81</v>
      </c>
      <c r="AT32" s="4">
        <v>2582719.83</v>
      </c>
      <c r="AU32" s="4">
        <v>5613335.2999999989</v>
      </c>
      <c r="AV32" s="4">
        <v>162888355.97</v>
      </c>
      <c r="AW32" s="4">
        <v>6661977.1699999999</v>
      </c>
      <c r="AX32" s="4">
        <v>2602778.0499999998</v>
      </c>
      <c r="AY32" s="4">
        <v>5265318.93</v>
      </c>
      <c r="AZ32" s="4">
        <v>13599315.369999999</v>
      </c>
      <c r="BA32" s="4">
        <v>7312600.9900000002</v>
      </c>
      <c r="BB32" s="4">
        <v>2267747.1900000004</v>
      </c>
      <c r="BC32" s="4">
        <v>4963907.1999999993</v>
      </c>
      <c r="BD32" s="4">
        <v>68545660.879999995</v>
      </c>
      <c r="BE32" s="4">
        <v>2069062.87</v>
      </c>
      <c r="BF32" s="4">
        <v>1600671.69</v>
      </c>
      <c r="BG32" s="4">
        <v>0</v>
      </c>
      <c r="BH32" s="4">
        <f t="shared" si="2"/>
        <v>882572876.61999989</v>
      </c>
    </row>
    <row r="33" spans="1:60" x14ac:dyDescent="0.2">
      <c r="A33" s="3">
        <v>45170</v>
      </c>
      <c r="B33" s="4">
        <v>37036067.690000005</v>
      </c>
      <c r="C33" s="4">
        <v>3338806.66</v>
      </c>
      <c r="D33" s="4">
        <v>19122725.729999997</v>
      </c>
      <c r="E33" s="4">
        <v>5364900.13</v>
      </c>
      <c r="F33" s="4">
        <v>4695294.63</v>
      </c>
      <c r="G33" s="4">
        <v>10030663.580000002</v>
      </c>
      <c r="H33" s="4">
        <v>6974019.3399999999</v>
      </c>
      <c r="I33" s="4">
        <v>3515442.6300000004</v>
      </c>
      <c r="J33" s="4">
        <v>7702588.8200000003</v>
      </c>
      <c r="K33" s="4">
        <v>6518032.4199999999</v>
      </c>
      <c r="L33" s="4">
        <v>4198834.97</v>
      </c>
      <c r="M33" s="4">
        <v>3430240.83</v>
      </c>
      <c r="N33" s="4">
        <v>27084624.030000005</v>
      </c>
      <c r="O33" s="4">
        <v>99003240.810000002</v>
      </c>
      <c r="P33" s="4">
        <v>4584840.9099999992</v>
      </c>
      <c r="Q33" s="4">
        <v>3726444.96</v>
      </c>
      <c r="R33" s="4">
        <v>3296557.13</v>
      </c>
      <c r="S33" s="4">
        <v>6315760.1899999995</v>
      </c>
      <c r="T33" s="4">
        <v>6128536.6600000001</v>
      </c>
      <c r="U33" s="4">
        <v>699784.94000000006</v>
      </c>
      <c r="V33" s="4">
        <v>5425677.1599999992</v>
      </c>
      <c r="W33" s="4">
        <v>10376910.34</v>
      </c>
      <c r="X33" s="4">
        <v>1885555.9900000002</v>
      </c>
      <c r="Y33" s="4">
        <v>5573058.1199999992</v>
      </c>
      <c r="Z33" s="4">
        <v>4792594.1500000004</v>
      </c>
      <c r="AA33" s="4">
        <v>63220939.779999994</v>
      </c>
      <c r="AB33" s="4">
        <v>5335989.5299999993</v>
      </c>
      <c r="AC33" s="4">
        <v>152964195.31</v>
      </c>
      <c r="AD33" s="4">
        <v>17257401.130000003</v>
      </c>
      <c r="AE33" s="4">
        <v>22484580.359999999</v>
      </c>
      <c r="AF33" s="4">
        <v>50260041.200000003</v>
      </c>
      <c r="AG33" s="4">
        <v>12103592.85</v>
      </c>
      <c r="AH33" s="4">
        <v>39271812.579999998</v>
      </c>
      <c r="AI33" s="4">
        <v>2560385.9400000004</v>
      </c>
      <c r="AJ33" s="4">
        <v>6466097.3000000007</v>
      </c>
      <c r="AK33" s="4">
        <v>6376022.2400000002</v>
      </c>
      <c r="AL33" s="4">
        <v>9682066.0099999998</v>
      </c>
      <c r="AM33" s="4">
        <v>12451381.779999999</v>
      </c>
      <c r="AN33" s="4">
        <v>24938133.170000002</v>
      </c>
      <c r="AO33" s="4">
        <v>7387950.1200000001</v>
      </c>
      <c r="AP33" s="4">
        <v>18447861.710000001</v>
      </c>
      <c r="AQ33" s="4">
        <v>13059592.419999998</v>
      </c>
      <c r="AR33" s="4">
        <v>3446768.59</v>
      </c>
      <c r="AS33" s="4">
        <v>2022435.59</v>
      </c>
      <c r="AT33" s="4">
        <v>3872880.77</v>
      </c>
      <c r="AU33" s="4">
        <v>7600407.6000000015</v>
      </c>
      <c r="AV33" s="4">
        <v>189926900.97999999</v>
      </c>
      <c r="AW33" s="4">
        <v>10836985.889999999</v>
      </c>
      <c r="AX33" s="4">
        <v>3568969.0600000005</v>
      </c>
      <c r="AY33" s="4">
        <v>7177279.1899999995</v>
      </c>
      <c r="AZ33" s="4">
        <v>18591107.159999996</v>
      </c>
      <c r="BA33" s="4">
        <v>8468451.129999999</v>
      </c>
      <c r="BB33" s="4">
        <v>3233769.49</v>
      </c>
      <c r="BC33" s="4">
        <v>7304170.7400000002</v>
      </c>
      <c r="BD33" s="4">
        <v>88138154.089999974</v>
      </c>
      <c r="BE33" s="4">
        <v>2743133.5599999996</v>
      </c>
      <c r="BF33" s="4">
        <v>2509600.5499999998</v>
      </c>
      <c r="BG33" s="4">
        <v>0</v>
      </c>
      <c r="BH33" s="4">
        <f t="shared" si="2"/>
        <v>1114530260.6399999</v>
      </c>
    </row>
    <row r="34" spans="1:60" x14ac:dyDescent="0.2">
      <c r="A34" s="3">
        <v>45200</v>
      </c>
      <c r="B34" s="4">
        <v>28629401.510000002</v>
      </c>
      <c r="C34" s="4">
        <v>2118872.8699999996</v>
      </c>
      <c r="D34" s="4">
        <v>14184344.869999999</v>
      </c>
      <c r="E34" s="4">
        <v>3883984.1</v>
      </c>
      <c r="F34" s="4">
        <v>3538067.1799999997</v>
      </c>
      <c r="G34" s="4">
        <v>6897056.8400000008</v>
      </c>
      <c r="H34" s="4">
        <v>5687859.5200000005</v>
      </c>
      <c r="I34" s="4">
        <v>2411770.41</v>
      </c>
      <c r="J34" s="4">
        <v>5836521.8100000005</v>
      </c>
      <c r="K34" s="4">
        <v>4625867.21</v>
      </c>
      <c r="L34" s="4">
        <v>2977343.9000000004</v>
      </c>
      <c r="M34" s="4">
        <v>2426118.7199999997</v>
      </c>
      <c r="N34" s="4">
        <v>19727500.390000001</v>
      </c>
      <c r="O34" s="4">
        <v>78242447.299999997</v>
      </c>
      <c r="P34" s="4">
        <v>3361131.28</v>
      </c>
      <c r="Q34" s="4">
        <v>2541268.7599999998</v>
      </c>
      <c r="R34" s="4">
        <v>2231826.9099999997</v>
      </c>
      <c r="S34" s="4">
        <v>4040989.88</v>
      </c>
      <c r="T34" s="4">
        <v>3415976.86</v>
      </c>
      <c r="U34" s="4">
        <v>367642.87</v>
      </c>
      <c r="V34" s="4">
        <v>3312604.34</v>
      </c>
      <c r="W34" s="4">
        <v>7946275.0500000007</v>
      </c>
      <c r="X34" s="4">
        <v>1305759.6599999999</v>
      </c>
      <c r="Y34" s="4">
        <v>3981957.5600000005</v>
      </c>
      <c r="Z34" s="4">
        <v>2909416.25</v>
      </c>
      <c r="AA34" s="4">
        <v>50882463.640000008</v>
      </c>
      <c r="AB34" s="4">
        <v>3529516.67</v>
      </c>
      <c r="AC34" s="4">
        <v>121072795.72</v>
      </c>
      <c r="AD34" s="4">
        <v>12756640.140000001</v>
      </c>
      <c r="AE34" s="4">
        <v>14414924.850000001</v>
      </c>
      <c r="AF34" s="4">
        <v>36952500.840000004</v>
      </c>
      <c r="AG34" s="4">
        <v>8991368.8599999994</v>
      </c>
      <c r="AH34" s="4">
        <v>32058594.570000004</v>
      </c>
      <c r="AI34" s="4">
        <v>1697517.5799999998</v>
      </c>
      <c r="AJ34" s="4">
        <v>4806250.54</v>
      </c>
      <c r="AK34" s="4">
        <v>3698507.95</v>
      </c>
      <c r="AL34" s="4">
        <v>6520200.75</v>
      </c>
      <c r="AM34" s="4">
        <v>9434637.9899999984</v>
      </c>
      <c r="AN34" s="4">
        <v>24179839.529999997</v>
      </c>
      <c r="AO34" s="4">
        <v>5955974.8100000005</v>
      </c>
      <c r="AP34" s="4">
        <v>13721290.17</v>
      </c>
      <c r="AQ34" s="4">
        <v>10147465.709999999</v>
      </c>
      <c r="AR34" s="4">
        <v>1696372.3299999996</v>
      </c>
      <c r="AS34" s="4">
        <v>1197619.06</v>
      </c>
      <c r="AT34" s="4">
        <v>2453703.9699999997</v>
      </c>
      <c r="AU34" s="4">
        <v>5897886.4799999995</v>
      </c>
      <c r="AV34" s="4">
        <v>147993564.16</v>
      </c>
      <c r="AW34" s="4">
        <v>5024797.59</v>
      </c>
      <c r="AX34" s="4">
        <v>2426195.0499999998</v>
      </c>
      <c r="AY34" s="4">
        <v>5225305.5999999996</v>
      </c>
      <c r="AZ34" s="4">
        <v>13091912.700000003</v>
      </c>
      <c r="BA34" s="4">
        <v>5209375.41</v>
      </c>
      <c r="BB34" s="4">
        <v>2243227.9299999997</v>
      </c>
      <c r="BC34" s="4">
        <v>4876368.76</v>
      </c>
      <c r="BD34" s="4">
        <v>72197733.590000004</v>
      </c>
      <c r="BE34" s="4">
        <v>1870351.15</v>
      </c>
      <c r="BF34" s="4">
        <v>1335659.5</v>
      </c>
      <c r="BG34" s="4">
        <v>0</v>
      </c>
      <c r="BH34" s="4">
        <f t="shared" si="2"/>
        <v>850162569.64999998</v>
      </c>
    </row>
    <row r="35" spans="1:60" x14ac:dyDescent="0.2">
      <c r="A35" s="3">
        <v>45231</v>
      </c>
      <c r="B35" s="4">
        <v>28745169.180000003</v>
      </c>
      <c r="C35" s="4">
        <v>2222890.58</v>
      </c>
      <c r="D35" s="4">
        <v>14399018.040000003</v>
      </c>
      <c r="E35" s="4">
        <v>3737091.2500000005</v>
      </c>
      <c r="F35" s="4">
        <v>3811965.06</v>
      </c>
      <c r="G35" s="4">
        <v>6981994.29</v>
      </c>
      <c r="H35" s="4">
        <v>6013024.1099999994</v>
      </c>
      <c r="I35" s="4">
        <v>2735984.2600000002</v>
      </c>
      <c r="J35" s="4">
        <v>5919123.2100000009</v>
      </c>
      <c r="K35" s="4">
        <v>4753663.3900000006</v>
      </c>
      <c r="L35" s="4">
        <v>2946867.8200000003</v>
      </c>
      <c r="M35" s="4">
        <v>2511697.2199999997</v>
      </c>
      <c r="N35" s="4">
        <v>20338480.059999999</v>
      </c>
      <c r="O35" s="4">
        <v>81289130.950000003</v>
      </c>
      <c r="P35" s="4">
        <v>3223013.8400000008</v>
      </c>
      <c r="Q35" s="4">
        <v>2588305.19</v>
      </c>
      <c r="R35" s="4">
        <v>2311363.1099999994</v>
      </c>
      <c r="S35" s="4">
        <v>4177980.5599999996</v>
      </c>
      <c r="T35" s="4">
        <v>3487801.99</v>
      </c>
      <c r="U35" s="4">
        <v>405406.93000000005</v>
      </c>
      <c r="V35" s="4">
        <v>3421334.71</v>
      </c>
      <c r="W35" s="4">
        <v>7934858.6600000001</v>
      </c>
      <c r="X35" s="4">
        <v>1327953.3599999999</v>
      </c>
      <c r="Y35" s="4">
        <v>3506720.71</v>
      </c>
      <c r="Z35" s="4">
        <v>3020126.57</v>
      </c>
      <c r="AA35" s="4">
        <v>52689340.519999996</v>
      </c>
      <c r="AB35" s="4">
        <v>3536090.35</v>
      </c>
      <c r="AC35" s="4">
        <v>120328798.95</v>
      </c>
      <c r="AD35" s="4">
        <v>13115341.890000001</v>
      </c>
      <c r="AE35" s="4">
        <v>14828704.789999999</v>
      </c>
      <c r="AF35" s="4">
        <v>37416974.829999998</v>
      </c>
      <c r="AG35" s="4">
        <v>9183893.0899999999</v>
      </c>
      <c r="AH35" s="4">
        <v>31404711.229999993</v>
      </c>
      <c r="AI35" s="4">
        <v>1865086.7200000002</v>
      </c>
      <c r="AJ35" s="4">
        <v>4731074.7300000004</v>
      </c>
      <c r="AK35" s="4">
        <v>3759359.4899999998</v>
      </c>
      <c r="AL35" s="4">
        <v>6722975.9399999995</v>
      </c>
      <c r="AM35" s="4">
        <v>9708589.6500000004</v>
      </c>
      <c r="AN35" s="4">
        <v>21899674.030000001</v>
      </c>
      <c r="AO35" s="4">
        <v>6000044.6100000003</v>
      </c>
      <c r="AP35" s="4">
        <v>14102207.229999999</v>
      </c>
      <c r="AQ35" s="4">
        <v>12255909.290000001</v>
      </c>
      <c r="AR35" s="4">
        <v>1647262.4400000004</v>
      </c>
      <c r="AS35" s="4">
        <v>1239583</v>
      </c>
      <c r="AT35" s="4">
        <v>2556669.35</v>
      </c>
      <c r="AU35" s="4">
        <v>5946175.8300000001</v>
      </c>
      <c r="AV35" s="4">
        <v>146084805.97</v>
      </c>
      <c r="AW35" s="4">
        <v>5012279.2</v>
      </c>
      <c r="AX35" s="4">
        <v>2349459.9799999995</v>
      </c>
      <c r="AY35" s="4">
        <v>5447903.2599999998</v>
      </c>
      <c r="AZ35" s="4">
        <v>13546624.359999999</v>
      </c>
      <c r="BA35" s="4">
        <v>5444876.6299999999</v>
      </c>
      <c r="BB35" s="4">
        <v>2252590.0700000003</v>
      </c>
      <c r="BC35" s="4">
        <v>4849627.1900000004</v>
      </c>
      <c r="BD35" s="4">
        <v>71992953.370000005</v>
      </c>
      <c r="BE35" s="4">
        <v>1832928.0500000003</v>
      </c>
      <c r="BF35" s="4">
        <v>1550149.5799999998</v>
      </c>
      <c r="BG35" s="4">
        <v>0</v>
      </c>
      <c r="BH35" s="4">
        <f t="shared" si="2"/>
        <v>857113630.67000043</v>
      </c>
    </row>
    <row r="36" spans="1:60" x14ac:dyDescent="0.2">
      <c r="A36" s="3">
        <v>45261</v>
      </c>
      <c r="B36" s="4">
        <v>33324912.039999999</v>
      </c>
      <c r="C36" s="4">
        <v>3017541.42</v>
      </c>
      <c r="D36" s="4">
        <v>17235528.52</v>
      </c>
      <c r="E36" s="4">
        <v>5208654.7200000016</v>
      </c>
      <c r="F36" s="4">
        <v>4478844.1499999994</v>
      </c>
      <c r="G36" s="4">
        <v>8743161.4600000009</v>
      </c>
      <c r="H36" s="4">
        <v>7343005.8200000003</v>
      </c>
      <c r="I36" s="4">
        <v>3185198.33</v>
      </c>
      <c r="J36" s="4">
        <v>7793336.4700000007</v>
      </c>
      <c r="K36" s="4">
        <v>6462866.9699999988</v>
      </c>
      <c r="L36" s="4">
        <v>3626271.72</v>
      </c>
      <c r="M36" s="4">
        <v>2835338.5700000003</v>
      </c>
      <c r="N36" s="4">
        <v>25134966.940000001</v>
      </c>
      <c r="O36" s="4">
        <v>98720388.820000023</v>
      </c>
      <c r="P36" s="4">
        <v>4476592.34</v>
      </c>
      <c r="Q36" s="4">
        <v>3350395.27</v>
      </c>
      <c r="R36" s="4">
        <v>2824919.5900000003</v>
      </c>
      <c r="S36" s="4">
        <v>5598678.0800000001</v>
      </c>
      <c r="T36" s="4">
        <v>5050894.9400000004</v>
      </c>
      <c r="U36" s="4">
        <v>594477.15</v>
      </c>
      <c r="V36" s="4">
        <v>4696551.3</v>
      </c>
      <c r="W36" s="4">
        <v>9266516.5599999987</v>
      </c>
      <c r="X36" s="4">
        <v>2000647.5599999998</v>
      </c>
      <c r="Y36" s="4">
        <v>5270197.62</v>
      </c>
      <c r="Z36" s="4">
        <v>4851475.24</v>
      </c>
      <c r="AA36" s="4">
        <v>49479631.780000001</v>
      </c>
      <c r="AB36" s="4">
        <v>5090599.54</v>
      </c>
      <c r="AC36" s="4">
        <v>154459261.86000001</v>
      </c>
      <c r="AD36" s="4">
        <v>16835329.630000003</v>
      </c>
      <c r="AE36" s="4">
        <v>20158695.039999999</v>
      </c>
      <c r="AF36" s="4">
        <v>47892455.50999999</v>
      </c>
      <c r="AG36" s="4">
        <v>10516917.58</v>
      </c>
      <c r="AH36" s="4">
        <v>39309707.769999996</v>
      </c>
      <c r="AI36" s="4">
        <v>2255115.48</v>
      </c>
      <c r="AJ36" s="4">
        <v>6265335.7300000004</v>
      </c>
      <c r="AK36" s="4">
        <v>4689593.6899999995</v>
      </c>
      <c r="AL36" s="4">
        <v>9246963.5</v>
      </c>
      <c r="AM36" s="4">
        <v>12160825.589999998</v>
      </c>
      <c r="AN36" s="4">
        <v>27958924.960000005</v>
      </c>
      <c r="AO36" s="4">
        <v>7866334.129999999</v>
      </c>
      <c r="AP36" s="4">
        <v>15884292.320000002</v>
      </c>
      <c r="AQ36" s="4">
        <v>13402852.930000002</v>
      </c>
      <c r="AR36" s="4">
        <v>3001570.2600000007</v>
      </c>
      <c r="AS36" s="4">
        <v>1713408.1400000004</v>
      </c>
      <c r="AT36" s="4">
        <v>3346613.9699999997</v>
      </c>
      <c r="AU36" s="4">
        <v>7089113.8299999982</v>
      </c>
      <c r="AV36" s="4">
        <v>182203817.07999998</v>
      </c>
      <c r="AW36" s="4">
        <v>8778757.3999999985</v>
      </c>
      <c r="AX36" s="4">
        <v>3303393.37</v>
      </c>
      <c r="AY36" s="4">
        <v>6055281.5700000003</v>
      </c>
      <c r="AZ36" s="4">
        <v>16934589.149999999</v>
      </c>
      <c r="BA36" s="4">
        <v>6841836.29</v>
      </c>
      <c r="BB36" s="4">
        <v>3163159.4</v>
      </c>
      <c r="BC36" s="4">
        <v>6430428.1099999994</v>
      </c>
      <c r="BD36" s="4">
        <v>88189967.25</v>
      </c>
      <c r="BE36" s="4">
        <v>2738096.4400000004</v>
      </c>
      <c r="BF36" s="4">
        <v>2112283.13</v>
      </c>
      <c r="BG36" s="4">
        <v>0</v>
      </c>
      <c r="BH36" s="4">
        <f t="shared" si="2"/>
        <v>1060466514.0300003</v>
      </c>
    </row>
    <row r="37" spans="1:60" ht="15.75" thickBot="1" x14ac:dyDescent="0.25">
      <c r="A37" s="7" t="s">
        <v>183</v>
      </c>
      <c r="B37" s="5">
        <f>SUM(B25:B36)</f>
        <v>358432817.80000001</v>
      </c>
      <c r="C37" s="5">
        <f t="shared" ref="C37:BH37" si="3">SUM(C25:C36)</f>
        <v>30791896.310000002</v>
      </c>
      <c r="D37" s="5">
        <f t="shared" si="3"/>
        <v>183262406.73999998</v>
      </c>
      <c r="E37" s="5">
        <f t="shared" si="3"/>
        <v>51473581.760000005</v>
      </c>
      <c r="F37" s="5">
        <f t="shared" si="3"/>
        <v>47433843.210000001</v>
      </c>
      <c r="G37" s="5">
        <f t="shared" si="3"/>
        <v>91832099.74000001</v>
      </c>
      <c r="H37" s="5">
        <f t="shared" si="3"/>
        <v>75369173.969999999</v>
      </c>
      <c r="I37" s="5">
        <f t="shared" si="3"/>
        <v>32764305.880000003</v>
      </c>
      <c r="J37" s="5">
        <f t="shared" si="3"/>
        <v>74987008.479999989</v>
      </c>
      <c r="K37" s="5">
        <f t="shared" si="3"/>
        <v>62222438.220000006</v>
      </c>
      <c r="L37" s="5">
        <f t="shared" si="3"/>
        <v>39224353.869999997</v>
      </c>
      <c r="M37" s="5">
        <f t="shared" si="3"/>
        <v>31629799.489999995</v>
      </c>
      <c r="N37" s="5">
        <f t="shared" si="3"/>
        <v>254852515.75999999</v>
      </c>
      <c r="O37" s="5">
        <f t="shared" si="3"/>
        <v>1039289980.88</v>
      </c>
      <c r="P37" s="5">
        <f t="shared" si="3"/>
        <v>42478625.850000009</v>
      </c>
      <c r="Q37" s="5">
        <f t="shared" si="3"/>
        <v>33818542.890000001</v>
      </c>
      <c r="R37" s="5">
        <f t="shared" si="3"/>
        <v>29540667.91</v>
      </c>
      <c r="S37" s="5">
        <f t="shared" si="3"/>
        <v>56197370.550000004</v>
      </c>
      <c r="T37" s="5">
        <f t="shared" si="3"/>
        <v>48304971.639999993</v>
      </c>
      <c r="U37" s="5">
        <f t="shared" si="3"/>
        <v>5394774.96</v>
      </c>
      <c r="V37" s="5">
        <f t="shared" si="3"/>
        <v>45628135.859999992</v>
      </c>
      <c r="W37" s="5">
        <f t="shared" si="3"/>
        <v>103709286.90000001</v>
      </c>
      <c r="X37" s="5">
        <f t="shared" si="3"/>
        <v>18199544.52</v>
      </c>
      <c r="Y37" s="5">
        <f t="shared" si="3"/>
        <v>47887278.009999998</v>
      </c>
      <c r="Z37" s="5">
        <f t="shared" si="3"/>
        <v>41942436.82</v>
      </c>
      <c r="AA37" s="5">
        <f t="shared" si="3"/>
        <v>638534174.00999987</v>
      </c>
      <c r="AB37" s="5">
        <f t="shared" si="3"/>
        <v>46942806.009999998</v>
      </c>
      <c r="AC37" s="5">
        <f t="shared" si="3"/>
        <v>1570455740.75</v>
      </c>
      <c r="AD37" s="5">
        <f t="shared" si="3"/>
        <v>167850873.50999999</v>
      </c>
      <c r="AE37" s="5">
        <f t="shared" si="3"/>
        <v>197073574.21000001</v>
      </c>
      <c r="AF37" s="5">
        <f t="shared" si="3"/>
        <v>483496061.37999994</v>
      </c>
      <c r="AG37" s="5">
        <f t="shared" si="3"/>
        <v>115056322.58999999</v>
      </c>
      <c r="AH37" s="5">
        <f t="shared" si="3"/>
        <v>392964747.02999997</v>
      </c>
      <c r="AI37" s="5">
        <f t="shared" si="3"/>
        <v>23100035.489999998</v>
      </c>
      <c r="AJ37" s="5">
        <f t="shared" si="3"/>
        <v>62428013.299999997</v>
      </c>
      <c r="AK37" s="5">
        <f t="shared" si="3"/>
        <v>50349255.240000002</v>
      </c>
      <c r="AL37" s="5">
        <f t="shared" si="3"/>
        <v>88450310.030000001</v>
      </c>
      <c r="AM37" s="5">
        <f t="shared" si="3"/>
        <v>124853577.98</v>
      </c>
      <c r="AN37" s="5">
        <f t="shared" si="3"/>
        <v>285397554.64999998</v>
      </c>
      <c r="AO37" s="5">
        <f t="shared" si="3"/>
        <v>80793227.709999993</v>
      </c>
      <c r="AP37" s="5">
        <f t="shared" si="3"/>
        <v>171550518.06999996</v>
      </c>
      <c r="AQ37" s="5">
        <f t="shared" si="3"/>
        <v>133668760.95000002</v>
      </c>
      <c r="AR37" s="5">
        <f t="shared" si="3"/>
        <v>24581817.740000002</v>
      </c>
      <c r="AS37" s="5">
        <f t="shared" si="3"/>
        <v>16163599.630000003</v>
      </c>
      <c r="AT37" s="5">
        <f t="shared" si="3"/>
        <v>33058135.739999998</v>
      </c>
      <c r="AU37" s="5">
        <f t="shared" si="3"/>
        <v>75337521.729999989</v>
      </c>
      <c r="AV37" s="5">
        <f t="shared" si="3"/>
        <v>1936395811.7500002</v>
      </c>
      <c r="AW37" s="5">
        <f t="shared" si="3"/>
        <v>78641190.120000005</v>
      </c>
      <c r="AX37" s="5">
        <f t="shared" si="3"/>
        <v>33288317.580000009</v>
      </c>
      <c r="AY37" s="5">
        <f t="shared" si="3"/>
        <v>66397909.679999992</v>
      </c>
      <c r="AZ37" s="5">
        <f t="shared" si="3"/>
        <v>170355825.00000003</v>
      </c>
      <c r="BA37" s="5">
        <f t="shared" si="3"/>
        <v>72937906.900000006</v>
      </c>
      <c r="BB37" s="5">
        <f t="shared" si="3"/>
        <v>29564123.539999999</v>
      </c>
      <c r="BC37" s="5">
        <f t="shared" si="3"/>
        <v>64430912.689999998</v>
      </c>
      <c r="BD37" s="5">
        <f t="shared" si="3"/>
        <v>889136472.06999993</v>
      </c>
      <c r="BE37" s="5">
        <f t="shared" si="3"/>
        <v>26030357.300000001</v>
      </c>
      <c r="BF37" s="5">
        <f t="shared" si="3"/>
        <v>20563971.799999997</v>
      </c>
      <c r="BG37" s="5">
        <f t="shared" si="3"/>
        <v>0</v>
      </c>
      <c r="BH37" s="5">
        <f t="shared" si="3"/>
        <v>11016517284.199999</v>
      </c>
    </row>
    <row r="38" spans="1:60" ht="15.75" thickTop="1" x14ac:dyDescent="0.2">
      <c r="A38" s="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x14ac:dyDescent="0.2">
      <c r="A39" s="8">
        <v>44562</v>
      </c>
      <c r="B39" s="4">
        <v>27291018.899999999</v>
      </c>
      <c r="C39" s="4">
        <v>2151016.9800000004</v>
      </c>
      <c r="D39" s="4">
        <v>13820946.93</v>
      </c>
      <c r="E39" s="4">
        <v>3877582.6500000004</v>
      </c>
      <c r="F39" s="4">
        <v>3630802.1799999997</v>
      </c>
      <c r="G39" s="4">
        <v>6358671.7699999996</v>
      </c>
      <c r="H39" s="4">
        <v>6124928.5300000003</v>
      </c>
      <c r="I39" s="4">
        <v>2304297.17</v>
      </c>
      <c r="J39" s="4">
        <v>5444178.4400000004</v>
      </c>
      <c r="K39" s="4">
        <v>4022762.4099999997</v>
      </c>
      <c r="L39" s="4">
        <v>2936968.16</v>
      </c>
      <c r="M39" s="4">
        <v>2009814.77</v>
      </c>
      <c r="N39" s="4">
        <v>19906428.740000002</v>
      </c>
      <c r="O39" s="4">
        <v>78351031.900000006</v>
      </c>
      <c r="P39" s="4">
        <v>2859006.62</v>
      </c>
      <c r="Q39" s="4">
        <v>2293106.71</v>
      </c>
      <c r="R39" s="4">
        <v>2053554.7000000002</v>
      </c>
      <c r="S39" s="4">
        <v>3806481.54</v>
      </c>
      <c r="T39" s="4">
        <v>3297907.84</v>
      </c>
      <c r="U39" s="4">
        <v>296375.64</v>
      </c>
      <c r="V39" s="4">
        <v>2949396.1799999997</v>
      </c>
      <c r="W39" s="4">
        <v>6991690.3200000003</v>
      </c>
      <c r="X39" s="4">
        <v>1095529.94</v>
      </c>
      <c r="Y39" s="4">
        <v>3180790.1100000003</v>
      </c>
      <c r="Z39" s="4">
        <v>2692902.37</v>
      </c>
      <c r="AA39" s="4">
        <v>49152635.699999996</v>
      </c>
      <c r="AB39" s="4">
        <v>3147822.92</v>
      </c>
      <c r="AC39" s="4">
        <v>123272070.01999998</v>
      </c>
      <c r="AD39" s="4">
        <v>11792559.450000001</v>
      </c>
      <c r="AE39" s="4">
        <v>13769761.299999997</v>
      </c>
      <c r="AF39" s="4">
        <v>36731468.270000003</v>
      </c>
      <c r="AG39" s="4">
        <v>8399898.9000000004</v>
      </c>
      <c r="AH39" s="4">
        <v>29921876.77</v>
      </c>
      <c r="AI39" s="4">
        <v>1675028.0799999998</v>
      </c>
      <c r="AJ39" s="4">
        <v>4256105.88</v>
      </c>
      <c r="AK39" s="4">
        <v>3259157.5400000005</v>
      </c>
      <c r="AL39" s="4">
        <v>6169551.4099999992</v>
      </c>
      <c r="AM39" s="4">
        <v>9114547.3200000003</v>
      </c>
      <c r="AN39" s="4">
        <v>23721645.809999999</v>
      </c>
      <c r="AO39" s="4">
        <v>5764883.9899999993</v>
      </c>
      <c r="AP39" s="4">
        <v>12559408.060000001</v>
      </c>
      <c r="AQ39" s="4">
        <v>8847615.1699999981</v>
      </c>
      <c r="AR39" s="4">
        <v>1456814.7400000002</v>
      </c>
      <c r="AS39" s="4">
        <v>877761.04999999981</v>
      </c>
      <c r="AT39" s="4">
        <v>2383052.15</v>
      </c>
      <c r="AU39" s="4">
        <v>5323533.68</v>
      </c>
      <c r="AV39" s="4">
        <v>143824662.56</v>
      </c>
      <c r="AW39" s="4">
        <v>4475614.01</v>
      </c>
      <c r="AX39" s="4">
        <v>2391697.11</v>
      </c>
      <c r="AY39" s="4">
        <v>4960110.9000000004</v>
      </c>
      <c r="AZ39" s="4">
        <v>11640610.41</v>
      </c>
      <c r="BA39" s="4">
        <v>4562177.83</v>
      </c>
      <c r="BB39" s="4">
        <v>2078788.29</v>
      </c>
      <c r="BC39" s="4">
        <v>4408334.08</v>
      </c>
      <c r="BD39" s="4">
        <v>71029174.150000006</v>
      </c>
      <c r="BE39" s="4">
        <v>1635032.28</v>
      </c>
      <c r="BF39" s="4">
        <v>1104369.21</v>
      </c>
      <c r="BG39" s="4">
        <v>0</v>
      </c>
      <c r="BH39" s="4">
        <f>SUM(B39:BG39)</f>
        <v>823454960.53999972</v>
      </c>
    </row>
    <row r="40" spans="1:60" x14ac:dyDescent="0.2">
      <c r="A40" s="3">
        <v>44593</v>
      </c>
      <c r="B40" s="4">
        <v>17677687.910000004</v>
      </c>
      <c r="C40" s="4">
        <v>1987844.7300000002</v>
      </c>
      <c r="D40" s="4">
        <v>12014579.619999999</v>
      </c>
      <c r="E40" s="4">
        <v>3357780.31</v>
      </c>
      <c r="F40" s="4">
        <v>3123829.27</v>
      </c>
      <c r="G40" s="4">
        <v>5459999.1500000004</v>
      </c>
      <c r="H40" s="4">
        <v>5028033.2799999993</v>
      </c>
      <c r="I40" s="4">
        <v>1840393.8299999998</v>
      </c>
      <c r="J40" s="4">
        <v>4726694.71</v>
      </c>
      <c r="K40" s="4">
        <v>3321372.25</v>
      </c>
      <c r="L40" s="4">
        <v>2506604.04</v>
      </c>
      <c r="M40" s="4">
        <v>1785708.59</v>
      </c>
      <c r="N40" s="4">
        <v>16544432.48</v>
      </c>
      <c r="O40" s="4">
        <v>65108138.089999996</v>
      </c>
      <c r="P40" s="4">
        <v>2424748.7699999996</v>
      </c>
      <c r="Q40" s="4">
        <v>1942843.29</v>
      </c>
      <c r="R40" s="4">
        <v>1719133.23</v>
      </c>
      <c r="S40" s="4">
        <v>3289077.1799999997</v>
      </c>
      <c r="T40" s="4">
        <v>2773002.58</v>
      </c>
      <c r="U40" s="4">
        <v>244955.08000000002</v>
      </c>
      <c r="V40" s="4">
        <v>2498959.0099999998</v>
      </c>
      <c r="W40" s="4">
        <v>5954944.7200000007</v>
      </c>
      <c r="X40" s="4">
        <v>943090.13000000012</v>
      </c>
      <c r="Y40" s="4">
        <v>2621130.2400000002</v>
      </c>
      <c r="Z40" s="4">
        <v>2277412.27</v>
      </c>
      <c r="AA40" s="4">
        <v>41734593.890000001</v>
      </c>
      <c r="AB40" s="4">
        <v>2642557.84</v>
      </c>
      <c r="AC40" s="4">
        <v>101770836.44</v>
      </c>
      <c r="AD40" s="4">
        <v>10053390.73</v>
      </c>
      <c r="AE40" s="4">
        <v>11702887.23</v>
      </c>
      <c r="AF40" s="4">
        <v>30597035.990000002</v>
      </c>
      <c r="AG40" s="4">
        <v>7136961.7200000007</v>
      </c>
      <c r="AH40" s="4">
        <v>23088126.849999998</v>
      </c>
      <c r="AI40" s="4">
        <v>1430387.22</v>
      </c>
      <c r="AJ40" s="4">
        <v>3637993.2699999996</v>
      </c>
      <c r="AK40" s="4">
        <v>2820069.35</v>
      </c>
      <c r="AL40" s="4">
        <v>5047590.74</v>
      </c>
      <c r="AM40" s="4">
        <v>7726747.2400000002</v>
      </c>
      <c r="AN40" s="4">
        <v>19122146.549999997</v>
      </c>
      <c r="AO40" s="4">
        <v>4843783.2899999991</v>
      </c>
      <c r="AP40" s="4">
        <v>10406569.290000001</v>
      </c>
      <c r="AQ40" s="4">
        <v>8418619.7100000009</v>
      </c>
      <c r="AR40" s="4">
        <v>1203687.26</v>
      </c>
      <c r="AS40" s="4">
        <v>704012.67999999993</v>
      </c>
      <c r="AT40" s="4">
        <v>2061933.6099999999</v>
      </c>
      <c r="AU40" s="4">
        <v>4467393.59</v>
      </c>
      <c r="AV40" s="4">
        <v>117751409.99000001</v>
      </c>
      <c r="AW40" s="4">
        <v>3630503.0100000002</v>
      </c>
      <c r="AX40" s="4">
        <v>2141981.83</v>
      </c>
      <c r="AY40" s="4">
        <v>4191887.9000000004</v>
      </c>
      <c r="AZ40" s="4">
        <v>10088889.060000001</v>
      </c>
      <c r="BA40" s="4">
        <v>3929201.61</v>
      </c>
      <c r="BB40" s="4">
        <v>1799891.94</v>
      </c>
      <c r="BC40" s="4">
        <v>3840227.6099999994</v>
      </c>
      <c r="BD40" s="4">
        <v>58430430.320000008</v>
      </c>
      <c r="BE40" s="4">
        <v>1412198.6500000001</v>
      </c>
      <c r="BF40" s="4">
        <v>888142.79999999993</v>
      </c>
      <c r="BG40" s="4">
        <v>0</v>
      </c>
      <c r="BH40" s="4">
        <f t="shared" ref="BH40:BH50" si="4">SUM(B40:BG40)</f>
        <v>679894483.97000027</v>
      </c>
    </row>
    <row r="41" spans="1:60" x14ac:dyDescent="0.2">
      <c r="A41" s="3">
        <v>44621</v>
      </c>
      <c r="B41" s="4">
        <v>33813577.019999996</v>
      </c>
      <c r="C41" s="4">
        <v>2954615.7800000003</v>
      </c>
      <c r="D41" s="4">
        <v>18639780.459999997</v>
      </c>
      <c r="E41" s="4">
        <v>5092526.41</v>
      </c>
      <c r="F41" s="4">
        <v>5112828.9499999993</v>
      </c>
      <c r="G41" s="4">
        <v>7969234.6099999994</v>
      </c>
      <c r="H41" s="4">
        <v>6335493.8300000001</v>
      </c>
      <c r="I41" s="4">
        <v>3182631.8400000008</v>
      </c>
      <c r="J41" s="4">
        <v>6228838.5899999999</v>
      </c>
      <c r="K41" s="4">
        <v>6979067.7400000002</v>
      </c>
      <c r="L41" s="4">
        <v>3701757.58</v>
      </c>
      <c r="M41" s="4">
        <v>3552625.7199999997</v>
      </c>
      <c r="N41" s="4">
        <v>28758750.519999996</v>
      </c>
      <c r="O41" s="4">
        <v>96519495.599999994</v>
      </c>
      <c r="P41" s="4">
        <v>3612237.01</v>
      </c>
      <c r="Q41" s="4">
        <v>3134070.37</v>
      </c>
      <c r="R41" s="4">
        <v>2860059.0300000003</v>
      </c>
      <c r="S41" s="4">
        <v>5258356.28</v>
      </c>
      <c r="T41" s="4">
        <v>4589991.2</v>
      </c>
      <c r="U41" s="4">
        <v>440960.19</v>
      </c>
      <c r="V41" s="4">
        <v>4064584.6300000008</v>
      </c>
      <c r="W41" s="4">
        <v>9390301.3100000005</v>
      </c>
      <c r="X41" s="4">
        <v>1929249.5499999998</v>
      </c>
      <c r="Y41" s="4">
        <v>3870473.7299999995</v>
      </c>
      <c r="Z41" s="4">
        <v>3903608.7600000002</v>
      </c>
      <c r="AA41" s="4">
        <v>59459809.509999998</v>
      </c>
      <c r="AB41" s="4">
        <v>4291011.9000000004</v>
      </c>
      <c r="AC41" s="4">
        <v>145057801.22999999</v>
      </c>
      <c r="AD41" s="4">
        <v>15034408.060000001</v>
      </c>
      <c r="AE41" s="4">
        <v>18056387.690000005</v>
      </c>
      <c r="AF41" s="4">
        <v>39365597.799999997</v>
      </c>
      <c r="AG41" s="4">
        <v>10227588.93</v>
      </c>
      <c r="AH41" s="4">
        <v>33959193.089999996</v>
      </c>
      <c r="AI41" s="4">
        <v>2194396.6</v>
      </c>
      <c r="AJ41" s="4">
        <v>5962814.790000001</v>
      </c>
      <c r="AK41" s="4">
        <v>4302581.17</v>
      </c>
      <c r="AL41" s="4">
        <v>8250001.5299999993</v>
      </c>
      <c r="AM41" s="4">
        <v>10872525.01</v>
      </c>
      <c r="AN41" s="4">
        <v>27621119.999999989</v>
      </c>
      <c r="AO41" s="4">
        <v>6820143.6300000008</v>
      </c>
      <c r="AP41" s="4">
        <v>14199383.25</v>
      </c>
      <c r="AQ41" s="4">
        <v>12690678.289999999</v>
      </c>
      <c r="AR41" s="4">
        <v>2201368.67</v>
      </c>
      <c r="AS41" s="4">
        <v>1275051.6400000001</v>
      </c>
      <c r="AT41" s="4">
        <v>2617893.37</v>
      </c>
      <c r="AU41" s="4">
        <v>7274492.75</v>
      </c>
      <c r="AV41" s="4">
        <v>177770485.72000003</v>
      </c>
      <c r="AW41" s="4">
        <v>6327009.8200000003</v>
      </c>
      <c r="AX41" s="4">
        <v>2998228.4600000004</v>
      </c>
      <c r="AY41" s="4">
        <v>6069647.9500000002</v>
      </c>
      <c r="AZ41" s="4">
        <v>16646000.190000001</v>
      </c>
      <c r="BA41" s="4">
        <v>5776976.0500000007</v>
      </c>
      <c r="BB41" s="4">
        <v>2557933.8600000003</v>
      </c>
      <c r="BC41" s="4">
        <v>6002848.4199999999</v>
      </c>
      <c r="BD41" s="4">
        <v>85294202.010000005</v>
      </c>
      <c r="BE41" s="4">
        <v>2423646.23</v>
      </c>
      <c r="BF41" s="4">
        <v>2222618.4</v>
      </c>
      <c r="BG41" s="4">
        <v>0</v>
      </c>
      <c r="BH41" s="4">
        <f t="shared" si="4"/>
        <v>1017718962.7299998</v>
      </c>
    </row>
    <row r="42" spans="1:60" x14ac:dyDescent="0.2">
      <c r="A42" s="3">
        <v>44652</v>
      </c>
      <c r="B42" s="4">
        <v>29201377.120000001</v>
      </c>
      <c r="C42" s="4">
        <v>2402289.14</v>
      </c>
      <c r="D42" s="4">
        <v>14417823.58</v>
      </c>
      <c r="E42" s="4">
        <v>4208141.51</v>
      </c>
      <c r="F42" s="4">
        <v>4178729.0999999996</v>
      </c>
      <c r="G42" s="4">
        <v>7653185.5899999999</v>
      </c>
      <c r="H42" s="4">
        <v>6299706.790000001</v>
      </c>
      <c r="I42" s="4">
        <v>2672038.89</v>
      </c>
      <c r="J42" s="4">
        <v>6023229.8400000008</v>
      </c>
      <c r="K42" s="4">
        <v>4743882.3699999992</v>
      </c>
      <c r="L42" s="4">
        <v>3233103.96</v>
      </c>
      <c r="M42" s="4">
        <v>2667497.46</v>
      </c>
      <c r="N42" s="4">
        <v>19434944.369999997</v>
      </c>
      <c r="O42" s="4">
        <v>81103105.150000006</v>
      </c>
      <c r="P42" s="4">
        <v>2742153.35</v>
      </c>
      <c r="Q42" s="4">
        <v>2614295.92</v>
      </c>
      <c r="R42" s="4">
        <v>2330425.6199999996</v>
      </c>
      <c r="S42" s="4">
        <v>4338397.8</v>
      </c>
      <c r="T42" s="4">
        <v>3662773.8800000004</v>
      </c>
      <c r="U42" s="4">
        <v>317365.97000000003</v>
      </c>
      <c r="V42" s="4">
        <v>3440451.69</v>
      </c>
      <c r="W42" s="4">
        <v>8777635.8999999985</v>
      </c>
      <c r="X42" s="4">
        <v>1423497.77</v>
      </c>
      <c r="Y42" s="4">
        <v>3892648.1799999997</v>
      </c>
      <c r="Z42" s="4">
        <v>3351260.3900000006</v>
      </c>
      <c r="AA42" s="4">
        <v>52239029.270000003</v>
      </c>
      <c r="AB42" s="4">
        <v>3616210.41</v>
      </c>
      <c r="AC42" s="4">
        <v>117893221.98999999</v>
      </c>
      <c r="AD42" s="4">
        <v>12845721.840000002</v>
      </c>
      <c r="AE42" s="4">
        <v>15246100.49</v>
      </c>
      <c r="AF42" s="4">
        <v>38912951.140000001</v>
      </c>
      <c r="AG42" s="4">
        <v>9041413.2199999988</v>
      </c>
      <c r="AH42" s="4">
        <v>29926032.280000001</v>
      </c>
      <c r="AI42" s="4">
        <v>1884372.32</v>
      </c>
      <c r="AJ42" s="4">
        <v>5143342.0999999996</v>
      </c>
      <c r="AK42" s="4">
        <v>3748627.75</v>
      </c>
      <c r="AL42" s="4">
        <v>6455513.7400000002</v>
      </c>
      <c r="AM42" s="4">
        <v>9798627.3300000001</v>
      </c>
      <c r="AN42" s="4">
        <v>22557482.169999998</v>
      </c>
      <c r="AO42" s="4">
        <v>7112818.9700000007</v>
      </c>
      <c r="AP42" s="4">
        <v>13410182.83</v>
      </c>
      <c r="AQ42" s="4">
        <v>10839923.369999999</v>
      </c>
      <c r="AR42" s="4">
        <v>1697995.3399999999</v>
      </c>
      <c r="AS42" s="4">
        <v>1151632.8599999999</v>
      </c>
      <c r="AT42" s="4">
        <v>2538331.1899999995</v>
      </c>
      <c r="AU42" s="4">
        <v>6057836.4299999997</v>
      </c>
      <c r="AV42" s="4">
        <v>155810624.59999999</v>
      </c>
      <c r="AW42" s="4">
        <v>5499317.71</v>
      </c>
      <c r="AX42" s="4">
        <v>2484319.71</v>
      </c>
      <c r="AY42" s="4">
        <v>5048456.82</v>
      </c>
      <c r="AZ42" s="4">
        <v>13236085.879999999</v>
      </c>
      <c r="BA42" s="4">
        <v>5504953.1200000001</v>
      </c>
      <c r="BB42" s="4">
        <v>2386966.09</v>
      </c>
      <c r="BC42" s="4">
        <v>5214337.99</v>
      </c>
      <c r="BD42" s="4">
        <v>66935701</v>
      </c>
      <c r="BE42" s="4">
        <v>1972610</v>
      </c>
      <c r="BF42" s="4">
        <v>1386494.32</v>
      </c>
      <c r="BG42" s="4">
        <v>0</v>
      </c>
      <c r="BH42" s="4">
        <f t="shared" si="4"/>
        <v>862727195.62000036</v>
      </c>
    </row>
    <row r="43" spans="1:60" x14ac:dyDescent="0.2">
      <c r="A43" s="3">
        <v>44682</v>
      </c>
      <c r="B43" s="4">
        <v>26956677.219999999</v>
      </c>
      <c r="C43" s="4">
        <v>2413337.39</v>
      </c>
      <c r="D43" s="4">
        <v>14379804.260000002</v>
      </c>
      <c r="E43" s="4">
        <v>4015503.1599999997</v>
      </c>
      <c r="F43" s="4">
        <v>4035044.78</v>
      </c>
      <c r="G43" s="4">
        <v>7282555.9199999999</v>
      </c>
      <c r="H43" s="4">
        <v>6291736.2700000005</v>
      </c>
      <c r="I43" s="4">
        <v>2583295.66</v>
      </c>
      <c r="J43" s="4">
        <v>6022239.4600000009</v>
      </c>
      <c r="K43" s="4">
        <v>4662370.34</v>
      </c>
      <c r="L43" s="4">
        <v>3249458.59</v>
      </c>
      <c r="M43" s="4">
        <v>2297863.41</v>
      </c>
      <c r="N43" s="4">
        <v>19038996.98</v>
      </c>
      <c r="O43" s="4">
        <v>80531270.5</v>
      </c>
      <c r="P43" s="4">
        <v>2899900.11</v>
      </c>
      <c r="Q43" s="4">
        <v>2652832.6199999996</v>
      </c>
      <c r="R43" s="4">
        <v>2292666.0799999996</v>
      </c>
      <c r="S43" s="4">
        <v>4262210.9399999995</v>
      </c>
      <c r="T43" s="4">
        <v>3534373.4499999997</v>
      </c>
      <c r="U43" s="4">
        <v>299577.67000000004</v>
      </c>
      <c r="V43" s="4">
        <v>3313387.06</v>
      </c>
      <c r="W43" s="4">
        <v>8429736.5</v>
      </c>
      <c r="X43" s="4">
        <v>1359566.3399999999</v>
      </c>
      <c r="Y43" s="4">
        <v>3578086.59</v>
      </c>
      <c r="Z43" s="4">
        <v>3169509.5200000005</v>
      </c>
      <c r="AA43" s="4">
        <v>51499945.829999998</v>
      </c>
      <c r="AB43" s="4">
        <v>3544117.6799999997</v>
      </c>
      <c r="AC43" s="4">
        <v>118825923.75</v>
      </c>
      <c r="AD43" s="4">
        <v>12940164.48</v>
      </c>
      <c r="AE43" s="4">
        <v>15268810.759999998</v>
      </c>
      <c r="AF43" s="4">
        <v>38079949.640000001</v>
      </c>
      <c r="AG43" s="4">
        <v>8876730.120000001</v>
      </c>
      <c r="AH43" s="4">
        <v>29768553.070000004</v>
      </c>
      <c r="AI43" s="4">
        <v>1877344.87</v>
      </c>
      <c r="AJ43" s="4">
        <v>5154924.18</v>
      </c>
      <c r="AK43" s="4">
        <v>3715370.37</v>
      </c>
      <c r="AL43" s="4">
        <v>6367178.8000000007</v>
      </c>
      <c r="AM43" s="4">
        <v>9541472.3300000001</v>
      </c>
      <c r="AN43" s="4">
        <v>22477072.720000003</v>
      </c>
      <c r="AO43" s="4">
        <v>6375533.3200000003</v>
      </c>
      <c r="AP43" s="4">
        <v>13515504.069999998</v>
      </c>
      <c r="AQ43" s="4">
        <v>10672015.459999997</v>
      </c>
      <c r="AR43" s="4">
        <v>1652949.2200000002</v>
      </c>
      <c r="AS43" s="4">
        <v>1138622.94</v>
      </c>
      <c r="AT43" s="4">
        <v>2527251.7199999997</v>
      </c>
      <c r="AU43" s="4">
        <v>5899039.3300000001</v>
      </c>
      <c r="AV43" s="4">
        <v>151002862.95999998</v>
      </c>
      <c r="AW43" s="4">
        <v>5267788.01</v>
      </c>
      <c r="AX43" s="4">
        <v>2476220.1999999997</v>
      </c>
      <c r="AY43" s="4">
        <v>5104682.6900000004</v>
      </c>
      <c r="AZ43" s="4">
        <v>12714596.149999999</v>
      </c>
      <c r="BA43" s="4">
        <v>5384445.2300000004</v>
      </c>
      <c r="BB43" s="4">
        <v>2367333.4500000002</v>
      </c>
      <c r="BC43" s="4">
        <v>5036838.95</v>
      </c>
      <c r="BD43" s="4">
        <v>66444363.899999999</v>
      </c>
      <c r="BE43" s="4">
        <v>1958749.1099999999</v>
      </c>
      <c r="BF43" s="4">
        <v>1351805.43</v>
      </c>
      <c r="BG43" s="4">
        <v>0</v>
      </c>
      <c r="BH43" s="4">
        <f t="shared" si="4"/>
        <v>848380161.56000042</v>
      </c>
    </row>
    <row r="44" spans="1:60" x14ac:dyDescent="0.2">
      <c r="A44" s="3">
        <v>44713</v>
      </c>
      <c r="B44" s="4">
        <v>37443324.200000003</v>
      </c>
      <c r="C44" s="4">
        <v>2441969.5500000003</v>
      </c>
      <c r="D44" s="4">
        <v>11153798.309999999</v>
      </c>
      <c r="E44" s="4">
        <v>3989902.54</v>
      </c>
      <c r="F44" s="4">
        <v>3495135.0399999996</v>
      </c>
      <c r="G44" s="4">
        <v>7307135.0499999989</v>
      </c>
      <c r="H44" s="4">
        <v>5375205.0700000003</v>
      </c>
      <c r="I44" s="4">
        <v>2436370.3199999998</v>
      </c>
      <c r="J44" s="4">
        <v>5195902.2699999996</v>
      </c>
      <c r="K44" s="4">
        <v>5395884.8899999997</v>
      </c>
      <c r="L44" s="4">
        <v>3292486.0300000003</v>
      </c>
      <c r="M44" s="4">
        <v>2866482.21</v>
      </c>
      <c r="N44" s="4">
        <v>21990324.84</v>
      </c>
      <c r="O44" s="4">
        <v>88921932.340000004</v>
      </c>
      <c r="P44" s="4">
        <v>3475688.5300000003</v>
      </c>
      <c r="Q44" s="4">
        <v>2591739.9499999997</v>
      </c>
      <c r="R44" s="4">
        <v>2490740.48</v>
      </c>
      <c r="S44" s="4">
        <v>4689533.4000000004</v>
      </c>
      <c r="T44" s="4">
        <v>3909744.07</v>
      </c>
      <c r="U44" s="4">
        <v>434077.58999999997</v>
      </c>
      <c r="V44" s="4">
        <v>3397374.7100000004</v>
      </c>
      <c r="W44" s="4">
        <v>8121125.9899999993</v>
      </c>
      <c r="X44" s="4">
        <v>1593010.2899999996</v>
      </c>
      <c r="Y44" s="4">
        <v>4240006.63</v>
      </c>
      <c r="Z44" s="4">
        <v>3391839</v>
      </c>
      <c r="AA44" s="4">
        <v>56478290.390000001</v>
      </c>
      <c r="AB44" s="4">
        <v>4654996.51</v>
      </c>
      <c r="AC44" s="4">
        <v>144101514.5</v>
      </c>
      <c r="AD44" s="4">
        <v>13273011.079999998</v>
      </c>
      <c r="AE44" s="4">
        <v>16164037.119999999</v>
      </c>
      <c r="AF44" s="4">
        <v>36583748.329999998</v>
      </c>
      <c r="AG44" s="4">
        <v>9375297.3099999987</v>
      </c>
      <c r="AH44" s="4">
        <v>35705863.770000011</v>
      </c>
      <c r="AI44" s="4">
        <v>1797024.91</v>
      </c>
      <c r="AJ44" s="4">
        <v>4999728.620000001</v>
      </c>
      <c r="AK44" s="4">
        <v>3978143.4100000011</v>
      </c>
      <c r="AL44" s="4">
        <v>7431704.7299999986</v>
      </c>
      <c r="AM44" s="4">
        <v>10692496.66</v>
      </c>
      <c r="AN44" s="4">
        <v>27382206.510000005</v>
      </c>
      <c r="AO44" s="4">
        <v>5972413.3799999999</v>
      </c>
      <c r="AP44" s="4">
        <v>13670865.33</v>
      </c>
      <c r="AQ44" s="4">
        <v>11412563.57</v>
      </c>
      <c r="AR44" s="4">
        <v>2036751.16</v>
      </c>
      <c r="AS44" s="4">
        <v>1249812.9500000002</v>
      </c>
      <c r="AT44" s="4">
        <v>2883693.1200000006</v>
      </c>
      <c r="AU44" s="4">
        <v>6603595.5200000005</v>
      </c>
      <c r="AV44" s="4">
        <v>177691492.09999996</v>
      </c>
      <c r="AW44" s="4">
        <v>5310070.5999999996</v>
      </c>
      <c r="AX44" s="4">
        <v>3059715.02</v>
      </c>
      <c r="AY44" s="4">
        <v>5437594.8399999999</v>
      </c>
      <c r="AZ44" s="4">
        <v>15665469.390000001</v>
      </c>
      <c r="BA44" s="4">
        <v>5697255.2199999997</v>
      </c>
      <c r="BB44" s="4">
        <v>2071292.6399999997</v>
      </c>
      <c r="BC44" s="4">
        <v>5299727.72</v>
      </c>
      <c r="BD44" s="4">
        <v>88464778.700000003</v>
      </c>
      <c r="BE44" s="4">
        <v>2057382.6</v>
      </c>
      <c r="BF44" s="4">
        <v>2075968.0299999998</v>
      </c>
      <c r="BG44" s="4">
        <v>0</v>
      </c>
      <c r="BH44" s="4">
        <f t="shared" si="4"/>
        <v>968919239.04000008</v>
      </c>
    </row>
    <row r="45" spans="1:60" x14ac:dyDescent="0.2">
      <c r="A45" s="3">
        <v>44743</v>
      </c>
      <c r="B45" s="4">
        <v>26759226.089999996</v>
      </c>
      <c r="C45" s="4">
        <v>2024666.06</v>
      </c>
      <c r="D45" s="4">
        <v>13777723.800000001</v>
      </c>
      <c r="E45" s="4">
        <v>3853256.0800000005</v>
      </c>
      <c r="F45" s="4">
        <v>4049123.05</v>
      </c>
      <c r="G45" s="4">
        <v>7451637.2400000002</v>
      </c>
      <c r="H45" s="4">
        <v>5792267.0700000003</v>
      </c>
      <c r="I45" s="4">
        <v>2284026.0499999998</v>
      </c>
      <c r="J45" s="4">
        <v>5750888.6500000004</v>
      </c>
      <c r="K45" s="4">
        <v>4342869.5600000005</v>
      </c>
      <c r="L45" s="4">
        <v>3119971.73</v>
      </c>
      <c r="M45" s="4">
        <v>2384102.46</v>
      </c>
      <c r="N45" s="4">
        <v>19794973.219999999</v>
      </c>
      <c r="O45" s="4">
        <v>82145715.429999992</v>
      </c>
      <c r="P45" s="4">
        <v>3751508.9300000006</v>
      </c>
      <c r="Q45" s="4">
        <v>2613538.5299999998</v>
      </c>
      <c r="R45" s="4">
        <v>2172161.73</v>
      </c>
      <c r="S45" s="4">
        <v>3965293.75</v>
      </c>
      <c r="T45" s="4">
        <v>3633341.27</v>
      </c>
      <c r="U45" s="4">
        <v>516458.24999999994</v>
      </c>
      <c r="V45" s="4">
        <v>3371062.6599999992</v>
      </c>
      <c r="W45" s="4">
        <v>8480553.7400000002</v>
      </c>
      <c r="X45" s="4">
        <v>1227289.9099999999</v>
      </c>
      <c r="Y45" s="4">
        <v>3641107.8400000003</v>
      </c>
      <c r="Z45" s="4">
        <v>3123850.69</v>
      </c>
      <c r="AA45" s="4">
        <v>46839000.110000007</v>
      </c>
      <c r="AB45" s="4">
        <v>3191910.71</v>
      </c>
      <c r="AC45" s="4">
        <v>122382082.63999999</v>
      </c>
      <c r="AD45" s="4">
        <v>13074638.01</v>
      </c>
      <c r="AE45" s="4">
        <v>14506688.149999999</v>
      </c>
      <c r="AF45" s="4">
        <v>35210164.609999999</v>
      </c>
      <c r="AG45" s="4">
        <v>9030462.6300000008</v>
      </c>
      <c r="AH45" s="4">
        <v>30457194.180000003</v>
      </c>
      <c r="AI45" s="4">
        <v>1757957.83</v>
      </c>
      <c r="AJ45" s="4">
        <v>4772064.3899999997</v>
      </c>
      <c r="AK45" s="4">
        <v>3934451.7099999995</v>
      </c>
      <c r="AL45" s="4">
        <v>6393098.4199999999</v>
      </c>
      <c r="AM45" s="4">
        <v>9131472.7600000016</v>
      </c>
      <c r="AN45" s="4">
        <v>22609087.150000002</v>
      </c>
      <c r="AO45" s="4">
        <v>6402504.3399999999</v>
      </c>
      <c r="AP45" s="4">
        <v>13169336.859999999</v>
      </c>
      <c r="AQ45" s="4">
        <v>10137194.939999999</v>
      </c>
      <c r="AR45" s="4">
        <v>1588907.85</v>
      </c>
      <c r="AS45" s="4">
        <v>1438643.06</v>
      </c>
      <c r="AT45" s="4">
        <v>2678565.1</v>
      </c>
      <c r="AU45" s="4">
        <v>5876839.6100000003</v>
      </c>
      <c r="AV45" s="4">
        <v>163563641.38</v>
      </c>
      <c r="AW45" s="4">
        <v>5966584.3600000003</v>
      </c>
      <c r="AX45" s="4">
        <v>2212494.89</v>
      </c>
      <c r="AY45" s="4">
        <v>5387734.6399999997</v>
      </c>
      <c r="AZ45" s="4">
        <v>12928083.560000001</v>
      </c>
      <c r="BA45" s="4">
        <v>7085474.4999999991</v>
      </c>
      <c r="BB45" s="4">
        <v>2179082.2399999998</v>
      </c>
      <c r="BC45" s="4">
        <v>4948195.9100000011</v>
      </c>
      <c r="BD45" s="4">
        <v>68173052.549999997</v>
      </c>
      <c r="BE45" s="4">
        <v>1890341.62</v>
      </c>
      <c r="BF45" s="4">
        <v>1494976.2399999998</v>
      </c>
      <c r="BG45" s="4">
        <v>0</v>
      </c>
      <c r="BH45" s="4">
        <f t="shared" si="4"/>
        <v>860438540.73999989</v>
      </c>
    </row>
    <row r="46" spans="1:60" x14ac:dyDescent="0.2">
      <c r="A46" s="3">
        <v>44774</v>
      </c>
      <c r="B46" s="4">
        <v>23332063.089999996</v>
      </c>
      <c r="C46" s="4">
        <v>2035935.8299999998</v>
      </c>
      <c r="D46" s="4">
        <v>13182405.600000001</v>
      </c>
      <c r="E46" s="4">
        <v>3932633.3399999994</v>
      </c>
      <c r="F46" s="4">
        <v>3626799.66</v>
      </c>
      <c r="G46" s="4">
        <v>7087901.6699999999</v>
      </c>
      <c r="H46" s="4">
        <v>5677280.5</v>
      </c>
      <c r="I46" s="4">
        <v>2273496.6799999997</v>
      </c>
      <c r="J46" s="4">
        <v>5603192.3000000007</v>
      </c>
      <c r="K46" s="4">
        <v>4277884.2200000007</v>
      </c>
      <c r="L46" s="4">
        <v>3054568.4</v>
      </c>
      <c r="M46" s="4">
        <v>2335520.37</v>
      </c>
      <c r="N46" s="4">
        <v>19202444.519999996</v>
      </c>
      <c r="O46" s="4">
        <v>78977433.00999999</v>
      </c>
      <c r="P46" s="4">
        <v>3595261.12</v>
      </c>
      <c r="Q46" s="4">
        <v>2593072.3899999997</v>
      </c>
      <c r="R46" s="4">
        <v>2097283.4500000002</v>
      </c>
      <c r="S46" s="4">
        <v>3902564.83</v>
      </c>
      <c r="T46" s="4">
        <v>3579511.21</v>
      </c>
      <c r="U46" s="4">
        <v>493464.07000000007</v>
      </c>
      <c r="V46" s="4">
        <v>3231900.3499999996</v>
      </c>
      <c r="W46" s="4">
        <v>8368673.6600000001</v>
      </c>
      <c r="X46" s="4">
        <v>1194240.98</v>
      </c>
      <c r="Y46" s="4">
        <v>3193624.5</v>
      </c>
      <c r="Z46" s="4">
        <v>3140303.41</v>
      </c>
      <c r="AA46" s="4">
        <v>50373997.850000009</v>
      </c>
      <c r="AB46" s="4">
        <v>3073979.67</v>
      </c>
      <c r="AC46" s="4">
        <v>117700471.05</v>
      </c>
      <c r="AD46" s="4">
        <v>13080509.390000001</v>
      </c>
      <c r="AE46" s="4">
        <v>14368592.050000001</v>
      </c>
      <c r="AF46" s="4">
        <v>35200686.939999998</v>
      </c>
      <c r="AG46" s="4">
        <v>8589954.6500000004</v>
      </c>
      <c r="AH46" s="4">
        <v>29790628.950000003</v>
      </c>
      <c r="AI46" s="4">
        <v>1682365.5</v>
      </c>
      <c r="AJ46" s="4">
        <v>5198866.9200000009</v>
      </c>
      <c r="AK46" s="4">
        <v>3794855.0399999996</v>
      </c>
      <c r="AL46" s="4">
        <v>6254545.870000001</v>
      </c>
      <c r="AM46" s="4">
        <v>8763007.5600000005</v>
      </c>
      <c r="AN46" s="4">
        <v>22304533.629999999</v>
      </c>
      <c r="AO46" s="4">
        <v>5969242.5999999996</v>
      </c>
      <c r="AP46" s="4">
        <v>12886832.27</v>
      </c>
      <c r="AQ46" s="4">
        <v>9502557.9900000002</v>
      </c>
      <c r="AR46" s="4">
        <v>1534535.06</v>
      </c>
      <c r="AS46" s="4">
        <v>912307.07000000018</v>
      </c>
      <c r="AT46" s="4">
        <v>2557889.9499999997</v>
      </c>
      <c r="AU46" s="4">
        <v>5485602.2299999995</v>
      </c>
      <c r="AV46" s="4">
        <v>157993657.17000002</v>
      </c>
      <c r="AW46" s="4">
        <v>5846386.3500000006</v>
      </c>
      <c r="AX46" s="4">
        <v>2113330.48</v>
      </c>
      <c r="AY46" s="4">
        <v>5084398.1500000004</v>
      </c>
      <c r="AZ46" s="4">
        <v>12532642.169999998</v>
      </c>
      <c r="BA46" s="4">
        <v>6848780.1900000004</v>
      </c>
      <c r="BB46" s="4">
        <v>2051588.1</v>
      </c>
      <c r="BC46" s="4">
        <v>4764837.79</v>
      </c>
      <c r="BD46" s="4">
        <v>65153008.279999994</v>
      </c>
      <c r="BE46" s="4">
        <v>1826382.42</v>
      </c>
      <c r="BF46" s="4">
        <v>1441264.56</v>
      </c>
      <c r="BG46" s="4">
        <v>0</v>
      </c>
      <c r="BH46" s="4">
        <f t="shared" si="4"/>
        <v>834671697.06000006</v>
      </c>
    </row>
    <row r="47" spans="1:60" x14ac:dyDescent="0.2">
      <c r="A47" s="3">
        <v>44805</v>
      </c>
      <c r="B47" s="4">
        <v>37661778.740000002</v>
      </c>
      <c r="C47" s="4">
        <v>3283798.64</v>
      </c>
      <c r="D47" s="4">
        <v>18312910.230000004</v>
      </c>
      <c r="E47" s="4">
        <v>4915835.0599999996</v>
      </c>
      <c r="F47" s="4">
        <v>5790297.1000000006</v>
      </c>
      <c r="G47" s="4">
        <v>9234669.4899999984</v>
      </c>
      <c r="H47" s="4">
        <v>7846722.120000001</v>
      </c>
      <c r="I47" s="4">
        <v>3720885.1399999997</v>
      </c>
      <c r="J47" s="4">
        <v>8261874.7599999998</v>
      </c>
      <c r="K47" s="4">
        <v>8294950.6600000011</v>
      </c>
      <c r="L47" s="4">
        <v>4068110.24</v>
      </c>
      <c r="M47" s="4">
        <v>3502045.5300000003</v>
      </c>
      <c r="N47" s="4">
        <v>24645296.650000006</v>
      </c>
      <c r="O47" s="4">
        <v>103885747.37</v>
      </c>
      <c r="P47" s="4">
        <v>5180107.6899999995</v>
      </c>
      <c r="Q47" s="4">
        <v>3672573.6200000006</v>
      </c>
      <c r="R47" s="4">
        <v>3730430.93</v>
      </c>
      <c r="S47" s="4">
        <v>7479029.0800000001</v>
      </c>
      <c r="T47" s="4">
        <v>5276219.3900000006</v>
      </c>
      <c r="U47" s="4">
        <v>894043.27</v>
      </c>
      <c r="V47" s="4">
        <v>5544275.1299999999</v>
      </c>
      <c r="W47" s="4">
        <v>11489065.060000001</v>
      </c>
      <c r="X47" s="4">
        <v>3024506.76</v>
      </c>
      <c r="Y47" s="4">
        <v>4853485.71</v>
      </c>
      <c r="Z47" s="4">
        <v>4567253.6100000003</v>
      </c>
      <c r="AA47" s="4">
        <v>61120036.969999999</v>
      </c>
      <c r="AB47" s="4">
        <v>6318467.9299999997</v>
      </c>
      <c r="AC47" s="4">
        <v>154951765.30000001</v>
      </c>
      <c r="AD47" s="4">
        <v>15855086.27</v>
      </c>
      <c r="AE47" s="4">
        <v>19847758.590000004</v>
      </c>
      <c r="AF47" s="4">
        <v>48702432.82</v>
      </c>
      <c r="AG47" s="4">
        <v>13272114.800000001</v>
      </c>
      <c r="AH47" s="4">
        <v>41980167.460000001</v>
      </c>
      <c r="AI47" s="4">
        <v>2391237.73</v>
      </c>
      <c r="AJ47" s="4">
        <v>6859215.9700000007</v>
      </c>
      <c r="AK47" s="4">
        <v>6415670.1700000009</v>
      </c>
      <c r="AL47" s="4">
        <v>8459468.6999999993</v>
      </c>
      <c r="AM47" s="4">
        <v>14442764.33</v>
      </c>
      <c r="AN47" s="4">
        <v>28654430.629999995</v>
      </c>
      <c r="AO47" s="4">
        <v>10280900.17</v>
      </c>
      <c r="AP47" s="4">
        <v>15794987.649999999</v>
      </c>
      <c r="AQ47" s="4">
        <v>12022535.260000002</v>
      </c>
      <c r="AR47" s="4">
        <v>3266926.12</v>
      </c>
      <c r="AS47" s="4">
        <v>2247885.8600000003</v>
      </c>
      <c r="AT47" s="4">
        <v>3719278.7700000005</v>
      </c>
      <c r="AU47" s="4">
        <v>9853959.709999999</v>
      </c>
      <c r="AV47" s="4">
        <v>197421028.42000002</v>
      </c>
      <c r="AW47" s="4">
        <v>12271506.030000001</v>
      </c>
      <c r="AX47" s="4">
        <v>4035317.55</v>
      </c>
      <c r="AY47" s="4">
        <v>6932646.5800000001</v>
      </c>
      <c r="AZ47" s="4">
        <v>17782620.879999999</v>
      </c>
      <c r="BA47" s="4">
        <v>9207310.0299999993</v>
      </c>
      <c r="BB47" s="4">
        <v>3251766.49</v>
      </c>
      <c r="BC47" s="4">
        <v>5862362.6200000001</v>
      </c>
      <c r="BD47" s="4">
        <v>90092098.359999985</v>
      </c>
      <c r="BE47" s="4">
        <v>3480916.5199999996</v>
      </c>
      <c r="BF47" s="4">
        <v>2273694.8899999997</v>
      </c>
      <c r="BG47" s="4">
        <v>0</v>
      </c>
      <c r="BH47" s="4">
        <f t="shared" si="4"/>
        <v>1138204271.5600002</v>
      </c>
    </row>
    <row r="48" spans="1:60" x14ac:dyDescent="0.2">
      <c r="A48" s="3">
        <v>44835</v>
      </c>
      <c r="B48" s="4">
        <v>27261664.259999998</v>
      </c>
      <c r="C48" s="4">
        <v>2422842.9499999997</v>
      </c>
      <c r="D48" s="4">
        <v>13556205.91</v>
      </c>
      <c r="E48" s="4">
        <v>3872558.06</v>
      </c>
      <c r="F48" s="4">
        <v>3777921.9800000004</v>
      </c>
      <c r="G48" s="4">
        <v>6602718.9100000001</v>
      </c>
      <c r="H48" s="4">
        <v>5785086.3200000003</v>
      </c>
      <c r="I48" s="4">
        <v>1768170.4700000002</v>
      </c>
      <c r="J48" s="4">
        <v>5590950.0700000003</v>
      </c>
      <c r="K48" s="4">
        <v>4504936.05</v>
      </c>
      <c r="L48" s="4">
        <v>2911614.0300000003</v>
      </c>
      <c r="M48" s="4">
        <v>2313909.0499999998</v>
      </c>
      <c r="N48" s="4">
        <v>19033631.260000002</v>
      </c>
      <c r="O48" s="4">
        <v>77859787.170000017</v>
      </c>
      <c r="P48" s="4">
        <v>3256640.1000000006</v>
      </c>
      <c r="Q48" s="4">
        <v>2613504.37</v>
      </c>
      <c r="R48" s="4">
        <v>2149634.96</v>
      </c>
      <c r="S48" s="4">
        <v>3649718.6899999995</v>
      </c>
      <c r="T48" s="4">
        <v>3401921.71</v>
      </c>
      <c r="U48" s="4">
        <v>403243.05</v>
      </c>
      <c r="V48" s="4">
        <v>3138906.7400000007</v>
      </c>
      <c r="W48" s="4">
        <v>7698174.3999999985</v>
      </c>
      <c r="X48" s="4">
        <v>1233640.51</v>
      </c>
      <c r="Y48" s="4">
        <v>3363724.4299999997</v>
      </c>
      <c r="Z48" s="4">
        <v>2975659.37</v>
      </c>
      <c r="AA48" s="4">
        <v>48765482.950000003</v>
      </c>
      <c r="AB48" s="4">
        <v>3123960.0500000007</v>
      </c>
      <c r="AC48" s="4">
        <v>120493599.51000001</v>
      </c>
      <c r="AD48" s="4">
        <v>12841301.319999998</v>
      </c>
      <c r="AE48" s="4">
        <v>13919900.92</v>
      </c>
      <c r="AF48" s="4">
        <v>35541435.870000005</v>
      </c>
      <c r="AG48" s="4">
        <v>8598914.9600000009</v>
      </c>
      <c r="AH48" s="4">
        <v>30151562.27</v>
      </c>
      <c r="AI48" s="4">
        <v>1789720.3599999999</v>
      </c>
      <c r="AJ48" s="4">
        <v>4536611.7600000007</v>
      </c>
      <c r="AK48" s="4">
        <v>3816524.5199999996</v>
      </c>
      <c r="AL48" s="4">
        <v>6397047.6699999999</v>
      </c>
      <c r="AM48" s="4">
        <v>8989176.0899999999</v>
      </c>
      <c r="AN48" s="4">
        <v>23893304.849999998</v>
      </c>
      <c r="AO48" s="4">
        <v>6298175.1899999995</v>
      </c>
      <c r="AP48" s="4">
        <v>12652125.630000001</v>
      </c>
      <c r="AQ48" s="4">
        <v>9429248.1400000006</v>
      </c>
      <c r="AR48" s="4">
        <v>1598090.38</v>
      </c>
      <c r="AS48" s="4">
        <v>1159727.17</v>
      </c>
      <c r="AT48" s="4">
        <v>2461729.62</v>
      </c>
      <c r="AU48" s="4">
        <v>5393795.1400000006</v>
      </c>
      <c r="AV48" s="4">
        <v>147110415.33999997</v>
      </c>
      <c r="AW48" s="4">
        <v>4726068.21</v>
      </c>
      <c r="AX48" s="4">
        <v>2310600.83</v>
      </c>
      <c r="AY48" s="4">
        <v>5116466.96</v>
      </c>
      <c r="AZ48" s="4">
        <v>12370114.5</v>
      </c>
      <c r="BA48" s="4">
        <v>5206031.8499999996</v>
      </c>
      <c r="BB48" s="4">
        <v>2078214.8599999999</v>
      </c>
      <c r="BC48" s="4">
        <v>4647357.4800000004</v>
      </c>
      <c r="BD48" s="4">
        <v>70189500.939999998</v>
      </c>
      <c r="BE48" s="4">
        <v>1631850.65</v>
      </c>
      <c r="BF48" s="4">
        <v>3226821.4899999998</v>
      </c>
      <c r="BG48" s="4">
        <v>0</v>
      </c>
      <c r="BH48" s="4">
        <f t="shared" si="4"/>
        <v>831611642.30000007</v>
      </c>
    </row>
    <row r="49" spans="1:61" x14ac:dyDescent="0.2">
      <c r="A49" s="3">
        <v>44866</v>
      </c>
      <c r="B49" s="4">
        <v>27259033.560000006</v>
      </c>
      <c r="C49" s="4">
        <v>1988365.2300000002</v>
      </c>
      <c r="D49" s="4">
        <v>13319814.089999998</v>
      </c>
      <c r="E49" s="4">
        <v>3792067.2600000002</v>
      </c>
      <c r="F49" s="4">
        <v>3546835.5599999996</v>
      </c>
      <c r="G49" s="4">
        <v>6538683.1399999997</v>
      </c>
      <c r="H49" s="4">
        <v>5602699.4299999997</v>
      </c>
      <c r="I49" s="4">
        <v>2278525.0900000003</v>
      </c>
      <c r="J49" s="4">
        <v>5387041.9500000011</v>
      </c>
      <c r="K49" s="4">
        <v>4299365.4800000004</v>
      </c>
      <c r="L49" s="4">
        <v>2808554.14</v>
      </c>
      <c r="M49" s="4">
        <v>2295681.4499999997</v>
      </c>
      <c r="N49" s="4">
        <v>19043712.510000002</v>
      </c>
      <c r="O49" s="4">
        <v>79988960.459999993</v>
      </c>
      <c r="P49" s="4">
        <v>3052355.33</v>
      </c>
      <c r="Q49" s="4">
        <v>2366868.2800000003</v>
      </c>
      <c r="R49" s="4">
        <v>2072677.7999999998</v>
      </c>
      <c r="S49" s="4">
        <v>3649111.2199999997</v>
      </c>
      <c r="T49" s="4">
        <v>3295969.9299999997</v>
      </c>
      <c r="U49" s="4">
        <v>367555.05</v>
      </c>
      <c r="V49" s="4">
        <v>2908895.76</v>
      </c>
      <c r="W49" s="4">
        <v>7575783.9499999993</v>
      </c>
      <c r="X49" s="4">
        <v>1207049.94</v>
      </c>
      <c r="Y49" s="4">
        <v>3245594.06</v>
      </c>
      <c r="Z49" s="4">
        <v>2980672.46</v>
      </c>
      <c r="AA49" s="4">
        <v>49127034.969999999</v>
      </c>
      <c r="AB49" s="4">
        <v>3089843.73</v>
      </c>
      <c r="AC49" s="4">
        <v>119392943.46000001</v>
      </c>
      <c r="AD49" s="4">
        <v>12842229.530000001</v>
      </c>
      <c r="AE49" s="4">
        <v>13705880.550000001</v>
      </c>
      <c r="AF49" s="4">
        <v>35175914.600000001</v>
      </c>
      <c r="AG49" s="4">
        <v>8599792.3299999982</v>
      </c>
      <c r="AH49" s="4">
        <v>29636189.210000005</v>
      </c>
      <c r="AI49" s="4">
        <v>1685851.6199999999</v>
      </c>
      <c r="AJ49" s="4">
        <v>4467218.17</v>
      </c>
      <c r="AK49" s="4">
        <v>3567533.94</v>
      </c>
      <c r="AL49" s="4">
        <v>6265505.8200000003</v>
      </c>
      <c r="AM49" s="4">
        <v>8881305.3599999994</v>
      </c>
      <c r="AN49" s="4">
        <v>22031788.949999996</v>
      </c>
      <c r="AO49" s="4">
        <v>5515318.8300000001</v>
      </c>
      <c r="AP49" s="4">
        <v>12368030.210000001</v>
      </c>
      <c r="AQ49" s="4">
        <v>9305353.629999999</v>
      </c>
      <c r="AR49" s="4">
        <v>1562416.03</v>
      </c>
      <c r="AS49" s="4">
        <v>1116497.79</v>
      </c>
      <c r="AT49" s="4">
        <v>2443035.0499999998</v>
      </c>
      <c r="AU49" s="4">
        <v>5394900.3599999994</v>
      </c>
      <c r="AV49" s="4">
        <v>144805489.09</v>
      </c>
      <c r="AW49" s="4">
        <v>4854842.1900000004</v>
      </c>
      <c r="AX49" s="4">
        <v>2219511.85</v>
      </c>
      <c r="AY49" s="4">
        <v>5079205.1900000004</v>
      </c>
      <c r="AZ49" s="4">
        <v>12469962.66</v>
      </c>
      <c r="BA49" s="4">
        <v>5179510.76</v>
      </c>
      <c r="BB49" s="4">
        <v>1997946.38</v>
      </c>
      <c r="BC49" s="4">
        <v>4574350.82</v>
      </c>
      <c r="BD49" s="4">
        <v>69696002.180000007</v>
      </c>
      <c r="BE49" s="4">
        <v>1704103.19</v>
      </c>
      <c r="BF49" s="4">
        <v>1224964.58</v>
      </c>
      <c r="BG49" s="4">
        <v>0</v>
      </c>
      <c r="BH49" s="4">
        <f t="shared" si="4"/>
        <v>820852346.16000021</v>
      </c>
    </row>
    <row r="50" spans="1:61" x14ac:dyDescent="0.2">
      <c r="A50" s="3">
        <v>44896</v>
      </c>
      <c r="B50" s="4">
        <v>41708618.609999999</v>
      </c>
      <c r="C50" s="4">
        <v>3177356.4299999997</v>
      </c>
      <c r="D50" s="4">
        <v>18543346.66</v>
      </c>
      <c r="E50" s="4">
        <v>5237719.78</v>
      </c>
      <c r="F50" s="4">
        <v>4265595.8600000013</v>
      </c>
      <c r="G50" s="4">
        <v>9071276.7899999991</v>
      </c>
      <c r="H50" s="4">
        <v>7417105.2600000016</v>
      </c>
      <c r="I50" s="4">
        <v>3023965.02</v>
      </c>
      <c r="J50" s="4">
        <v>7828300.5899999999</v>
      </c>
      <c r="K50" s="4">
        <v>7174473.0600000005</v>
      </c>
      <c r="L50" s="4">
        <v>4359071.5</v>
      </c>
      <c r="M50" s="4">
        <v>3275236.540000001</v>
      </c>
      <c r="N50" s="4">
        <v>26491204.109999999</v>
      </c>
      <c r="O50" s="4">
        <v>96553532.439999998</v>
      </c>
      <c r="P50" s="4">
        <v>4135931.7199999993</v>
      </c>
      <c r="Q50" s="4">
        <v>3525980.5300000003</v>
      </c>
      <c r="R50" s="4">
        <v>2964018.05</v>
      </c>
      <c r="S50" s="4">
        <v>6577432.7699999996</v>
      </c>
      <c r="T50" s="4">
        <v>5031541.6000000006</v>
      </c>
      <c r="U50" s="4">
        <v>582325.25</v>
      </c>
      <c r="V50" s="4">
        <v>5103972.01</v>
      </c>
      <c r="W50" s="4">
        <v>9680094.459999999</v>
      </c>
      <c r="X50" s="4">
        <v>2104223.98</v>
      </c>
      <c r="Y50" s="4">
        <v>5109795.8599999994</v>
      </c>
      <c r="Z50" s="4">
        <v>3821395.1899999995</v>
      </c>
      <c r="AA50" s="4">
        <v>62753994.32</v>
      </c>
      <c r="AB50" s="4">
        <v>5824870.5099999998</v>
      </c>
      <c r="AC50" s="4">
        <v>148913112.59999999</v>
      </c>
      <c r="AD50" s="4">
        <v>15032916.039999999</v>
      </c>
      <c r="AE50" s="4">
        <v>19861681.259999998</v>
      </c>
      <c r="AF50" s="4">
        <v>46534575.25999999</v>
      </c>
      <c r="AG50" s="4">
        <v>11740486.010000002</v>
      </c>
      <c r="AH50" s="4">
        <v>35482573.230000004</v>
      </c>
      <c r="AI50" s="4">
        <v>2298988.75</v>
      </c>
      <c r="AJ50" s="4">
        <v>6447345.5099999998</v>
      </c>
      <c r="AK50" s="4">
        <v>5112538.46</v>
      </c>
      <c r="AL50" s="4">
        <v>8601578.7800000012</v>
      </c>
      <c r="AM50" s="4">
        <v>13341273.75</v>
      </c>
      <c r="AN50" s="4">
        <v>27117076.010000005</v>
      </c>
      <c r="AO50" s="4">
        <v>8932716.1399999987</v>
      </c>
      <c r="AP50" s="4">
        <v>15692284.18</v>
      </c>
      <c r="AQ50" s="4">
        <v>12919883.059999999</v>
      </c>
      <c r="AR50" s="4">
        <v>2356608.6599999992</v>
      </c>
      <c r="AS50" s="4">
        <v>1715821.48</v>
      </c>
      <c r="AT50" s="4">
        <v>3421005.0000000005</v>
      </c>
      <c r="AU50" s="4">
        <v>8826799.4600000009</v>
      </c>
      <c r="AV50" s="4">
        <v>176536521.61000001</v>
      </c>
      <c r="AW50" s="4">
        <v>6280738.0999999996</v>
      </c>
      <c r="AX50" s="4">
        <v>3363127.33</v>
      </c>
      <c r="AY50" s="4">
        <v>7029680.4800000004</v>
      </c>
      <c r="AZ50" s="4">
        <v>17061521.380000003</v>
      </c>
      <c r="BA50" s="4">
        <v>6174342.580000001</v>
      </c>
      <c r="BB50" s="4">
        <v>3029033</v>
      </c>
      <c r="BC50" s="4">
        <v>6062638.6099999994</v>
      </c>
      <c r="BD50" s="4">
        <v>89284018.409999996</v>
      </c>
      <c r="BE50" s="4">
        <v>2779914.94</v>
      </c>
      <c r="BF50" s="4">
        <v>3098999.0600000005</v>
      </c>
      <c r="BG50" s="4">
        <v>0</v>
      </c>
      <c r="BH50" s="4">
        <f t="shared" si="4"/>
        <v>1070392178.0400001</v>
      </c>
    </row>
    <row r="51" spans="1:61" ht="15.75" thickBot="1" x14ac:dyDescent="0.25">
      <c r="A51" s="7" t="s">
        <v>181</v>
      </c>
      <c r="B51" s="5">
        <f t="shared" ref="B51:AG51" si="5">SUM(B38:B50)</f>
        <v>356366046.72000003</v>
      </c>
      <c r="C51" s="5">
        <f t="shared" si="5"/>
        <v>29284038.710000001</v>
      </c>
      <c r="D51" s="5">
        <f t="shared" si="5"/>
        <v>175119139.45000002</v>
      </c>
      <c r="E51" s="5">
        <f t="shared" si="5"/>
        <v>50145506.160000004</v>
      </c>
      <c r="F51" s="5">
        <f t="shared" si="5"/>
        <v>48632942.530000001</v>
      </c>
      <c r="G51" s="5">
        <f t="shared" si="5"/>
        <v>88017669.329999983</v>
      </c>
      <c r="H51" s="5">
        <f t="shared" si="5"/>
        <v>73576264.469999999</v>
      </c>
      <c r="I51" s="5">
        <f t="shared" si="5"/>
        <v>30368096.16</v>
      </c>
      <c r="J51" s="5">
        <f t="shared" si="5"/>
        <v>72063331.63000001</v>
      </c>
      <c r="K51" s="5">
        <f t="shared" si="5"/>
        <v>62019819.030000001</v>
      </c>
      <c r="L51" s="5">
        <f t="shared" si="5"/>
        <v>39242268.400000006</v>
      </c>
      <c r="M51" s="5">
        <f t="shared" si="5"/>
        <v>31286487.560000002</v>
      </c>
      <c r="N51" s="5">
        <f t="shared" si="5"/>
        <v>253885140.19999993</v>
      </c>
      <c r="O51" s="5">
        <f t="shared" si="5"/>
        <v>1009946149.46</v>
      </c>
      <c r="P51" s="5">
        <f t="shared" si="5"/>
        <v>40985539.279999994</v>
      </c>
      <c r="Q51" s="5">
        <f t="shared" si="5"/>
        <v>32614426.580000002</v>
      </c>
      <c r="R51" s="5">
        <f t="shared" si="5"/>
        <v>28932786.060000002</v>
      </c>
      <c r="S51" s="5">
        <f t="shared" si="5"/>
        <v>54867207.479999989</v>
      </c>
      <c r="T51" s="5">
        <f t="shared" si="5"/>
        <v>45986298.130000003</v>
      </c>
      <c r="U51" s="5">
        <f t="shared" si="5"/>
        <v>5290401.08</v>
      </c>
      <c r="V51" s="5">
        <f t="shared" si="5"/>
        <v>42963165.929999992</v>
      </c>
      <c r="W51" s="5">
        <f t="shared" si="5"/>
        <v>100957780.00999999</v>
      </c>
      <c r="X51" s="5">
        <f t="shared" si="5"/>
        <v>18334896.099999998</v>
      </c>
      <c r="Y51" s="5">
        <f t="shared" si="5"/>
        <v>44790467.880000003</v>
      </c>
      <c r="Z51" s="5">
        <f t="shared" si="5"/>
        <v>39395667.039999999</v>
      </c>
      <c r="AA51" s="5">
        <f t="shared" si="5"/>
        <v>629543851.75999999</v>
      </c>
      <c r="AB51" s="5">
        <f t="shared" si="5"/>
        <v>46519749.859999999</v>
      </c>
      <c r="AC51" s="5">
        <f t="shared" si="5"/>
        <v>1534755342.4899998</v>
      </c>
      <c r="AD51" s="5">
        <f t="shared" si="5"/>
        <v>158665936.19999999</v>
      </c>
      <c r="AE51" s="5">
        <f t="shared" si="5"/>
        <v>186418486.10999998</v>
      </c>
      <c r="AF51" s="5">
        <f t="shared" si="5"/>
        <v>456635961.26999998</v>
      </c>
      <c r="AG51" s="5">
        <f t="shared" si="5"/>
        <v>112889615.58000001</v>
      </c>
      <c r="AH51" s="5">
        <f t="shared" ref="AH51:BH51" si="6">SUM(AH38:AH50)</f>
        <v>379867961.13</v>
      </c>
      <c r="AI51" s="5">
        <f t="shared" si="6"/>
        <v>22464675.790000003</v>
      </c>
      <c r="AJ51" s="5">
        <f t="shared" si="6"/>
        <v>61436231.559999995</v>
      </c>
      <c r="AK51" s="5">
        <f t="shared" si="6"/>
        <v>48465523.43</v>
      </c>
      <c r="AL51" s="5">
        <f t="shared" si="6"/>
        <v>82092786.210000008</v>
      </c>
      <c r="AM51" s="5">
        <f t="shared" si="6"/>
        <v>121295415.74000001</v>
      </c>
      <c r="AN51" s="5">
        <f t="shared" si="6"/>
        <v>289491894.97999996</v>
      </c>
      <c r="AO51" s="5">
        <f t="shared" si="6"/>
        <v>80288433.850000009</v>
      </c>
      <c r="AP51" s="5">
        <f t="shared" si="6"/>
        <v>160325509.63</v>
      </c>
      <c r="AQ51" s="5">
        <f t="shared" si="6"/>
        <v>126198188.59</v>
      </c>
      <c r="AR51" s="5">
        <f t="shared" si="6"/>
        <v>22157050.490000002</v>
      </c>
      <c r="AS51" s="5">
        <f t="shared" si="6"/>
        <v>14987776.550000001</v>
      </c>
      <c r="AT51" s="5">
        <f t="shared" si="6"/>
        <v>32293658.650000002</v>
      </c>
      <c r="AU51" s="5">
        <f t="shared" si="6"/>
        <v>76457787.810000002</v>
      </c>
      <c r="AV51" s="5">
        <f t="shared" si="6"/>
        <v>1911282290.9400001</v>
      </c>
      <c r="AW51" s="5">
        <f t="shared" si="6"/>
        <v>70456428.400000006</v>
      </c>
      <c r="AX51" s="5">
        <f t="shared" si="6"/>
        <v>31806545.259999998</v>
      </c>
      <c r="AY51" s="5">
        <f t="shared" si="6"/>
        <v>65442513.099999994</v>
      </c>
      <c r="AZ51" s="5">
        <f t="shared" si="6"/>
        <v>165136596.22999999</v>
      </c>
      <c r="BA51" s="5">
        <f t="shared" si="6"/>
        <v>70556458.969999999</v>
      </c>
      <c r="BB51" s="5">
        <f t="shared" si="6"/>
        <v>27849837.34</v>
      </c>
      <c r="BC51" s="5">
        <f t="shared" si="6"/>
        <v>60662057.999999993</v>
      </c>
      <c r="BD51" s="5">
        <f t="shared" si="6"/>
        <v>889186330.80000007</v>
      </c>
      <c r="BE51" s="5">
        <f t="shared" si="6"/>
        <v>24773128.210000001</v>
      </c>
      <c r="BF51" s="5">
        <f t="shared" si="6"/>
        <v>21790119.009999998</v>
      </c>
      <c r="BG51" s="5">
        <f t="shared" si="6"/>
        <v>0</v>
      </c>
      <c r="BH51" s="5">
        <f t="shared" si="6"/>
        <v>10757265679.320002</v>
      </c>
    </row>
    <row r="52" spans="1:61" ht="15.75" thickTop="1" x14ac:dyDescent="0.2"/>
    <row r="53" spans="1:61" x14ac:dyDescent="0.2">
      <c r="A53" s="3">
        <v>44197</v>
      </c>
      <c r="B53" s="4">
        <v>22517415</v>
      </c>
      <c r="C53" s="4">
        <v>1774329.5899999999</v>
      </c>
      <c r="D53" s="4">
        <v>11741968.779999999</v>
      </c>
      <c r="E53" s="4">
        <v>3137419.89</v>
      </c>
      <c r="F53" s="4">
        <v>3039061.99</v>
      </c>
      <c r="G53" s="4">
        <v>5192827.87</v>
      </c>
      <c r="H53" s="4">
        <v>5026287.03</v>
      </c>
      <c r="I53" s="4">
        <v>1917103.3800000001</v>
      </c>
      <c r="J53" s="4">
        <v>4808636.5299999993</v>
      </c>
      <c r="K53" s="4">
        <v>3279961.84</v>
      </c>
      <c r="L53" s="4">
        <v>2441365.1399999997</v>
      </c>
      <c r="M53" s="4">
        <v>1679788.26</v>
      </c>
      <c r="N53" s="4">
        <v>15903205.530000001</v>
      </c>
      <c r="O53" s="4">
        <v>66031350.219999999</v>
      </c>
      <c r="P53" s="4">
        <v>2393281.2599999998</v>
      </c>
      <c r="Q53" s="4">
        <v>1943167.13</v>
      </c>
      <c r="R53" s="4">
        <v>1651809.73</v>
      </c>
      <c r="S53" s="4">
        <v>3040042.5300000003</v>
      </c>
      <c r="T53" s="4">
        <v>2715507.26</v>
      </c>
      <c r="U53" s="4">
        <v>227242.57</v>
      </c>
      <c r="V53" s="4">
        <v>2497236.4900000002</v>
      </c>
      <c r="W53" s="4">
        <v>5845750.1500000004</v>
      </c>
      <c r="X53" s="4">
        <v>883474.76</v>
      </c>
      <c r="Y53" s="4">
        <v>2577242.7599999998</v>
      </c>
      <c r="Z53" s="4">
        <v>2259054.9699999997</v>
      </c>
      <c r="AA53" s="4">
        <v>41597425.710000001</v>
      </c>
      <c r="AB53" s="4">
        <v>2573666.98</v>
      </c>
      <c r="AC53" s="4">
        <v>101985994.50999999</v>
      </c>
      <c r="AD53" s="4">
        <v>10155379.970000001</v>
      </c>
      <c r="AE53" s="4">
        <v>11700210.939999999</v>
      </c>
      <c r="AF53" s="4">
        <v>31177241.729999997</v>
      </c>
      <c r="AG53" s="4">
        <v>6904460.209999999</v>
      </c>
      <c r="AH53" s="4">
        <v>23641044.760000002</v>
      </c>
      <c r="AI53" s="4">
        <v>1368946.2300000002</v>
      </c>
      <c r="AJ53" s="4">
        <v>3889108.6799999997</v>
      </c>
      <c r="AK53" s="4">
        <v>2731797.3000000003</v>
      </c>
      <c r="AL53" s="4">
        <v>5205573.8499999996</v>
      </c>
      <c r="AM53" s="4">
        <v>7559686.5999999996</v>
      </c>
      <c r="AN53" s="4">
        <v>19480067.82</v>
      </c>
      <c r="AO53" s="4">
        <v>4717204.79</v>
      </c>
      <c r="AP53" s="4">
        <v>10141456.1</v>
      </c>
      <c r="AQ53" s="4">
        <v>8455174.7100000009</v>
      </c>
      <c r="AR53" s="4">
        <v>1125074.69</v>
      </c>
      <c r="AS53" s="4">
        <v>730955.17</v>
      </c>
      <c r="AT53" s="4">
        <v>1933349.42</v>
      </c>
      <c r="AU53" s="4">
        <v>4402939.42</v>
      </c>
      <c r="AV53" s="4">
        <v>116288542.22</v>
      </c>
      <c r="AW53" s="4">
        <v>3605907.86</v>
      </c>
      <c r="AX53" s="4">
        <v>1991346.15</v>
      </c>
      <c r="AY53" s="4">
        <v>4144598.8899999992</v>
      </c>
      <c r="AZ53" s="4">
        <v>9673398.0600000005</v>
      </c>
      <c r="BA53" s="4">
        <v>3834707.0100000002</v>
      </c>
      <c r="BB53" s="4">
        <v>1674520.25</v>
      </c>
      <c r="BC53" s="4">
        <v>3700805.1199999996</v>
      </c>
      <c r="BD53" s="4">
        <v>60726526.910000004</v>
      </c>
      <c r="BE53" s="4">
        <v>1320883.0000000002</v>
      </c>
      <c r="BF53" s="4">
        <v>864736.92999999993</v>
      </c>
      <c r="BG53" s="4">
        <v>0</v>
      </c>
      <c r="BH53" s="4">
        <f>SUM(B53:BG53)</f>
        <v>683827262.64999998</v>
      </c>
    </row>
    <row r="54" spans="1:61" x14ac:dyDescent="0.2">
      <c r="A54" s="3">
        <v>44228</v>
      </c>
      <c r="B54" s="4">
        <v>19038398.860000003</v>
      </c>
      <c r="C54" s="4">
        <v>1474926.13</v>
      </c>
      <c r="D54" s="4">
        <v>10279720.489999998</v>
      </c>
      <c r="E54" s="4">
        <v>2687988.84</v>
      </c>
      <c r="F54" s="4">
        <v>2496698.5999999996</v>
      </c>
      <c r="G54" s="4">
        <v>4184667.95</v>
      </c>
      <c r="H54" s="4">
        <v>4351168.63</v>
      </c>
      <c r="I54" s="4">
        <v>1665623.95</v>
      </c>
      <c r="J54" s="4">
        <v>3822094.9300000006</v>
      </c>
      <c r="K54" s="4">
        <v>2761665.91</v>
      </c>
      <c r="L54" s="4">
        <v>2134812.37</v>
      </c>
      <c r="M54" s="4">
        <v>1415266.7</v>
      </c>
      <c r="N54" s="4">
        <v>13535562.559999999</v>
      </c>
      <c r="O54" s="4">
        <v>55050858.300000004</v>
      </c>
      <c r="P54" s="4">
        <v>1999107.05</v>
      </c>
      <c r="Q54" s="4">
        <v>1569239.2600000002</v>
      </c>
      <c r="R54" s="4">
        <v>1408840.74</v>
      </c>
      <c r="S54" s="4">
        <v>2573865.94</v>
      </c>
      <c r="T54" s="4">
        <v>2368352.4900000002</v>
      </c>
      <c r="U54" s="4">
        <v>199426.04000000004</v>
      </c>
      <c r="V54" s="4">
        <v>2216472.0100000002</v>
      </c>
      <c r="W54" s="4">
        <v>4923193.55</v>
      </c>
      <c r="X54" s="4">
        <v>607624.75000000012</v>
      </c>
      <c r="Y54" s="4">
        <v>2158062.13</v>
      </c>
      <c r="Z54" s="4">
        <v>1897422.5499999998</v>
      </c>
      <c r="AA54" s="4">
        <v>31350537.93</v>
      </c>
      <c r="AB54" s="4">
        <v>2178018.7999999998</v>
      </c>
      <c r="AC54" s="4">
        <v>87286731.74000001</v>
      </c>
      <c r="AD54" s="4">
        <v>8540347.629999999</v>
      </c>
      <c r="AE54" s="4">
        <v>9910413.5399999991</v>
      </c>
      <c r="AF54" s="4">
        <v>25435327.469999999</v>
      </c>
      <c r="AG54" s="4">
        <v>5973550.8300000001</v>
      </c>
      <c r="AH54" s="4">
        <v>20474208.379999999</v>
      </c>
      <c r="AI54" s="4">
        <v>1174510.1399999999</v>
      </c>
      <c r="AJ54" s="4">
        <v>3042221.81</v>
      </c>
      <c r="AK54" s="4">
        <v>2384430.62</v>
      </c>
      <c r="AL54" s="4">
        <v>4483277.43</v>
      </c>
      <c r="AM54" s="4">
        <v>6350013.1799999997</v>
      </c>
      <c r="AN54" s="4">
        <v>16675585.43</v>
      </c>
      <c r="AO54" s="4">
        <v>4208093.62</v>
      </c>
      <c r="AP54" s="4">
        <v>8709928.0399999991</v>
      </c>
      <c r="AQ54" s="4">
        <v>7014801.1899999995</v>
      </c>
      <c r="AR54" s="4">
        <v>965009.17999999993</v>
      </c>
      <c r="AS54" s="4">
        <v>636156.78</v>
      </c>
      <c r="AT54" s="4">
        <v>1670452.94</v>
      </c>
      <c r="AU54" s="4">
        <v>3741535.98</v>
      </c>
      <c r="AV54" s="4">
        <v>99316983.850000009</v>
      </c>
      <c r="AW54" s="4">
        <v>3091309.33</v>
      </c>
      <c r="AX54" s="4">
        <v>1685149.7599999998</v>
      </c>
      <c r="AY54" s="4">
        <v>3478783.13</v>
      </c>
      <c r="AZ54" s="4">
        <v>8022442.4699999988</v>
      </c>
      <c r="BA54" s="4">
        <v>3108052.01</v>
      </c>
      <c r="BB54" s="4">
        <v>1530776.2000000002</v>
      </c>
      <c r="BC54" s="4">
        <v>3187654.73</v>
      </c>
      <c r="BD54" s="4">
        <v>50614261.229999997</v>
      </c>
      <c r="BE54" s="4">
        <v>1074853.8900000001</v>
      </c>
      <c r="BF54" s="4">
        <v>777732.04</v>
      </c>
      <c r="BG54" s="4">
        <v>0</v>
      </c>
      <c r="BH54" s="4">
        <f t="shared" ref="BH54:BH64" si="7">SUM(B54:BG54)</f>
        <v>574914212.02999997</v>
      </c>
      <c r="BI54" s="4"/>
    </row>
    <row r="55" spans="1:61" x14ac:dyDescent="0.2">
      <c r="A55" s="3">
        <v>44256</v>
      </c>
      <c r="B55" s="4">
        <v>26771578.619999997</v>
      </c>
      <c r="C55" s="4">
        <v>2841274.1199999992</v>
      </c>
      <c r="D55" s="4">
        <v>13747322.68</v>
      </c>
      <c r="E55" s="4">
        <v>4966638.3499999996</v>
      </c>
      <c r="F55" s="4">
        <v>4661447.540000001</v>
      </c>
      <c r="G55" s="4">
        <v>8342273.1800000006</v>
      </c>
      <c r="H55" s="4">
        <v>6150045.6999999993</v>
      </c>
      <c r="I55" s="4">
        <v>2736773.98</v>
      </c>
      <c r="J55" s="4">
        <v>6220218.9399999995</v>
      </c>
      <c r="K55" s="4">
        <v>5780672.8399999999</v>
      </c>
      <c r="L55" s="4">
        <v>3557703.29</v>
      </c>
      <c r="M55" s="4">
        <v>3216766.92</v>
      </c>
      <c r="N55" s="4">
        <v>26626870.799999997</v>
      </c>
      <c r="O55" s="4">
        <v>83939173.859999999</v>
      </c>
      <c r="P55" s="4">
        <v>3456243.52</v>
      </c>
      <c r="Q55" s="4">
        <v>3071540.8499999996</v>
      </c>
      <c r="R55" s="4">
        <v>2766586.28</v>
      </c>
      <c r="S55" s="4">
        <v>4848011.6000000006</v>
      </c>
      <c r="T55" s="4">
        <v>4547135.0599999996</v>
      </c>
      <c r="U55" s="4">
        <v>434622.27</v>
      </c>
      <c r="V55" s="4">
        <v>4007460.9099999997</v>
      </c>
      <c r="W55" s="4">
        <v>9518887.3000000007</v>
      </c>
      <c r="X55" s="4">
        <v>1880847.93</v>
      </c>
      <c r="Y55" s="4">
        <v>4217071.1900000004</v>
      </c>
      <c r="Z55" s="4">
        <v>3859408.3500000006</v>
      </c>
      <c r="AA55" s="4">
        <v>55717694.580000006</v>
      </c>
      <c r="AB55" s="4">
        <v>4206368.6400000006</v>
      </c>
      <c r="AC55" s="4">
        <v>127519930.36</v>
      </c>
      <c r="AD55" s="4">
        <v>13107957.890000001</v>
      </c>
      <c r="AE55" s="4">
        <v>16596490.599999998</v>
      </c>
      <c r="AF55" s="4">
        <v>38255339.540000007</v>
      </c>
      <c r="AG55" s="4">
        <v>9234640.0999999996</v>
      </c>
      <c r="AH55" s="4">
        <v>30490060.840000004</v>
      </c>
      <c r="AI55" s="4">
        <v>2371138.2400000002</v>
      </c>
      <c r="AJ55" s="4">
        <v>4625828.9000000004</v>
      </c>
      <c r="AK55" s="4">
        <v>4143376.0000000009</v>
      </c>
      <c r="AL55" s="4">
        <v>8065989.2399999993</v>
      </c>
      <c r="AM55" s="4">
        <v>10137547.790000001</v>
      </c>
      <c r="AN55" s="4">
        <v>25255939.350000005</v>
      </c>
      <c r="AO55" s="4">
        <v>6948252.9900000012</v>
      </c>
      <c r="AP55" s="4">
        <v>14024979.74</v>
      </c>
      <c r="AQ55" s="4">
        <v>11983299.209999997</v>
      </c>
      <c r="AR55" s="4">
        <v>2109261.9800000004</v>
      </c>
      <c r="AS55" s="4">
        <v>989754.33000000007</v>
      </c>
      <c r="AT55" s="4">
        <v>2920331.89</v>
      </c>
      <c r="AU55" s="4">
        <v>6224048.5399999991</v>
      </c>
      <c r="AV55" s="4">
        <v>171773006.69</v>
      </c>
      <c r="AW55" s="4">
        <v>6836853.8600000003</v>
      </c>
      <c r="AX55" s="4">
        <v>2647130.7499999995</v>
      </c>
      <c r="AY55" s="4">
        <v>5460647.7200000007</v>
      </c>
      <c r="AZ55" s="4">
        <v>14834352.489999998</v>
      </c>
      <c r="BA55" s="4">
        <v>5063908.4000000004</v>
      </c>
      <c r="BB55" s="4">
        <v>2783350.59</v>
      </c>
      <c r="BC55" s="4">
        <v>6039760.8399999989</v>
      </c>
      <c r="BD55" s="4">
        <v>73726656.930000007</v>
      </c>
      <c r="BE55" s="4">
        <v>2424782.3099999996</v>
      </c>
      <c r="BF55" s="4">
        <v>1808272.4899999998</v>
      </c>
      <c r="BG55" s="4">
        <v>0</v>
      </c>
      <c r="BH55" s="4">
        <f t="shared" si="7"/>
        <v>930493529.90000033</v>
      </c>
      <c r="BI55" s="4"/>
    </row>
    <row r="56" spans="1:61" x14ac:dyDescent="0.2">
      <c r="A56" s="3">
        <v>44287</v>
      </c>
      <c r="B56" s="4">
        <v>23269815.170000002</v>
      </c>
      <c r="C56" s="4">
        <v>1868771.17</v>
      </c>
      <c r="D56" s="4">
        <v>11809968.640000001</v>
      </c>
      <c r="E56" s="4">
        <v>3121122.6500000004</v>
      </c>
      <c r="F56" s="4">
        <v>3528021.0999999996</v>
      </c>
      <c r="G56" s="4">
        <v>5912059.209999999</v>
      </c>
      <c r="H56" s="4">
        <v>4972132.84</v>
      </c>
      <c r="I56" s="4">
        <v>2152180.83</v>
      </c>
      <c r="J56" s="4">
        <v>4800462.0499999989</v>
      </c>
      <c r="K56" s="4">
        <v>3603967.6800000006</v>
      </c>
      <c r="L56" s="4">
        <v>2671654.8600000003</v>
      </c>
      <c r="M56" s="4">
        <v>1937260.78</v>
      </c>
      <c r="N56" s="4">
        <v>16483641.529999999</v>
      </c>
      <c r="O56" s="4">
        <v>67289334.070000008</v>
      </c>
      <c r="P56" s="4">
        <v>2325319.61</v>
      </c>
      <c r="Q56" s="4">
        <v>2071106.25</v>
      </c>
      <c r="R56" s="4">
        <v>1879800.04</v>
      </c>
      <c r="S56" s="4">
        <v>3411982.71</v>
      </c>
      <c r="T56" s="4">
        <v>2962409.81</v>
      </c>
      <c r="U56" s="4">
        <v>263177.65999999997</v>
      </c>
      <c r="V56" s="4">
        <v>2770074.23</v>
      </c>
      <c r="W56" s="4">
        <v>6825332.2399999993</v>
      </c>
      <c r="X56" s="4">
        <v>1078439.83</v>
      </c>
      <c r="Y56" s="4">
        <v>2831989.88</v>
      </c>
      <c r="Z56" s="4">
        <v>2564025.09</v>
      </c>
      <c r="AA56" s="4">
        <v>44207067.280000001</v>
      </c>
      <c r="AB56" s="4">
        <v>2777410.6800000006</v>
      </c>
      <c r="AC56" s="4">
        <v>98138540.739999995</v>
      </c>
      <c r="AD56" s="4">
        <v>10678367.830000002</v>
      </c>
      <c r="AE56" s="4">
        <v>12579435.819999998</v>
      </c>
      <c r="AF56" s="4">
        <v>32592643.159999996</v>
      </c>
      <c r="AG56" s="4">
        <v>7139924.8899999987</v>
      </c>
      <c r="AH56" s="4">
        <v>23984499.59</v>
      </c>
      <c r="AI56" s="4">
        <v>1551732.88</v>
      </c>
      <c r="AJ56" s="4">
        <v>2409953.04</v>
      </c>
      <c r="AK56" s="4">
        <v>3068859.51</v>
      </c>
      <c r="AL56" s="4">
        <v>5393263.3100000005</v>
      </c>
      <c r="AM56" s="4">
        <v>8252622.2300000004</v>
      </c>
      <c r="AN56" s="4">
        <v>18614535.319999997</v>
      </c>
      <c r="AO56" s="4">
        <v>5425274.6399999997</v>
      </c>
      <c r="AP56" s="4">
        <v>11548227.300000001</v>
      </c>
      <c r="AQ56" s="4">
        <v>12407824.739999998</v>
      </c>
      <c r="AR56" s="4">
        <v>1288880.4700000002</v>
      </c>
      <c r="AS56" s="4">
        <v>728922.78</v>
      </c>
      <c r="AT56" s="4">
        <v>2166555.27</v>
      </c>
      <c r="AU56" s="4">
        <v>4816052.3099999996</v>
      </c>
      <c r="AV56" s="4">
        <v>123161126.62</v>
      </c>
      <c r="AW56" s="4">
        <v>4084487.98</v>
      </c>
      <c r="AX56" s="4">
        <v>1978628.27</v>
      </c>
      <c r="AY56" s="4">
        <v>4545764.51</v>
      </c>
      <c r="AZ56" s="4">
        <v>10357198.419999998</v>
      </c>
      <c r="BA56" s="4">
        <v>4198614.04</v>
      </c>
      <c r="BB56" s="4">
        <v>1890748.4199999997</v>
      </c>
      <c r="BC56" s="4">
        <v>4189578.4099999997</v>
      </c>
      <c r="BD56" s="4">
        <v>57884644.670000002</v>
      </c>
      <c r="BE56" s="4">
        <v>1509852.84</v>
      </c>
      <c r="BF56" s="4">
        <v>1038972.19</v>
      </c>
      <c r="BG56" s="4">
        <v>0</v>
      </c>
      <c r="BH56" s="4">
        <f t="shared" si="7"/>
        <v>707014260.08999991</v>
      </c>
      <c r="BI56" s="4"/>
    </row>
    <row r="57" spans="1:61" x14ac:dyDescent="0.2">
      <c r="A57" s="3">
        <v>44317</v>
      </c>
      <c r="B57" s="4">
        <v>22982365.839999996</v>
      </c>
      <c r="C57" s="4">
        <v>1894962.7100000002</v>
      </c>
      <c r="D57" s="4">
        <v>11771948.239999998</v>
      </c>
      <c r="E57" s="4">
        <v>3264554.9</v>
      </c>
      <c r="F57" s="4">
        <v>3357537.9100000006</v>
      </c>
      <c r="G57" s="4">
        <v>6117186.1900000004</v>
      </c>
      <c r="H57" s="4">
        <v>5120492.37</v>
      </c>
      <c r="I57" s="4">
        <v>2098247.9300000002</v>
      </c>
      <c r="J57" s="4">
        <v>4939071.3499999996</v>
      </c>
      <c r="K57" s="4">
        <v>3673883.64</v>
      </c>
      <c r="L57" s="4">
        <v>2854506.4899999998</v>
      </c>
      <c r="M57" s="4">
        <v>1889710.4700000002</v>
      </c>
      <c r="N57" s="4">
        <v>17238776.400000002</v>
      </c>
      <c r="O57" s="4">
        <v>66137156.960000008</v>
      </c>
      <c r="P57" s="4">
        <v>2379283.5</v>
      </c>
      <c r="Q57" s="4">
        <v>2113613.4699999997</v>
      </c>
      <c r="R57" s="4">
        <v>1864211.0100000002</v>
      </c>
      <c r="S57" s="4">
        <v>3549728.8499999996</v>
      </c>
      <c r="T57" s="4">
        <v>2774831.0500000007</v>
      </c>
      <c r="U57" s="4">
        <v>254004.01</v>
      </c>
      <c r="V57" s="4">
        <v>2731805.76</v>
      </c>
      <c r="W57" s="4">
        <v>6778992.6500000004</v>
      </c>
      <c r="X57" s="4">
        <v>1098611.67</v>
      </c>
      <c r="Y57" s="4">
        <v>2840820.26</v>
      </c>
      <c r="Z57" s="4">
        <v>2547652.2400000002</v>
      </c>
      <c r="AA57" s="4">
        <v>43202002.890000001</v>
      </c>
      <c r="AB57" s="4">
        <v>2778854.03</v>
      </c>
      <c r="AC57" s="4">
        <v>98054212.110000014</v>
      </c>
      <c r="AD57" s="4">
        <v>10804303.010000002</v>
      </c>
      <c r="AE57" s="4">
        <v>12507924.15</v>
      </c>
      <c r="AF57" s="4">
        <v>32270641.660000004</v>
      </c>
      <c r="AG57" s="4">
        <v>7102319.6300000008</v>
      </c>
      <c r="AH57" s="4">
        <v>23924536.560000002</v>
      </c>
      <c r="AI57" s="4">
        <v>1550951.77</v>
      </c>
      <c r="AJ57" s="4">
        <v>4326481.05</v>
      </c>
      <c r="AK57" s="4">
        <v>3067473.0100000007</v>
      </c>
      <c r="AL57" s="4">
        <v>5345296.1100000013</v>
      </c>
      <c r="AM57" s="4">
        <v>8343468.4600000009</v>
      </c>
      <c r="AN57" s="4">
        <v>19044217.079999998</v>
      </c>
      <c r="AO57" s="4">
        <v>5357635.3199999994</v>
      </c>
      <c r="AP57" s="4">
        <v>10911860.619999999</v>
      </c>
      <c r="AQ57" s="4">
        <v>8716395.6999999993</v>
      </c>
      <c r="AR57" s="4">
        <v>1315815.1399999999</v>
      </c>
      <c r="AS57" s="4">
        <v>845945.60000000009</v>
      </c>
      <c r="AT57" s="4">
        <v>2274753.37</v>
      </c>
      <c r="AU57" s="4">
        <v>4931848.43</v>
      </c>
      <c r="AV57" s="4">
        <v>121085267.82000001</v>
      </c>
      <c r="AW57" s="4">
        <v>4061552.38</v>
      </c>
      <c r="AX57" s="4">
        <v>2072025.42</v>
      </c>
      <c r="AY57" s="4">
        <v>4457510.07</v>
      </c>
      <c r="AZ57" s="4">
        <v>10175285.09</v>
      </c>
      <c r="BA57" s="4">
        <v>4140171.21</v>
      </c>
      <c r="BB57" s="4">
        <v>1902274.1199999999</v>
      </c>
      <c r="BC57" s="4">
        <v>4190237.1500000004</v>
      </c>
      <c r="BD57" s="4">
        <v>56300243.029999994</v>
      </c>
      <c r="BE57" s="4">
        <v>1530253.46</v>
      </c>
      <c r="BF57" s="4">
        <v>1002684.2200000001</v>
      </c>
      <c r="BG57" s="4">
        <v>0</v>
      </c>
      <c r="BH57" s="4">
        <f t="shared" si="7"/>
        <v>699868395.54000008</v>
      </c>
      <c r="BI57" s="4"/>
    </row>
    <row r="58" spans="1:61" x14ac:dyDescent="0.2">
      <c r="A58" s="3">
        <v>44348</v>
      </c>
      <c r="B58" s="4">
        <v>35708437.199999996</v>
      </c>
      <c r="C58" s="4">
        <v>3673799.4400000004</v>
      </c>
      <c r="D58" s="4">
        <v>19718396.399999999</v>
      </c>
      <c r="E58" s="4">
        <v>6185615.9500000002</v>
      </c>
      <c r="F58" s="4">
        <v>5781522.6700000009</v>
      </c>
      <c r="G58" s="4">
        <v>11001207.1</v>
      </c>
      <c r="H58" s="4">
        <v>8801263.8000000007</v>
      </c>
      <c r="I58" s="4">
        <v>3800974.17</v>
      </c>
      <c r="J58" s="4">
        <v>7975471.8399999999</v>
      </c>
      <c r="K58" s="4">
        <v>7358312.7199999997</v>
      </c>
      <c r="L58" s="4">
        <v>4438894.75</v>
      </c>
      <c r="M58" s="4">
        <v>3855740.1899999995</v>
      </c>
      <c r="N58" s="4">
        <v>29117547.439999998</v>
      </c>
      <c r="O58" s="4">
        <v>113415300.69</v>
      </c>
      <c r="P58" s="4">
        <v>4525737.8299999991</v>
      </c>
      <c r="Q58" s="4">
        <v>3909190.1799999997</v>
      </c>
      <c r="R58" s="4">
        <v>3490459.5700000003</v>
      </c>
      <c r="S58" s="4">
        <v>6241829.1399999987</v>
      </c>
      <c r="T58" s="4">
        <v>5486140.5</v>
      </c>
      <c r="U58" s="4">
        <v>539972.41</v>
      </c>
      <c r="V58" s="4">
        <v>5250542.5199999996</v>
      </c>
      <c r="W58" s="4">
        <v>13102139.680000002</v>
      </c>
      <c r="X58" s="4">
        <v>2162924.0099999998</v>
      </c>
      <c r="Y58" s="4">
        <v>5624112.169999999</v>
      </c>
      <c r="Z58" s="4">
        <v>4979047.75</v>
      </c>
      <c r="AA58" s="4">
        <v>70933427.25999999</v>
      </c>
      <c r="AB58" s="4">
        <v>5544939.0600000005</v>
      </c>
      <c r="AC58" s="4">
        <v>168461072.95000002</v>
      </c>
      <c r="AD58" s="4">
        <v>18089650.539999999</v>
      </c>
      <c r="AE58" s="4">
        <v>21921349.980000004</v>
      </c>
      <c r="AF58" s="4">
        <v>51264882.180000007</v>
      </c>
      <c r="AG58" s="4">
        <v>12687351.199999999</v>
      </c>
      <c r="AH58" s="4">
        <v>41342763.150000006</v>
      </c>
      <c r="AI58" s="4">
        <v>2738062.5299999993</v>
      </c>
      <c r="AJ58" s="4">
        <v>7184999.7700000014</v>
      </c>
      <c r="AK58" s="4">
        <v>5742457.2000000002</v>
      </c>
      <c r="AL58" s="4">
        <v>9419630.4800000004</v>
      </c>
      <c r="AM58" s="4">
        <v>12205715.649999999</v>
      </c>
      <c r="AN58" s="4">
        <v>30406685.330000006</v>
      </c>
      <c r="AO58" s="4">
        <v>8758273.4099999983</v>
      </c>
      <c r="AP58" s="4">
        <v>17425651.329999998</v>
      </c>
      <c r="AQ58" s="4">
        <v>11141763.760000002</v>
      </c>
      <c r="AR58" s="4">
        <v>2637818.5900000003</v>
      </c>
      <c r="AS58" s="4">
        <v>2001065.7799999998</v>
      </c>
      <c r="AT58" s="4">
        <v>3736766.7300000004</v>
      </c>
      <c r="AU58" s="4">
        <v>8532125.1400000006</v>
      </c>
      <c r="AV58" s="4">
        <v>225429513.04000002</v>
      </c>
      <c r="AW58" s="4">
        <v>8268331.1300000008</v>
      </c>
      <c r="AX58" s="4">
        <v>3675963.1100000003</v>
      </c>
      <c r="AY58" s="4">
        <v>6621833.0500000007</v>
      </c>
      <c r="AZ58" s="4">
        <v>20012026.23</v>
      </c>
      <c r="BA58" s="4">
        <v>7956413.9000000004</v>
      </c>
      <c r="BB58" s="4">
        <v>3198293.6700000004</v>
      </c>
      <c r="BC58" s="4">
        <v>7431516.5899999999</v>
      </c>
      <c r="BD58" s="4">
        <v>90846101.529999986</v>
      </c>
      <c r="BE58" s="4">
        <v>3143011.6399999997</v>
      </c>
      <c r="BF58" s="4">
        <v>2516787.71</v>
      </c>
      <c r="BG58" s="4">
        <v>0</v>
      </c>
      <c r="BH58" s="4">
        <f t="shared" si="7"/>
        <v>1207420823.7400002</v>
      </c>
      <c r="BI58" s="4"/>
    </row>
    <row r="59" spans="1:61" x14ac:dyDescent="0.2">
      <c r="A59" s="3">
        <v>44378</v>
      </c>
      <c r="B59" s="4">
        <v>24680378.370000001</v>
      </c>
      <c r="C59" s="4">
        <v>1983541.1699999997</v>
      </c>
      <c r="D59" s="4">
        <v>12767433.149999999</v>
      </c>
      <c r="E59" s="4">
        <v>3400797.92</v>
      </c>
      <c r="F59" s="4">
        <v>3748500.47</v>
      </c>
      <c r="G59" s="4">
        <v>7286323.5900000008</v>
      </c>
      <c r="H59" s="4">
        <v>5636732.6600000001</v>
      </c>
      <c r="I59" s="4">
        <v>2370665.48</v>
      </c>
      <c r="J59" s="4">
        <v>5806118.2799999993</v>
      </c>
      <c r="K59" s="4">
        <v>4213223.7699999996</v>
      </c>
      <c r="L59" s="4">
        <v>2876201.92</v>
      </c>
      <c r="M59" s="4">
        <v>2231355.7200000002</v>
      </c>
      <c r="N59" s="4">
        <v>18873267.219999999</v>
      </c>
      <c r="O59" s="4">
        <v>76654268.460000008</v>
      </c>
      <c r="P59" s="4">
        <v>3508486.4800000004</v>
      </c>
      <c r="Q59" s="4">
        <v>2471918.98</v>
      </c>
      <c r="R59" s="4">
        <v>2118727.21</v>
      </c>
      <c r="S59" s="4">
        <v>4086086.0000000005</v>
      </c>
      <c r="T59" s="4">
        <v>3330395.62</v>
      </c>
      <c r="U59" s="4">
        <v>530569.82000000007</v>
      </c>
      <c r="V59" s="4">
        <v>3320161.2199999997</v>
      </c>
      <c r="W59" s="4">
        <v>8240770.1199999992</v>
      </c>
      <c r="X59" s="4">
        <v>1192489.6400000001</v>
      </c>
      <c r="Y59" s="4">
        <v>3302967.55</v>
      </c>
      <c r="Z59" s="4">
        <v>2960923.0100000002</v>
      </c>
      <c r="AA59" s="4">
        <v>49080417.189999998</v>
      </c>
      <c r="AB59" s="4">
        <v>3021906.87</v>
      </c>
      <c r="AC59" s="4">
        <v>112245596.22</v>
      </c>
      <c r="AD59" s="4">
        <v>12386801.93</v>
      </c>
      <c r="AE59" s="4">
        <v>13940395.670000002</v>
      </c>
      <c r="AF59" s="4">
        <v>35343885.409999996</v>
      </c>
      <c r="AG59" s="4">
        <v>8368190.0300000003</v>
      </c>
      <c r="AH59" s="4">
        <v>27465501.670000002</v>
      </c>
      <c r="AI59" s="4">
        <v>1589203.57</v>
      </c>
      <c r="AJ59" s="4">
        <v>4646714.8000000007</v>
      </c>
      <c r="AK59" s="4">
        <v>4011858.2600000002</v>
      </c>
      <c r="AL59" s="4">
        <v>6192401.4900000002</v>
      </c>
      <c r="AM59" s="4">
        <v>8771800.9100000001</v>
      </c>
      <c r="AN59" s="4">
        <v>20806630.140000001</v>
      </c>
      <c r="AO59" s="4">
        <v>5952590.8900000006</v>
      </c>
      <c r="AP59" s="4">
        <v>12663479.479999999</v>
      </c>
      <c r="AQ59" s="4">
        <v>9368201.790000001</v>
      </c>
      <c r="AR59" s="4">
        <v>1571244.9699999997</v>
      </c>
      <c r="AS59" s="4">
        <v>1203348.78</v>
      </c>
      <c r="AT59" s="4">
        <v>2656600.5300000003</v>
      </c>
      <c r="AU59" s="4">
        <v>5740688.4299999997</v>
      </c>
      <c r="AV59" s="4">
        <v>148534458.66000003</v>
      </c>
      <c r="AW59" s="4">
        <v>5338184.88</v>
      </c>
      <c r="AX59" s="4">
        <v>2302334.52</v>
      </c>
      <c r="AY59" s="4">
        <v>4982671.76</v>
      </c>
      <c r="AZ59" s="4">
        <v>12008299.559999999</v>
      </c>
      <c r="BA59" s="4">
        <v>6668354.2199999988</v>
      </c>
      <c r="BB59" s="4">
        <v>2206226.6500000004</v>
      </c>
      <c r="BC59" s="4">
        <v>4695774.75</v>
      </c>
      <c r="BD59" s="4">
        <v>63662825.910000004</v>
      </c>
      <c r="BE59" s="4">
        <v>1833807.5500000003</v>
      </c>
      <c r="BF59" s="4">
        <v>1328097.54</v>
      </c>
      <c r="BG59" s="4">
        <v>0</v>
      </c>
      <c r="BH59" s="4">
        <f t="shared" si="7"/>
        <v>808180798.85999978</v>
      </c>
      <c r="BI59" s="4"/>
    </row>
    <row r="60" spans="1:61" x14ac:dyDescent="0.2">
      <c r="A60" s="3">
        <v>44409</v>
      </c>
      <c r="B60" s="4">
        <v>24316659.030000001</v>
      </c>
      <c r="C60" s="4">
        <v>1990320.86</v>
      </c>
      <c r="D60" s="4">
        <v>13002458.789999999</v>
      </c>
      <c r="E60" s="4">
        <v>3659127.44</v>
      </c>
      <c r="F60" s="4">
        <v>4078899.15</v>
      </c>
      <c r="G60" s="4">
        <v>6852632.1099999994</v>
      </c>
      <c r="H60" s="4">
        <v>5525442.0199999996</v>
      </c>
      <c r="I60" s="4">
        <v>2202725.8199999998</v>
      </c>
      <c r="J60" s="4">
        <v>5408796.0199999996</v>
      </c>
      <c r="K60" s="4">
        <v>4029095.919999999</v>
      </c>
      <c r="L60" s="4">
        <v>2733986.37</v>
      </c>
      <c r="M60" s="4">
        <v>2169446.91</v>
      </c>
      <c r="N60" s="4">
        <v>17780975.390000001</v>
      </c>
      <c r="O60" s="4">
        <v>73339454.670000002</v>
      </c>
      <c r="P60" s="4">
        <v>3401710.42</v>
      </c>
      <c r="Q60" s="4">
        <v>2463247.5499999998</v>
      </c>
      <c r="R60" s="4">
        <v>2066057.9500000002</v>
      </c>
      <c r="S60" s="4">
        <v>3953770.2399999998</v>
      </c>
      <c r="T60" s="4">
        <v>3218178.2600000002</v>
      </c>
      <c r="U60" s="4">
        <v>489637.45000000007</v>
      </c>
      <c r="V60" s="4">
        <v>3105529.5</v>
      </c>
      <c r="W60" s="4">
        <v>7870023.290000001</v>
      </c>
      <c r="X60" s="4">
        <v>1163439.57</v>
      </c>
      <c r="Y60" s="4">
        <v>3209666.82</v>
      </c>
      <c r="Z60" s="4">
        <v>2839300.8199999994</v>
      </c>
      <c r="AA60" s="4">
        <v>47540024.040000007</v>
      </c>
      <c r="AB60" s="4">
        <v>3046965.68</v>
      </c>
      <c r="AC60" s="4">
        <v>107520200.58999999</v>
      </c>
      <c r="AD60" s="4">
        <v>12041534.27</v>
      </c>
      <c r="AE60" s="4">
        <v>13989948.02</v>
      </c>
      <c r="AF60" s="4">
        <v>35349910.319999993</v>
      </c>
      <c r="AG60" s="4">
        <v>8140141.5199999996</v>
      </c>
      <c r="AH60" s="4">
        <v>26376911.900000002</v>
      </c>
      <c r="AI60" s="4">
        <v>1563062.2</v>
      </c>
      <c r="AJ60" s="4">
        <v>4832368.8100000005</v>
      </c>
      <c r="AK60" s="4">
        <v>3917980.77</v>
      </c>
      <c r="AL60" s="4">
        <v>6017886.3599999994</v>
      </c>
      <c r="AM60" s="4">
        <v>8484312.4199999999</v>
      </c>
      <c r="AN60" s="4">
        <v>19868332.359999996</v>
      </c>
      <c r="AO60" s="4">
        <v>6156486.2300000004</v>
      </c>
      <c r="AP60" s="4">
        <v>12199542.92</v>
      </c>
      <c r="AQ60" s="4">
        <v>8896982.1699999999</v>
      </c>
      <c r="AR60" s="4">
        <v>1522821.9600000002</v>
      </c>
      <c r="AS60" s="4">
        <v>1213970.6200000001</v>
      </c>
      <c r="AT60" s="4">
        <v>2601020.5299999998</v>
      </c>
      <c r="AU60" s="4">
        <v>5449901.8799999999</v>
      </c>
      <c r="AV60" s="4">
        <v>141722338.03</v>
      </c>
      <c r="AW60" s="4">
        <v>5053124.47</v>
      </c>
      <c r="AX60" s="4">
        <v>2243674.5100000002</v>
      </c>
      <c r="AY60" s="4">
        <v>4871691.2799999993</v>
      </c>
      <c r="AZ60" s="4">
        <v>11552690.91</v>
      </c>
      <c r="BA60" s="4">
        <v>6372321.75</v>
      </c>
      <c r="BB60" s="4">
        <v>2022539.4</v>
      </c>
      <c r="BC60" s="4">
        <v>4588021.7699999996</v>
      </c>
      <c r="BD60" s="4">
        <v>61439476.060000002</v>
      </c>
      <c r="BE60" s="4">
        <v>1902277.6099999999</v>
      </c>
      <c r="BF60" s="4">
        <v>1294436.5</v>
      </c>
      <c r="BG60" s="4">
        <v>0</v>
      </c>
      <c r="BH60" s="4">
        <f t="shared" si="7"/>
        <v>780663480.2299999</v>
      </c>
      <c r="BI60" s="4"/>
    </row>
    <row r="61" spans="1:61" x14ac:dyDescent="0.2">
      <c r="A61" s="3">
        <v>44440</v>
      </c>
      <c r="B61" s="4">
        <v>34666865.43</v>
      </c>
      <c r="C61" s="4">
        <v>2935331.1800000006</v>
      </c>
      <c r="D61" s="4">
        <v>16403576.57</v>
      </c>
      <c r="E61" s="4">
        <v>5322067.5599999996</v>
      </c>
      <c r="F61" s="4">
        <v>5162004.0599999996</v>
      </c>
      <c r="G61" s="4">
        <v>9635507.0200000014</v>
      </c>
      <c r="H61" s="4">
        <v>7143604.5500000007</v>
      </c>
      <c r="I61" s="4">
        <v>3165844.0699999994</v>
      </c>
      <c r="J61" s="4">
        <v>6820317.6900000004</v>
      </c>
      <c r="K61" s="4">
        <v>6916975.7399999993</v>
      </c>
      <c r="L61" s="4">
        <v>4605584.9499999993</v>
      </c>
      <c r="M61" s="4">
        <v>3744345.69</v>
      </c>
      <c r="N61" s="4">
        <v>29956743.120000005</v>
      </c>
      <c r="O61" s="4">
        <v>100415435.15000001</v>
      </c>
      <c r="P61" s="4">
        <v>4875017.18</v>
      </c>
      <c r="Q61" s="4">
        <v>3469559.32</v>
      </c>
      <c r="R61" s="4">
        <v>2925705.41</v>
      </c>
      <c r="S61" s="4">
        <v>5404749.459999999</v>
      </c>
      <c r="T61" s="4">
        <v>5243897.7100000009</v>
      </c>
      <c r="U61" s="4">
        <v>784601.97000000009</v>
      </c>
      <c r="V61" s="4">
        <v>4908171.3499999996</v>
      </c>
      <c r="W61" s="4">
        <v>11357488.299999997</v>
      </c>
      <c r="X61" s="4">
        <v>1809588.8699999996</v>
      </c>
      <c r="Y61" s="4">
        <v>4728030.25</v>
      </c>
      <c r="Z61" s="4">
        <v>4251332.4500000011</v>
      </c>
      <c r="AA61" s="4">
        <v>62225883.599999994</v>
      </c>
      <c r="AB61" s="4">
        <v>4775623.9899999993</v>
      </c>
      <c r="AC61" s="4">
        <v>155191991.55000001</v>
      </c>
      <c r="AD61" s="4">
        <v>16186204.26</v>
      </c>
      <c r="AE61" s="4">
        <v>18856497.900000002</v>
      </c>
      <c r="AF61" s="4">
        <v>41898772.779999986</v>
      </c>
      <c r="AG61" s="4">
        <v>11850010.84</v>
      </c>
      <c r="AH61" s="4">
        <v>40984682.649999999</v>
      </c>
      <c r="AI61" s="4">
        <v>2394704.06</v>
      </c>
      <c r="AJ61" s="4">
        <v>5901152.8799999999</v>
      </c>
      <c r="AK61" s="4">
        <v>4548860.6400000006</v>
      </c>
      <c r="AL61" s="4">
        <v>8508961.9400000013</v>
      </c>
      <c r="AM61" s="4">
        <v>11681642.260000002</v>
      </c>
      <c r="AN61" s="4">
        <v>28597510.320000004</v>
      </c>
      <c r="AO61" s="4">
        <v>7701223.5199999986</v>
      </c>
      <c r="AP61" s="4">
        <v>16024842.129999999</v>
      </c>
      <c r="AQ61" s="4">
        <v>13032168.140000001</v>
      </c>
      <c r="AR61" s="4">
        <v>2132703.87</v>
      </c>
      <c r="AS61" s="4">
        <v>2298772.9500000002</v>
      </c>
      <c r="AT61" s="4">
        <v>3192401.35</v>
      </c>
      <c r="AU61" s="4">
        <v>8213934.6399999997</v>
      </c>
      <c r="AV61" s="4">
        <v>210603945.58000004</v>
      </c>
      <c r="AW61" s="4">
        <v>8639639.4899999984</v>
      </c>
      <c r="AX61" s="4">
        <v>2903250.54</v>
      </c>
      <c r="AY61" s="4">
        <v>7117016.5600000005</v>
      </c>
      <c r="AZ61" s="4">
        <v>18305452.650000002</v>
      </c>
      <c r="BA61" s="4">
        <v>8089309.46</v>
      </c>
      <c r="BB61" s="4">
        <v>2725079.2600000002</v>
      </c>
      <c r="BC61" s="4">
        <v>6473916.75</v>
      </c>
      <c r="BD61" s="4">
        <v>80685061.74000001</v>
      </c>
      <c r="BE61" s="4">
        <v>2451009.09</v>
      </c>
      <c r="BF61" s="4">
        <v>2439993.1900000004</v>
      </c>
      <c r="BG61" s="4">
        <v>0</v>
      </c>
      <c r="BH61" s="4">
        <f t="shared" si="7"/>
        <v>1103284565.6299999</v>
      </c>
      <c r="BI61" s="4"/>
    </row>
    <row r="62" spans="1:61" x14ac:dyDescent="0.2">
      <c r="A62" s="3">
        <v>44470</v>
      </c>
      <c r="B62" s="4">
        <v>24176460.939999998</v>
      </c>
      <c r="C62" s="4">
        <v>1867124.9500000002</v>
      </c>
      <c r="D62" s="4">
        <v>12449232.35</v>
      </c>
      <c r="E62" s="4">
        <v>3308655.6300000004</v>
      </c>
      <c r="F62" s="4">
        <v>3486384.65</v>
      </c>
      <c r="G62" s="4">
        <v>6121506.3899999997</v>
      </c>
      <c r="H62" s="4">
        <v>5328859.58</v>
      </c>
      <c r="I62" s="4">
        <v>2106779.9500000002</v>
      </c>
      <c r="J62" s="4">
        <v>5163004.74</v>
      </c>
      <c r="K62" s="4">
        <v>3860782.9099999997</v>
      </c>
      <c r="L62" s="4">
        <v>2641120.34</v>
      </c>
      <c r="M62" s="4">
        <v>2054177.21</v>
      </c>
      <c r="N62" s="4">
        <v>18272921.119999997</v>
      </c>
      <c r="O62" s="4">
        <v>71761801.610000014</v>
      </c>
      <c r="P62" s="4">
        <v>2861768.5300000003</v>
      </c>
      <c r="Q62" s="4">
        <v>2192519.2200000002</v>
      </c>
      <c r="R62" s="4">
        <v>2007514.7200000002</v>
      </c>
      <c r="S62" s="4">
        <v>3622994.4799999995</v>
      </c>
      <c r="T62" s="4">
        <v>3020715.9299999997</v>
      </c>
      <c r="U62" s="4">
        <v>362314.39</v>
      </c>
      <c r="V62" s="4">
        <v>2853466.2499999995</v>
      </c>
      <c r="W62" s="4">
        <v>7115408.8099999996</v>
      </c>
      <c r="X62" s="4">
        <v>1064906.76</v>
      </c>
      <c r="Y62" s="4">
        <v>2986659.49</v>
      </c>
      <c r="Z62" s="4">
        <v>2657196.0100000002</v>
      </c>
      <c r="AA62" s="4">
        <v>46284344.250000007</v>
      </c>
      <c r="AB62" s="4">
        <v>2834829.9000000004</v>
      </c>
      <c r="AC62" s="4">
        <v>106405127.53</v>
      </c>
      <c r="AD62" s="4">
        <v>11172607.27</v>
      </c>
      <c r="AE62" s="4">
        <v>12687899.390000001</v>
      </c>
      <c r="AF62" s="4">
        <v>33322186.289999999</v>
      </c>
      <c r="AG62" s="4">
        <v>7834353.4900000002</v>
      </c>
      <c r="AH62" s="4">
        <v>26864700.759999998</v>
      </c>
      <c r="AI62" s="4">
        <v>1505570.8299999996</v>
      </c>
      <c r="AJ62" s="4">
        <v>4148674.47</v>
      </c>
      <c r="AK62" s="4">
        <v>3277733.2</v>
      </c>
      <c r="AL62" s="4">
        <v>5827805.5100000007</v>
      </c>
      <c r="AM62" s="4">
        <v>8355368.9100000001</v>
      </c>
      <c r="AN62" s="4">
        <v>19715757.940000001</v>
      </c>
      <c r="AO62" s="4">
        <v>6492835.8199999994</v>
      </c>
      <c r="AP62" s="4">
        <v>11736714.57</v>
      </c>
      <c r="AQ62" s="4">
        <v>8708392.8399999999</v>
      </c>
      <c r="AR62" s="4">
        <v>1397778.2900000003</v>
      </c>
      <c r="AS62" s="4">
        <v>974913.40999999992</v>
      </c>
      <c r="AT62" s="4">
        <v>2458967.13</v>
      </c>
      <c r="AU62" s="4">
        <v>4952191.42</v>
      </c>
      <c r="AV62" s="4">
        <v>127213328.98999998</v>
      </c>
      <c r="AW62" s="4">
        <v>4291084.3499999996</v>
      </c>
      <c r="AX62" s="4">
        <v>2184460.9200000004</v>
      </c>
      <c r="AY62" s="4">
        <v>4681633.2700000005</v>
      </c>
      <c r="AZ62" s="4">
        <v>11166658.199999999</v>
      </c>
      <c r="BA62" s="4">
        <v>5006601.5199999996</v>
      </c>
      <c r="BB62" s="4">
        <v>1891108.4300000002</v>
      </c>
      <c r="BC62" s="4">
        <v>4135117.2800000003</v>
      </c>
      <c r="BD62" s="4">
        <v>61238326.200000003</v>
      </c>
      <c r="BE62" s="4">
        <v>1602113.5100000002</v>
      </c>
      <c r="BF62" s="4">
        <v>1180061.49</v>
      </c>
      <c r="BG62" s="4">
        <v>0</v>
      </c>
      <c r="BH62" s="4">
        <f t="shared" si="7"/>
        <v>744893524.33999991</v>
      </c>
      <c r="BI62" s="4"/>
    </row>
    <row r="63" spans="1:61" x14ac:dyDescent="0.2">
      <c r="A63" s="3">
        <v>44501</v>
      </c>
      <c r="B63" s="4">
        <v>24782627.340000004</v>
      </c>
      <c r="C63" s="4">
        <v>1853979.8600000003</v>
      </c>
      <c r="D63" s="4">
        <v>12794223.210000001</v>
      </c>
      <c r="E63" s="4">
        <v>3479641.05</v>
      </c>
      <c r="F63" s="4">
        <v>3365950.0700000003</v>
      </c>
      <c r="G63" s="4">
        <v>6187310.25</v>
      </c>
      <c r="H63" s="4">
        <v>5649345.9000000004</v>
      </c>
      <c r="I63" s="4">
        <v>2096975.9000000001</v>
      </c>
      <c r="J63" s="4">
        <v>5329868.21</v>
      </c>
      <c r="K63" s="4">
        <v>3802074.66</v>
      </c>
      <c r="L63" s="4">
        <v>2594189.4000000004</v>
      </c>
      <c r="M63" s="4">
        <v>2000637.94</v>
      </c>
      <c r="N63" s="4">
        <v>18336923.460000001</v>
      </c>
      <c r="O63" s="4">
        <v>72546384.670000002</v>
      </c>
      <c r="P63" s="4">
        <v>2838809.27</v>
      </c>
      <c r="Q63" s="4">
        <v>2205435.4499999997</v>
      </c>
      <c r="R63" s="4">
        <v>1971009.0299999998</v>
      </c>
      <c r="S63" s="4">
        <v>3673200.8600000003</v>
      </c>
      <c r="T63" s="4">
        <v>3046480.8200000003</v>
      </c>
      <c r="U63" s="4">
        <v>345441.06000000006</v>
      </c>
      <c r="V63" s="4">
        <v>2885603.3200000003</v>
      </c>
      <c r="W63" s="4">
        <v>7162603.2199999988</v>
      </c>
      <c r="X63" s="4">
        <v>1050728.6900000002</v>
      </c>
      <c r="Y63" s="4">
        <v>2975050.1799999997</v>
      </c>
      <c r="Z63" s="4">
        <v>2650033.5699999998</v>
      </c>
      <c r="AA63" s="4">
        <v>46433773.06000001</v>
      </c>
      <c r="AB63" s="4">
        <v>2844106.56</v>
      </c>
      <c r="AC63" s="4">
        <v>110732531.43000001</v>
      </c>
      <c r="AD63" s="4">
        <v>11543144.24</v>
      </c>
      <c r="AE63" s="4">
        <v>13074052.739999998</v>
      </c>
      <c r="AF63" s="4">
        <v>33503209.469999995</v>
      </c>
      <c r="AG63" s="4">
        <v>7970295.0899999999</v>
      </c>
      <c r="AH63" s="4">
        <v>27956691.359999999</v>
      </c>
      <c r="AI63" s="4">
        <v>1543593.67</v>
      </c>
      <c r="AJ63" s="4">
        <v>4191304.3999999994</v>
      </c>
      <c r="AK63" s="4">
        <v>3346140.7199999997</v>
      </c>
      <c r="AL63" s="4">
        <v>5865037.8899999997</v>
      </c>
      <c r="AM63" s="4">
        <v>8324248.4999999991</v>
      </c>
      <c r="AN63" s="4">
        <v>24834104.670000002</v>
      </c>
      <c r="AO63" s="4">
        <v>5504642.7599999998</v>
      </c>
      <c r="AP63" s="4">
        <v>11869144.050000001</v>
      </c>
      <c r="AQ63" s="4">
        <v>8944340.5599999987</v>
      </c>
      <c r="AR63" s="4">
        <v>1455617.27</v>
      </c>
      <c r="AS63" s="4">
        <v>1003047.0999999999</v>
      </c>
      <c r="AT63" s="4">
        <v>2454478.25</v>
      </c>
      <c r="AU63" s="4">
        <v>4993998.1300000008</v>
      </c>
      <c r="AV63" s="4">
        <v>131106437.68000001</v>
      </c>
      <c r="AW63" s="4">
        <v>4236667.92</v>
      </c>
      <c r="AX63" s="4">
        <v>2212130.52</v>
      </c>
      <c r="AY63" s="4">
        <v>4966417.3800000008</v>
      </c>
      <c r="AZ63" s="4">
        <v>11375139.010000002</v>
      </c>
      <c r="BA63" s="4">
        <v>4993721.459999999</v>
      </c>
      <c r="BB63" s="4">
        <v>2039507.4399999997</v>
      </c>
      <c r="BC63" s="4">
        <v>4379356.1899999995</v>
      </c>
      <c r="BD63" s="4">
        <v>61536612.700000003</v>
      </c>
      <c r="BE63" s="4">
        <v>1450420.35</v>
      </c>
      <c r="BF63" s="4">
        <v>1117853.0300000003</v>
      </c>
      <c r="BG63" s="4">
        <v>0</v>
      </c>
      <c r="BH63" s="4">
        <f t="shared" si="7"/>
        <v>763426292.99000013</v>
      </c>
      <c r="BI63" s="4"/>
    </row>
    <row r="64" spans="1:61" x14ac:dyDescent="0.2">
      <c r="A64" s="3">
        <v>44531</v>
      </c>
      <c r="B64" s="4">
        <v>39388871.880000003</v>
      </c>
      <c r="C64" s="4">
        <v>3152249.2399999998</v>
      </c>
      <c r="D64" s="4">
        <v>17051884.290000003</v>
      </c>
      <c r="E64" s="4">
        <v>5406486.5099999998</v>
      </c>
      <c r="F64" s="4">
        <v>4744060.34</v>
      </c>
      <c r="G64" s="4">
        <v>8665638.1000000015</v>
      </c>
      <c r="H64" s="4">
        <v>6888661.2000000011</v>
      </c>
      <c r="I64" s="4">
        <v>3352928.79</v>
      </c>
      <c r="J64" s="4">
        <v>6156399.1899999995</v>
      </c>
      <c r="K64" s="4">
        <v>7380596.5599999996</v>
      </c>
      <c r="L64" s="4">
        <v>4023424.8700000006</v>
      </c>
      <c r="M64" s="4">
        <v>3453622.9799999995</v>
      </c>
      <c r="N64" s="4">
        <v>27810221.990000002</v>
      </c>
      <c r="O64" s="4">
        <v>101567072.56</v>
      </c>
      <c r="P64" s="4">
        <v>4024672.9299999997</v>
      </c>
      <c r="Q64" s="4">
        <v>3323417.1899999995</v>
      </c>
      <c r="R64" s="4">
        <v>2866641.8799999994</v>
      </c>
      <c r="S64" s="4">
        <v>5284120.55</v>
      </c>
      <c r="T64" s="4">
        <v>4939012.2</v>
      </c>
      <c r="U64" s="4">
        <v>472573.98999999993</v>
      </c>
      <c r="V64" s="4">
        <v>4455940.82</v>
      </c>
      <c r="W64" s="4">
        <v>9893554.0700000003</v>
      </c>
      <c r="X64" s="4">
        <v>1963106.57</v>
      </c>
      <c r="Y64" s="4">
        <v>4739681.3600000003</v>
      </c>
      <c r="Z64" s="4">
        <v>4110123.540000001</v>
      </c>
      <c r="AA64" s="4">
        <v>61366538.950000003</v>
      </c>
      <c r="AB64" s="4">
        <v>4823166.8699999992</v>
      </c>
      <c r="AC64" s="4">
        <v>157844790.70000002</v>
      </c>
      <c r="AD64" s="4">
        <v>16526303.859999999</v>
      </c>
      <c r="AE64" s="4">
        <v>18624506.029999997</v>
      </c>
      <c r="AF64" s="4">
        <v>43708157.659999996</v>
      </c>
      <c r="AG64" s="4">
        <v>11292879.799999999</v>
      </c>
      <c r="AH64" s="4">
        <v>39241542.530000009</v>
      </c>
      <c r="AI64" s="4">
        <v>2466639.59</v>
      </c>
      <c r="AJ64" s="4">
        <v>6485645.8099999987</v>
      </c>
      <c r="AK64" s="4">
        <v>4871001.6899999995</v>
      </c>
      <c r="AL64" s="4">
        <v>8798536.5600000005</v>
      </c>
      <c r="AM64" s="4">
        <v>11617709.120000001</v>
      </c>
      <c r="AN64" s="4">
        <v>28905879.679999992</v>
      </c>
      <c r="AO64" s="4">
        <v>7491268.5</v>
      </c>
      <c r="AP64" s="4">
        <v>15657800.489999996</v>
      </c>
      <c r="AQ64" s="4">
        <v>12405958.850000001</v>
      </c>
      <c r="AR64" s="4">
        <v>2290153.8700000006</v>
      </c>
      <c r="AS64" s="4">
        <v>1704773.9900000002</v>
      </c>
      <c r="AT64" s="4">
        <v>2772011.59</v>
      </c>
      <c r="AU64" s="4">
        <v>7920538.0099999998</v>
      </c>
      <c r="AV64" s="4">
        <v>195213831.09999999</v>
      </c>
      <c r="AW64" s="4">
        <v>7689953.4800000004</v>
      </c>
      <c r="AX64" s="4">
        <v>3112984.9699999997</v>
      </c>
      <c r="AY64" s="4">
        <v>6968534.3499999996</v>
      </c>
      <c r="AZ64" s="4">
        <v>18001193.359999999</v>
      </c>
      <c r="BA64" s="4">
        <v>6346579.3499999996</v>
      </c>
      <c r="BB64" s="4">
        <v>2697229.0700000003</v>
      </c>
      <c r="BC64" s="4">
        <v>6219631.5600000005</v>
      </c>
      <c r="BD64" s="4">
        <v>94640895.629999995</v>
      </c>
      <c r="BE64" s="4">
        <v>2442851.5499999998</v>
      </c>
      <c r="BF64" s="4">
        <v>2618050.5099999998</v>
      </c>
      <c r="BG64" s="4">
        <v>0</v>
      </c>
      <c r="BH64" s="4">
        <f t="shared" si="7"/>
        <v>1097882502.6800001</v>
      </c>
      <c r="BI64" s="6"/>
    </row>
    <row r="65" spans="1:61" ht="15.75" thickBot="1" x14ac:dyDescent="0.25">
      <c r="A65" s="1" t="s">
        <v>180</v>
      </c>
      <c r="B65" s="5">
        <f>SUM(B53:B64)</f>
        <v>322299873.67999995</v>
      </c>
      <c r="C65" s="5">
        <f>SUM(C53:C64)</f>
        <v>27310610.419999998</v>
      </c>
      <c r="D65" s="5">
        <f t="shared" ref="D65:BH65" si="8">SUM(D53:D64)</f>
        <v>163538133.58999997</v>
      </c>
      <c r="E65" s="5">
        <f t="shared" si="8"/>
        <v>47940116.689999998</v>
      </c>
      <c r="F65" s="5">
        <f t="shared" si="8"/>
        <v>47450088.549999997</v>
      </c>
      <c r="G65" s="5">
        <f t="shared" si="8"/>
        <v>85499138.960000008</v>
      </c>
      <c r="H65" s="5">
        <f t="shared" si="8"/>
        <v>70594036.279999986</v>
      </c>
      <c r="I65" s="5">
        <f t="shared" si="8"/>
        <v>29666824.249999996</v>
      </c>
      <c r="J65" s="5">
        <f t="shared" si="8"/>
        <v>67250459.769999996</v>
      </c>
      <c r="K65" s="5">
        <f t="shared" si="8"/>
        <v>56661214.189999998</v>
      </c>
      <c r="L65" s="5">
        <f t="shared" si="8"/>
        <v>37573444.75</v>
      </c>
      <c r="M65" s="5">
        <f t="shared" si="8"/>
        <v>29648119.770000007</v>
      </c>
      <c r="N65" s="5">
        <f t="shared" si="8"/>
        <v>249936656.56000003</v>
      </c>
      <c r="O65" s="5">
        <f t="shared" si="8"/>
        <v>948147591.21999979</v>
      </c>
      <c r="P65" s="5">
        <f t="shared" si="8"/>
        <v>38589437.580000006</v>
      </c>
      <c r="Q65" s="5">
        <f t="shared" si="8"/>
        <v>30803954.850000001</v>
      </c>
      <c r="R65" s="5">
        <f t="shared" si="8"/>
        <v>27017363.57</v>
      </c>
      <c r="S65" s="5">
        <f t="shared" si="8"/>
        <v>49690382.359999992</v>
      </c>
      <c r="T65" s="5">
        <f t="shared" si="8"/>
        <v>43653056.710000008</v>
      </c>
      <c r="U65" s="5">
        <f t="shared" si="8"/>
        <v>4903583.6400000006</v>
      </c>
      <c r="V65" s="5">
        <f t="shared" si="8"/>
        <v>41002464.380000003</v>
      </c>
      <c r="W65" s="5">
        <f t="shared" si="8"/>
        <v>98634143.379999995</v>
      </c>
      <c r="X65" s="5">
        <f t="shared" si="8"/>
        <v>15956183.049999999</v>
      </c>
      <c r="Y65" s="5">
        <f t="shared" si="8"/>
        <v>42191354.039999999</v>
      </c>
      <c r="Z65" s="5">
        <f t="shared" si="8"/>
        <v>37575520.350000009</v>
      </c>
      <c r="AA65" s="5">
        <f t="shared" si="8"/>
        <v>599939136.74000013</v>
      </c>
      <c r="AB65" s="5">
        <f t="shared" si="8"/>
        <v>41405858.060000002</v>
      </c>
      <c r="AC65" s="5">
        <f t="shared" si="8"/>
        <v>1431386720.4300003</v>
      </c>
      <c r="AD65" s="5">
        <f t="shared" si="8"/>
        <v>151232602.69999999</v>
      </c>
      <c r="AE65" s="5">
        <f t="shared" si="8"/>
        <v>176389124.78</v>
      </c>
      <c r="AF65" s="5">
        <f t="shared" si="8"/>
        <v>434122197.66999996</v>
      </c>
      <c r="AG65" s="5">
        <f t="shared" si="8"/>
        <v>104498117.63</v>
      </c>
      <c r="AH65" s="5">
        <f t="shared" si="8"/>
        <v>352747144.1500001</v>
      </c>
      <c r="AI65" s="5">
        <f t="shared" si="8"/>
        <v>21818115.709999997</v>
      </c>
      <c r="AJ65" s="5">
        <f t="shared" si="8"/>
        <v>55684454.420000002</v>
      </c>
      <c r="AK65" s="5">
        <f t="shared" si="8"/>
        <v>45111968.920000002</v>
      </c>
      <c r="AL65" s="5">
        <f t="shared" si="8"/>
        <v>79123660.170000002</v>
      </c>
      <c r="AM65" s="5">
        <f t="shared" si="8"/>
        <v>110084136.03000002</v>
      </c>
      <c r="AN65" s="5">
        <f t="shared" si="8"/>
        <v>272205245.44</v>
      </c>
      <c r="AO65" s="5">
        <f t="shared" si="8"/>
        <v>74713782.489999995</v>
      </c>
      <c r="AP65" s="5">
        <f t="shared" si="8"/>
        <v>152913626.77000001</v>
      </c>
      <c r="AQ65" s="5">
        <f t="shared" si="8"/>
        <v>121075303.66000003</v>
      </c>
      <c r="AR65" s="5">
        <f t="shared" si="8"/>
        <v>19812180.280000005</v>
      </c>
      <c r="AS65" s="5">
        <f t="shared" si="8"/>
        <v>14331627.290000001</v>
      </c>
      <c r="AT65" s="5">
        <f t="shared" si="8"/>
        <v>30837689.000000004</v>
      </c>
      <c r="AU65" s="5">
        <f t="shared" si="8"/>
        <v>69919802.330000013</v>
      </c>
      <c r="AV65" s="5">
        <f t="shared" si="8"/>
        <v>1811448780.2800002</v>
      </c>
      <c r="AW65" s="5">
        <f t="shared" si="8"/>
        <v>65197097.129999995</v>
      </c>
      <c r="AX65" s="5">
        <f t="shared" si="8"/>
        <v>29009079.440000001</v>
      </c>
      <c r="AY65" s="5">
        <f t="shared" si="8"/>
        <v>62297101.970000014</v>
      </c>
      <c r="AZ65" s="5">
        <f t="shared" si="8"/>
        <v>155484136.44999999</v>
      </c>
      <c r="BA65" s="5">
        <f t="shared" si="8"/>
        <v>65778754.329999998</v>
      </c>
      <c r="BB65" s="5">
        <f t="shared" si="8"/>
        <v>26561653.500000004</v>
      </c>
      <c r="BC65" s="5">
        <f t="shared" si="8"/>
        <v>59231371.140000001</v>
      </c>
      <c r="BD65" s="5">
        <f t="shared" si="8"/>
        <v>813301632.54000008</v>
      </c>
      <c r="BE65" s="5">
        <f t="shared" si="8"/>
        <v>22686116.800000004</v>
      </c>
      <c r="BF65" s="5">
        <f t="shared" si="8"/>
        <v>17987677.840000004</v>
      </c>
      <c r="BG65" s="5">
        <f t="shared" si="8"/>
        <v>0</v>
      </c>
      <c r="BH65" s="5">
        <f t="shared" si="8"/>
        <v>10101869648.68</v>
      </c>
      <c r="BI65" s="6"/>
    </row>
    <row r="66" spans="1:61" ht="15.75" thickTop="1" x14ac:dyDescent="0.2">
      <c r="BI66" s="6"/>
    </row>
    <row r="67" spans="1:61" x14ac:dyDescent="0.2">
      <c r="A67" s="3">
        <v>43831</v>
      </c>
      <c r="B67" s="4">
        <v>24342373.430000003</v>
      </c>
      <c r="C67" s="4">
        <v>1765516.48</v>
      </c>
      <c r="D67" s="4">
        <v>12443727.239999998</v>
      </c>
      <c r="E67" s="4">
        <v>3355118.3</v>
      </c>
      <c r="F67" s="4">
        <v>3437591.52</v>
      </c>
      <c r="G67" s="4">
        <v>5464681.4299999997</v>
      </c>
      <c r="H67" s="4">
        <v>5532112.4399999995</v>
      </c>
      <c r="I67" s="4">
        <v>1906750.3499999999</v>
      </c>
      <c r="J67" s="4">
        <v>4915578.55</v>
      </c>
      <c r="K67" s="4">
        <v>3431972.1500000004</v>
      </c>
      <c r="L67" s="4">
        <v>2527694.4500000002</v>
      </c>
      <c r="M67" s="4">
        <v>1705562.5500000003</v>
      </c>
      <c r="N67" s="4">
        <v>17125669.98</v>
      </c>
      <c r="O67" s="4">
        <v>69973346.060000002</v>
      </c>
      <c r="P67" s="4">
        <v>2445546.6</v>
      </c>
      <c r="Q67" s="4">
        <v>1982944.33</v>
      </c>
      <c r="R67" s="4">
        <v>1788486.6099999999</v>
      </c>
      <c r="S67" s="4">
        <v>3267626.7099999995</v>
      </c>
      <c r="T67" s="4">
        <v>2732012.23</v>
      </c>
      <c r="U67" s="4">
        <v>233787.3</v>
      </c>
      <c r="V67" s="4">
        <v>2518360.67</v>
      </c>
      <c r="W67" s="4">
        <v>5984557.2800000003</v>
      </c>
      <c r="X67" s="4">
        <v>909982.31</v>
      </c>
      <c r="Y67" s="4">
        <v>2688306.08</v>
      </c>
      <c r="Z67" s="4">
        <v>2239264.8499999996</v>
      </c>
      <c r="AA67" s="4">
        <v>44377517.269999996</v>
      </c>
      <c r="AB67" s="4">
        <v>2553922.2599999998</v>
      </c>
      <c r="AC67" s="4">
        <v>111119983.36</v>
      </c>
      <c r="AD67" s="4">
        <v>10440723.33</v>
      </c>
      <c r="AE67" s="4">
        <v>12001354.060000001</v>
      </c>
      <c r="AF67" s="4">
        <v>30187257.189999998</v>
      </c>
      <c r="AG67" s="4">
        <v>7400093.4100000001</v>
      </c>
      <c r="AH67" s="4">
        <v>25370052.129999999</v>
      </c>
      <c r="AI67" s="4">
        <v>1411672.59</v>
      </c>
      <c r="AJ67" s="4">
        <v>3588479.9299999997</v>
      </c>
      <c r="AK67" s="4">
        <v>2968026.0399999996</v>
      </c>
      <c r="AL67" s="4">
        <v>5536977.9499999993</v>
      </c>
      <c r="AM67" s="4">
        <v>6687533.0199999996</v>
      </c>
      <c r="AN67" s="4">
        <v>20847606</v>
      </c>
      <c r="AO67" s="4">
        <v>5114064.9699999988</v>
      </c>
      <c r="AP67" s="4">
        <v>10520640.48</v>
      </c>
      <c r="AQ67" s="4">
        <v>8999907.3900000006</v>
      </c>
      <c r="AR67" s="4">
        <v>1184724.57</v>
      </c>
      <c r="AS67" s="4">
        <v>754655.17999999993</v>
      </c>
      <c r="AT67" s="4">
        <v>2148033.41</v>
      </c>
      <c r="AU67" s="4">
        <v>4704825.2399999993</v>
      </c>
      <c r="AV67" s="4">
        <v>126370886.63</v>
      </c>
      <c r="AW67" s="4">
        <v>3388452.2800000003</v>
      </c>
      <c r="AX67" s="4">
        <v>2043987.4999999998</v>
      </c>
      <c r="AY67" s="4">
        <v>4541927.4400000013</v>
      </c>
      <c r="AZ67" s="4">
        <v>9985044.2200000007</v>
      </c>
      <c r="BA67" s="4">
        <v>4128947.2899999996</v>
      </c>
      <c r="BB67" s="4">
        <v>1736192.56</v>
      </c>
      <c r="BC67" s="4">
        <v>3679743.9000000004</v>
      </c>
      <c r="BD67" s="4">
        <v>63836271.439999998</v>
      </c>
      <c r="BE67" s="4">
        <v>1343015</v>
      </c>
      <c r="BF67" s="4">
        <v>840851.18</v>
      </c>
      <c r="BG67" s="4">
        <v>0</v>
      </c>
      <c r="BH67" s="4">
        <f>SUM(B67:BG67)</f>
        <v>724531939.11999977</v>
      </c>
      <c r="BI67" s="9"/>
    </row>
    <row r="68" spans="1:61" x14ac:dyDescent="0.2">
      <c r="A68" s="3">
        <v>43862</v>
      </c>
      <c r="B68" s="4">
        <v>20716312.41</v>
      </c>
      <c r="C68" s="4">
        <v>1441302.6</v>
      </c>
      <c r="D68" s="4">
        <v>10079429.990000002</v>
      </c>
      <c r="E68" s="4">
        <v>2818647.92</v>
      </c>
      <c r="F68" s="4">
        <v>2669306.7400000002</v>
      </c>
      <c r="G68" s="4">
        <v>4561798.45</v>
      </c>
      <c r="H68" s="4">
        <v>4620122.2799999993</v>
      </c>
      <c r="I68" s="4">
        <v>1576272.62</v>
      </c>
      <c r="J68" s="4">
        <v>4027021.74</v>
      </c>
      <c r="K68" s="4">
        <v>2865208.5</v>
      </c>
      <c r="L68" s="4">
        <v>2023553.45</v>
      </c>
      <c r="M68" s="4">
        <v>1393366.1</v>
      </c>
      <c r="N68" s="4">
        <v>14316376.129999999</v>
      </c>
      <c r="O68" s="4">
        <v>57546740.190000005</v>
      </c>
      <c r="P68" s="4">
        <v>2016324.22</v>
      </c>
      <c r="Q68" s="4">
        <v>1642761.08</v>
      </c>
      <c r="R68" s="4">
        <v>1509518.06</v>
      </c>
      <c r="S68" s="4">
        <v>2655007.9000000004</v>
      </c>
      <c r="T68" s="4">
        <v>2285273.6000000006</v>
      </c>
      <c r="U68" s="4">
        <v>202221.94</v>
      </c>
      <c r="V68" s="4">
        <v>2091241.91</v>
      </c>
      <c r="W68" s="4">
        <v>5014882.4799999995</v>
      </c>
      <c r="X68" s="4">
        <v>779015.08</v>
      </c>
      <c r="Y68" s="4">
        <v>2175932.4300000002</v>
      </c>
      <c r="Z68" s="4">
        <v>1792400.78</v>
      </c>
      <c r="AA68" s="4">
        <v>36501201.030000001</v>
      </c>
      <c r="AB68" s="4">
        <v>2106265.27</v>
      </c>
      <c r="AC68" s="4">
        <v>90420413.180000007</v>
      </c>
      <c r="AD68" s="4">
        <v>8587487.9100000001</v>
      </c>
      <c r="AE68" s="4">
        <v>9942693.2599999998</v>
      </c>
      <c r="AF68" s="4">
        <v>26188208.490000002</v>
      </c>
      <c r="AG68" s="4">
        <v>6230206.0499999989</v>
      </c>
      <c r="AH68" s="4">
        <v>21252608.850000001</v>
      </c>
      <c r="AI68" s="4">
        <v>1161752.5099999998</v>
      </c>
      <c r="AJ68" s="4">
        <v>2902970.56</v>
      </c>
      <c r="AK68" s="4">
        <v>2366029.23</v>
      </c>
      <c r="AL68" s="4">
        <v>4573894.370000001</v>
      </c>
      <c r="AM68" s="4">
        <v>6377392.7199999988</v>
      </c>
      <c r="AN68" s="4">
        <v>16928532.380000003</v>
      </c>
      <c r="AO68" s="4">
        <v>4244000.63</v>
      </c>
      <c r="AP68" s="4">
        <v>8831289.1400000006</v>
      </c>
      <c r="AQ68" s="4">
        <v>7170378.4600000009</v>
      </c>
      <c r="AR68" s="4">
        <v>967609.59999999986</v>
      </c>
      <c r="AS68" s="4">
        <v>652040.06000000006</v>
      </c>
      <c r="AT68" s="4">
        <v>1725409.1600000001</v>
      </c>
      <c r="AU68" s="4">
        <v>3870571.17</v>
      </c>
      <c r="AV68" s="4">
        <v>103621640.52</v>
      </c>
      <c r="AW68" s="4">
        <v>2864707.5799999996</v>
      </c>
      <c r="AX68" s="4">
        <v>1548084.3399999999</v>
      </c>
      <c r="AY68" s="4">
        <v>3752294.16</v>
      </c>
      <c r="AZ68" s="4">
        <v>8333183.5199999996</v>
      </c>
      <c r="BA68" s="4">
        <v>3390251.1199999996</v>
      </c>
      <c r="BB68" s="4">
        <v>1422492.23</v>
      </c>
      <c r="BC68" s="4">
        <v>3039779.66</v>
      </c>
      <c r="BD68" s="4">
        <v>52067293.140000001</v>
      </c>
      <c r="BE68" s="4">
        <v>1185852.43</v>
      </c>
      <c r="BF68" s="4">
        <v>689537.97</v>
      </c>
      <c r="BG68" s="4">
        <v>0</v>
      </c>
      <c r="BH68" s="4">
        <f t="shared" ref="BH68:BH78" si="9">SUM(B68:BG68)</f>
        <v>597736109.29999995</v>
      </c>
      <c r="BI68" s="9"/>
    </row>
    <row r="69" spans="1:61" x14ac:dyDescent="0.2">
      <c r="A69" s="3">
        <v>43891</v>
      </c>
      <c r="B69" s="4">
        <v>23799627.66</v>
      </c>
      <c r="C69" s="4">
        <v>2485250.2600000002</v>
      </c>
      <c r="D69" s="4">
        <v>12922333.210000001</v>
      </c>
      <c r="E69" s="4">
        <v>3631705.0900000003</v>
      </c>
      <c r="F69" s="4">
        <v>3126259.5199999991</v>
      </c>
      <c r="G69" s="4">
        <v>6509903</v>
      </c>
      <c r="H69" s="4">
        <v>5360984.33</v>
      </c>
      <c r="I69" s="4">
        <v>2605168.4300000002</v>
      </c>
      <c r="J69" s="4">
        <v>4950334.28</v>
      </c>
      <c r="K69" s="4">
        <v>4097129.6399999997</v>
      </c>
      <c r="L69" s="4">
        <v>3040214.79</v>
      </c>
      <c r="M69" s="4">
        <v>2231425.92</v>
      </c>
      <c r="N69" s="4">
        <v>15746782.530000001</v>
      </c>
      <c r="O69" s="4">
        <v>72691516.930000007</v>
      </c>
      <c r="P69" s="4">
        <v>2524984.5299999998</v>
      </c>
      <c r="Q69" s="4">
        <v>2280330.5800000005</v>
      </c>
      <c r="R69" s="4">
        <v>1936524.84</v>
      </c>
      <c r="S69" s="4">
        <v>3893484.51</v>
      </c>
      <c r="T69" s="4">
        <v>3395380.5500000003</v>
      </c>
      <c r="U69" s="4">
        <v>373000.75000000006</v>
      </c>
      <c r="V69" s="4">
        <v>3261418.7700000009</v>
      </c>
      <c r="W69" s="4">
        <v>7294776.9400000004</v>
      </c>
      <c r="X69" s="4">
        <v>1364790.7</v>
      </c>
      <c r="Y69" s="4">
        <v>3490150.38</v>
      </c>
      <c r="Z69" s="4">
        <v>3158413.1799999997</v>
      </c>
      <c r="AA69" s="4">
        <v>45166835.979999989</v>
      </c>
      <c r="AB69" s="4">
        <v>3395110.7199999997</v>
      </c>
      <c r="AC69" s="4">
        <v>109471703.87</v>
      </c>
      <c r="AD69" s="4">
        <v>11784162.85</v>
      </c>
      <c r="AE69" s="4">
        <v>13986318.159999996</v>
      </c>
      <c r="AF69" s="4">
        <v>31531303.109999999</v>
      </c>
      <c r="AG69" s="4">
        <v>7588078.7000000002</v>
      </c>
      <c r="AH69" s="4">
        <v>25276682.57</v>
      </c>
      <c r="AI69" s="4">
        <v>1855724.4500000004</v>
      </c>
      <c r="AJ69" s="4">
        <v>5061876.3899999997</v>
      </c>
      <c r="AK69" s="4">
        <v>3544804.41</v>
      </c>
      <c r="AL69" s="4">
        <v>5949513.7199999997</v>
      </c>
      <c r="AM69" s="4">
        <v>8650561.4299999997</v>
      </c>
      <c r="AN69" s="4">
        <v>20985476.300000001</v>
      </c>
      <c r="AO69" s="4">
        <v>5196528.91</v>
      </c>
      <c r="AP69" s="4">
        <v>11097589.350000003</v>
      </c>
      <c r="AQ69" s="4">
        <v>8584116.5</v>
      </c>
      <c r="AR69" s="4">
        <v>1577983.48</v>
      </c>
      <c r="AS69" s="4">
        <v>1129474.47</v>
      </c>
      <c r="AT69" s="4">
        <v>2150715.9800000004</v>
      </c>
      <c r="AU69" s="4">
        <v>5275392.1000000006</v>
      </c>
      <c r="AV69" s="4">
        <v>123605110.20999999</v>
      </c>
      <c r="AW69" s="4">
        <v>4399612.51</v>
      </c>
      <c r="AX69" s="4">
        <v>2162113.1</v>
      </c>
      <c r="AY69" s="4">
        <v>4721560.74</v>
      </c>
      <c r="AZ69" s="4">
        <v>11546156.77</v>
      </c>
      <c r="BA69" s="4">
        <v>4120588.1400000006</v>
      </c>
      <c r="BB69" s="4">
        <v>1964546.35</v>
      </c>
      <c r="BC69" s="4">
        <v>4803835.5</v>
      </c>
      <c r="BD69" s="4">
        <v>62347137.850000001</v>
      </c>
      <c r="BE69" s="4">
        <v>1965490.3399999999</v>
      </c>
      <c r="BF69" s="4">
        <v>1559076.4200000002</v>
      </c>
      <c r="BG69" s="4">
        <v>0</v>
      </c>
      <c r="BH69" s="4">
        <f t="shared" si="9"/>
        <v>748627072.70000029</v>
      </c>
      <c r="BI69" s="9"/>
    </row>
    <row r="70" spans="1:61" x14ac:dyDescent="0.2">
      <c r="A70" s="3">
        <v>43922</v>
      </c>
      <c r="B70" s="4">
        <v>15561636.01</v>
      </c>
      <c r="C70" s="4">
        <v>1144791.9300000002</v>
      </c>
      <c r="D70" s="4">
        <v>7812707.1799999997</v>
      </c>
      <c r="E70" s="4">
        <v>2187099.16</v>
      </c>
      <c r="F70" s="4">
        <v>2096617.49</v>
      </c>
      <c r="G70" s="4">
        <v>3767402.16</v>
      </c>
      <c r="H70" s="4">
        <v>3364496.46</v>
      </c>
      <c r="I70" s="4">
        <v>1341046.9100000001</v>
      </c>
      <c r="J70" s="4">
        <v>3358626.01</v>
      </c>
      <c r="K70" s="4">
        <v>2350935.42</v>
      </c>
      <c r="L70" s="4">
        <v>1744166.2200000002</v>
      </c>
      <c r="M70" s="4">
        <v>1190827.5999999999</v>
      </c>
      <c r="N70" s="4">
        <v>10948780.899999999</v>
      </c>
      <c r="O70" s="4">
        <v>44966238.840000004</v>
      </c>
      <c r="P70" s="4">
        <v>1559038.17</v>
      </c>
      <c r="Q70" s="4">
        <v>1309662.24</v>
      </c>
      <c r="R70" s="4">
        <v>1182768.6199999999</v>
      </c>
      <c r="S70" s="4">
        <v>2290007.11</v>
      </c>
      <c r="T70" s="4">
        <v>1780249.9700000002</v>
      </c>
      <c r="U70" s="4">
        <v>168553.59999999998</v>
      </c>
      <c r="V70" s="4">
        <v>1727353.5799999998</v>
      </c>
      <c r="W70" s="4">
        <v>4296014.71</v>
      </c>
      <c r="X70" s="4">
        <v>692782.55</v>
      </c>
      <c r="Y70" s="4">
        <v>1783233.8599999999</v>
      </c>
      <c r="Z70" s="4">
        <v>1577698.75</v>
      </c>
      <c r="AA70" s="4">
        <v>29070731.459999993</v>
      </c>
      <c r="AB70" s="4">
        <v>1828284.42</v>
      </c>
      <c r="AC70" s="4">
        <v>67275447.489999995</v>
      </c>
      <c r="AD70" s="4">
        <v>6538928.7299999995</v>
      </c>
      <c r="AE70" s="4">
        <v>8234037.1600000001</v>
      </c>
      <c r="AF70" s="4">
        <v>20612280.960000001</v>
      </c>
      <c r="AG70" s="4">
        <v>4637126.6899999995</v>
      </c>
      <c r="AH70" s="4">
        <v>16492740.57</v>
      </c>
      <c r="AI70" s="4">
        <v>881012.36999999988</v>
      </c>
      <c r="AJ70" s="4">
        <v>2792975.16</v>
      </c>
      <c r="AK70" s="4">
        <v>2034028.3899999997</v>
      </c>
      <c r="AL70" s="4">
        <v>3569665.9399999995</v>
      </c>
      <c r="AM70" s="4">
        <v>5305874.1900000004</v>
      </c>
      <c r="AN70" s="4">
        <v>11472647.27</v>
      </c>
      <c r="AO70" s="4">
        <v>3617977.2199999997</v>
      </c>
      <c r="AP70" s="4">
        <v>7420249.0199999996</v>
      </c>
      <c r="AQ70" s="4">
        <v>5373532.9900000002</v>
      </c>
      <c r="AR70" s="4">
        <v>832622.33000000007</v>
      </c>
      <c r="AS70" s="4">
        <v>568474.39999999991</v>
      </c>
      <c r="AT70" s="4">
        <v>1538566.89</v>
      </c>
      <c r="AU70" s="4">
        <v>3168094.96</v>
      </c>
      <c r="AV70" s="4">
        <v>81622919.469999999</v>
      </c>
      <c r="AW70" s="4">
        <v>2456387.16</v>
      </c>
      <c r="AX70" s="4">
        <v>1283299.04</v>
      </c>
      <c r="AY70" s="4">
        <v>3079672.38</v>
      </c>
      <c r="AZ70" s="4">
        <v>6311719.4999999991</v>
      </c>
      <c r="BA70" s="4">
        <v>2832416.5999999996</v>
      </c>
      <c r="BB70" s="4">
        <v>1148067.3999999999</v>
      </c>
      <c r="BC70" s="4">
        <v>2558524.62</v>
      </c>
      <c r="BD70" s="4">
        <v>38098466.189999998</v>
      </c>
      <c r="BE70" s="4">
        <v>927152.85</v>
      </c>
      <c r="BF70" s="4">
        <v>652795.02</v>
      </c>
      <c r="BG70" s="4">
        <v>0</v>
      </c>
      <c r="BH70" s="4">
        <f t="shared" si="9"/>
        <v>464439454.2899999</v>
      </c>
    </row>
    <row r="71" spans="1:61" x14ac:dyDescent="0.2">
      <c r="A71" s="3">
        <v>43952</v>
      </c>
      <c r="B71" s="4">
        <v>15449730.819999998</v>
      </c>
      <c r="C71" s="4">
        <v>1006897.6699999999</v>
      </c>
      <c r="D71" s="4">
        <v>7305089.5999999996</v>
      </c>
      <c r="E71" s="4">
        <v>1945724.1600000001</v>
      </c>
      <c r="F71" s="4">
        <v>1892832.6099999999</v>
      </c>
      <c r="G71" s="4">
        <v>3327935.07</v>
      </c>
      <c r="H71" s="4">
        <v>3036185.5199999996</v>
      </c>
      <c r="I71" s="4">
        <v>1205441.8999999999</v>
      </c>
      <c r="J71" s="4">
        <v>2886690.4799999995</v>
      </c>
      <c r="K71" s="4">
        <v>2108432.63</v>
      </c>
      <c r="L71" s="4">
        <v>1632736.6600000001</v>
      </c>
      <c r="M71" s="4">
        <v>1058757.2</v>
      </c>
      <c r="N71" s="4">
        <v>9949565.0599999987</v>
      </c>
      <c r="O71" s="4">
        <v>42540673.859999999</v>
      </c>
      <c r="P71" s="4">
        <v>1430774.97</v>
      </c>
      <c r="Q71" s="4">
        <v>1796691.3099999998</v>
      </c>
      <c r="R71" s="4">
        <v>1079048.7000000002</v>
      </c>
      <c r="S71" s="4">
        <v>2352448.02</v>
      </c>
      <c r="T71" s="4">
        <v>1847976.3900000001</v>
      </c>
      <c r="U71" s="4">
        <v>143665.03</v>
      </c>
      <c r="V71" s="4">
        <v>1754108.96</v>
      </c>
      <c r="W71" s="4">
        <v>3854370.4800000004</v>
      </c>
      <c r="X71" s="4">
        <v>605933.02</v>
      </c>
      <c r="Y71" s="4">
        <v>1604212.5100000002</v>
      </c>
      <c r="Z71" s="4">
        <v>1691191.3199999998</v>
      </c>
      <c r="AA71" s="4">
        <v>24853276.810000002</v>
      </c>
      <c r="AB71" s="4">
        <v>1601545.9900000002</v>
      </c>
      <c r="AC71" s="4">
        <v>60270267.030000001</v>
      </c>
      <c r="AD71" s="4">
        <v>7250455.2200000007</v>
      </c>
      <c r="AE71" s="4">
        <v>7903445.0099999998</v>
      </c>
      <c r="AF71" s="4">
        <v>21033711.210000001</v>
      </c>
      <c r="AG71" s="4">
        <v>4353733.96</v>
      </c>
      <c r="AH71" s="4">
        <v>14490427.590000002</v>
      </c>
      <c r="AI71" s="4">
        <v>943903.2</v>
      </c>
      <c r="AJ71" s="4">
        <v>2466594.9099999997</v>
      </c>
      <c r="AK71" s="4">
        <v>1852210.3200000003</v>
      </c>
      <c r="AL71" s="4">
        <v>3098565.55</v>
      </c>
      <c r="AM71" s="4">
        <v>4705816.1400000006</v>
      </c>
      <c r="AN71" s="4">
        <v>10789387.91</v>
      </c>
      <c r="AO71" s="4">
        <v>3098527.3200000003</v>
      </c>
      <c r="AP71" s="4">
        <v>6452027.6599999992</v>
      </c>
      <c r="AQ71" s="4">
        <v>5293736.2300000004</v>
      </c>
      <c r="AR71" s="4">
        <v>744238.75</v>
      </c>
      <c r="AS71" s="4">
        <v>472726.35</v>
      </c>
      <c r="AT71" s="4">
        <v>1305756.6200000001</v>
      </c>
      <c r="AU71" s="4">
        <v>2782342.55</v>
      </c>
      <c r="AV71" s="4">
        <v>72922166.280000001</v>
      </c>
      <c r="AW71" s="4">
        <v>2170878.41</v>
      </c>
      <c r="AX71" s="4">
        <v>1152506.71</v>
      </c>
      <c r="AY71" s="4">
        <v>2797267.99</v>
      </c>
      <c r="AZ71" s="4">
        <v>5826920.3499999996</v>
      </c>
      <c r="BA71" s="4">
        <v>2840162.54</v>
      </c>
      <c r="BB71" s="4">
        <v>1072383.8900000001</v>
      </c>
      <c r="BC71" s="4">
        <v>2259170.56</v>
      </c>
      <c r="BD71" s="4">
        <v>33854619.230000004</v>
      </c>
      <c r="BE71" s="4">
        <v>865819.24</v>
      </c>
      <c r="BF71" s="4">
        <v>590306.65000000014</v>
      </c>
      <c r="BG71" s="4">
        <v>0</v>
      </c>
      <c r="BH71" s="4">
        <f t="shared" si="9"/>
        <v>425622012.13000011</v>
      </c>
    </row>
    <row r="72" spans="1:61" x14ac:dyDescent="0.2">
      <c r="A72" s="3">
        <v>43983</v>
      </c>
      <c r="B72" s="4">
        <v>23841738.380000003</v>
      </c>
      <c r="C72" s="4">
        <v>2955632.17</v>
      </c>
      <c r="D72" s="4">
        <v>14162914.609999999</v>
      </c>
      <c r="E72" s="4">
        <v>4676905.9099999992</v>
      </c>
      <c r="F72" s="4">
        <v>4749951.1500000004</v>
      </c>
      <c r="G72" s="4">
        <v>8582830.8599999994</v>
      </c>
      <c r="H72" s="4">
        <v>6292550.1100000003</v>
      </c>
      <c r="I72" s="4">
        <v>2663864.71</v>
      </c>
      <c r="J72" s="4">
        <v>6218211.4199999999</v>
      </c>
      <c r="K72" s="4">
        <v>5319713.9000000004</v>
      </c>
      <c r="L72" s="4">
        <v>3789663.66</v>
      </c>
      <c r="M72" s="4">
        <v>3125474.0500000003</v>
      </c>
      <c r="N72" s="4">
        <v>21856947.370000001</v>
      </c>
      <c r="O72" s="4">
        <v>82167972</v>
      </c>
      <c r="P72" s="4">
        <v>3229122.8299999996</v>
      </c>
      <c r="Q72" s="4">
        <v>3129117.4899999993</v>
      </c>
      <c r="R72" s="4">
        <v>2970029.8900000006</v>
      </c>
      <c r="S72" s="4">
        <v>4476775.84</v>
      </c>
      <c r="T72" s="4">
        <v>4339289.51</v>
      </c>
      <c r="U72" s="4">
        <v>358735.4200000001</v>
      </c>
      <c r="V72" s="4">
        <v>4155084.96</v>
      </c>
      <c r="W72" s="4">
        <v>9410233.1099999994</v>
      </c>
      <c r="X72" s="4">
        <v>1760426.0499999998</v>
      </c>
      <c r="Y72" s="4">
        <v>4409215.9600000009</v>
      </c>
      <c r="Z72" s="4">
        <v>3780726.1300000008</v>
      </c>
      <c r="AA72" s="4">
        <v>54661364.149999991</v>
      </c>
      <c r="AB72" s="4">
        <v>4409420.209999999</v>
      </c>
      <c r="AC72" s="4">
        <v>95555601.739999995</v>
      </c>
      <c r="AD72" s="4">
        <v>13316366.120000001</v>
      </c>
      <c r="AE72" s="4">
        <v>14750514.539999999</v>
      </c>
      <c r="AF72" s="4">
        <v>32581382.989999995</v>
      </c>
      <c r="AG72" s="4">
        <v>8363986.540000001</v>
      </c>
      <c r="AH72" s="4">
        <v>22037535.319999997</v>
      </c>
      <c r="AI72" s="4">
        <v>2551439.59</v>
      </c>
      <c r="AJ72" s="4">
        <v>5909358.5999999996</v>
      </c>
      <c r="AK72" s="4">
        <v>4316979.51</v>
      </c>
      <c r="AL72" s="4">
        <v>7059163.6100000003</v>
      </c>
      <c r="AM72" s="4">
        <v>11234716.32</v>
      </c>
      <c r="AN72" s="4">
        <v>20613352.460000001</v>
      </c>
      <c r="AO72" s="4">
        <v>7814982.8500000006</v>
      </c>
      <c r="AP72" s="4">
        <v>13360913.399999999</v>
      </c>
      <c r="AQ72" s="4">
        <v>11007862.199999999</v>
      </c>
      <c r="AR72" s="4">
        <v>2188662.58</v>
      </c>
      <c r="AS72" s="4">
        <v>1137002.8500000001</v>
      </c>
      <c r="AT72" s="4">
        <v>2309826.81</v>
      </c>
      <c r="AU72" s="4">
        <v>6623435.7200000007</v>
      </c>
      <c r="AV72" s="4">
        <v>143009727.25999999</v>
      </c>
      <c r="AW72" s="4">
        <v>5663227.9299999997</v>
      </c>
      <c r="AX72" s="4">
        <v>2770347.44</v>
      </c>
      <c r="AY72" s="4">
        <v>4263130.3</v>
      </c>
      <c r="AZ72" s="4">
        <v>14196050.649999999</v>
      </c>
      <c r="BA72" s="4">
        <v>5425307.1499999994</v>
      </c>
      <c r="BB72" s="4">
        <v>2719925.79</v>
      </c>
      <c r="BC72" s="4">
        <v>7148624.7300000004</v>
      </c>
      <c r="BD72" s="4">
        <v>61049788.400000006</v>
      </c>
      <c r="BE72" s="4">
        <v>2485292.16</v>
      </c>
      <c r="BF72" s="4">
        <v>1798699.7299999997</v>
      </c>
      <c r="BG72" s="4">
        <v>0</v>
      </c>
      <c r="BH72" s="4">
        <f t="shared" si="9"/>
        <v>824757117.13999999</v>
      </c>
    </row>
    <row r="73" spans="1:61" x14ac:dyDescent="0.2">
      <c r="A73" s="3">
        <v>44013</v>
      </c>
      <c r="B73" s="4">
        <v>19954544.100000001</v>
      </c>
      <c r="C73" s="4">
        <v>1512221.3000000003</v>
      </c>
      <c r="D73" s="4">
        <v>9777411.4199999981</v>
      </c>
      <c r="E73" s="4">
        <v>2709461.1199999996</v>
      </c>
      <c r="F73" s="4">
        <v>2895429.46</v>
      </c>
      <c r="G73" s="4">
        <v>5411108.6400000006</v>
      </c>
      <c r="H73" s="4">
        <v>4512043.4800000004</v>
      </c>
      <c r="I73" s="4">
        <v>1797238.29</v>
      </c>
      <c r="J73" s="4">
        <v>4488874.8</v>
      </c>
      <c r="K73" s="4">
        <v>3291699.36</v>
      </c>
      <c r="L73" s="4">
        <v>2181049.5699999998</v>
      </c>
      <c r="M73" s="4">
        <v>1664940.8199999998</v>
      </c>
      <c r="N73" s="4">
        <v>15152378.559999999</v>
      </c>
      <c r="O73" s="4">
        <v>59498782.820000008</v>
      </c>
      <c r="P73" s="4">
        <v>2730458.7</v>
      </c>
      <c r="Q73" s="4">
        <v>1884095.92</v>
      </c>
      <c r="R73" s="4">
        <v>1690628.5700000003</v>
      </c>
      <c r="S73" s="4">
        <v>3310030.0200000005</v>
      </c>
      <c r="T73" s="4">
        <v>2557723.65</v>
      </c>
      <c r="U73" s="4">
        <v>428271.24</v>
      </c>
      <c r="V73" s="4">
        <v>2603498.2599999998</v>
      </c>
      <c r="W73" s="4">
        <v>6221708.5699999994</v>
      </c>
      <c r="X73" s="4">
        <v>1016619.06</v>
      </c>
      <c r="Y73" s="4">
        <v>2463384.8899999997</v>
      </c>
      <c r="Z73" s="4">
        <v>2350828.71</v>
      </c>
      <c r="AA73" s="4">
        <v>37523054.460000001</v>
      </c>
      <c r="AB73" s="4">
        <v>2464220.4500000002</v>
      </c>
      <c r="AC73" s="4">
        <v>88419892.320000008</v>
      </c>
      <c r="AD73" s="4">
        <v>9727599.0999999996</v>
      </c>
      <c r="AE73" s="4">
        <v>10833514.02</v>
      </c>
      <c r="AF73" s="4">
        <v>27322689.16</v>
      </c>
      <c r="AG73" s="4">
        <v>6566040.3700000001</v>
      </c>
      <c r="AH73" s="4">
        <v>21968726.23</v>
      </c>
      <c r="AI73" s="4">
        <v>1191416.73</v>
      </c>
      <c r="AJ73" s="4">
        <v>3773728.6300000004</v>
      </c>
      <c r="AK73" s="4">
        <v>3351098.12</v>
      </c>
      <c r="AL73" s="4">
        <v>4871906.32</v>
      </c>
      <c r="AM73" s="4">
        <v>7129645.7499999991</v>
      </c>
      <c r="AN73" s="4">
        <v>16525939.699999997</v>
      </c>
      <c r="AO73" s="4">
        <v>4630751.07</v>
      </c>
      <c r="AP73" s="4">
        <v>10256286.530000001</v>
      </c>
      <c r="AQ73" s="4">
        <v>7418791.25</v>
      </c>
      <c r="AR73" s="4">
        <v>1177962.1600000001</v>
      </c>
      <c r="AS73" s="4">
        <v>980626.58000000007</v>
      </c>
      <c r="AT73" s="4">
        <v>2117720.84</v>
      </c>
      <c r="AU73" s="4">
        <v>4390097.1300000008</v>
      </c>
      <c r="AV73" s="4">
        <v>113643299.48999999</v>
      </c>
      <c r="AW73" s="4">
        <v>4075272.82</v>
      </c>
      <c r="AX73" s="4">
        <v>1911682.34</v>
      </c>
      <c r="AY73" s="4">
        <v>4052161.42</v>
      </c>
      <c r="AZ73" s="4">
        <v>9316410.0299999993</v>
      </c>
      <c r="BA73" s="4">
        <v>5276639.09</v>
      </c>
      <c r="BB73" s="4">
        <v>1657981.91</v>
      </c>
      <c r="BC73" s="4">
        <v>3459408.6799999997</v>
      </c>
      <c r="BD73" s="4">
        <v>52395633.379999995</v>
      </c>
      <c r="BE73" s="4">
        <v>1431862.8</v>
      </c>
      <c r="BF73" s="4">
        <v>1050444.72</v>
      </c>
      <c r="BG73" s="4">
        <v>0</v>
      </c>
      <c r="BH73" s="4">
        <f t="shared" si="9"/>
        <v>633016934.92999995</v>
      </c>
    </row>
    <row r="74" spans="1:61" x14ac:dyDescent="0.2">
      <c r="A74" s="3">
        <v>44044</v>
      </c>
      <c r="B74" s="4">
        <v>20169796.399999999</v>
      </c>
      <c r="C74" s="4">
        <v>1522683.7000000002</v>
      </c>
      <c r="D74" s="4">
        <v>9422265.0800000001</v>
      </c>
      <c r="E74" s="4">
        <v>2740571.99</v>
      </c>
      <c r="F74" s="4">
        <v>2550166.98</v>
      </c>
      <c r="G74" s="4">
        <v>5457159.0800000001</v>
      </c>
      <c r="H74" s="4">
        <v>4277172.6099999994</v>
      </c>
      <c r="I74" s="4">
        <v>1745339.34</v>
      </c>
      <c r="J74" s="4">
        <v>4408295.1000000006</v>
      </c>
      <c r="K74" s="4">
        <v>3256121.25</v>
      </c>
      <c r="L74" s="4">
        <v>1685890.5999999999</v>
      </c>
      <c r="M74" s="4">
        <v>1230749.6600000001</v>
      </c>
      <c r="N74" s="4">
        <v>14625686.690000001</v>
      </c>
      <c r="O74" s="4">
        <v>59710242.439999998</v>
      </c>
      <c r="P74" s="4">
        <v>2808916.25</v>
      </c>
      <c r="Q74" s="4">
        <v>1988792.2800000003</v>
      </c>
      <c r="R74" s="4">
        <v>1645409.13</v>
      </c>
      <c r="S74" s="4">
        <v>3318504.6500000004</v>
      </c>
      <c r="T74" s="4">
        <v>2656201.27</v>
      </c>
      <c r="U74" s="4">
        <v>427272.53999999992</v>
      </c>
      <c r="V74" s="4">
        <v>2758841.46</v>
      </c>
      <c r="W74" s="4">
        <v>6315945.7899999991</v>
      </c>
      <c r="X74" s="4">
        <v>955790.04999999993</v>
      </c>
      <c r="Y74" s="4">
        <v>2420957.3200000003</v>
      </c>
      <c r="Z74" s="4">
        <v>2269132.23</v>
      </c>
      <c r="AA74" s="4">
        <v>38296840.019999996</v>
      </c>
      <c r="AB74" s="4">
        <v>2469743.06</v>
      </c>
      <c r="AC74" s="4">
        <v>90143233.079999998</v>
      </c>
      <c r="AD74" s="4">
        <v>10049959.17</v>
      </c>
      <c r="AE74" s="4">
        <v>10813629.67</v>
      </c>
      <c r="AF74" s="4">
        <v>27702641.509999998</v>
      </c>
      <c r="AG74" s="4">
        <v>6601305.3600000003</v>
      </c>
      <c r="AH74" s="4">
        <v>22313633.100000001</v>
      </c>
      <c r="AI74" s="4">
        <v>1249023.74</v>
      </c>
      <c r="AJ74" s="4">
        <v>3608217.4899999998</v>
      </c>
      <c r="AK74" s="4">
        <v>3377778.92</v>
      </c>
      <c r="AL74" s="4">
        <v>4918555.22</v>
      </c>
      <c r="AM74" s="4">
        <v>6963739.9199999999</v>
      </c>
      <c r="AN74" s="4">
        <v>16210536.959999999</v>
      </c>
      <c r="AO74" s="4">
        <v>4531974.5299999993</v>
      </c>
      <c r="AP74" s="4">
        <v>10245733.58</v>
      </c>
      <c r="AQ74" s="4">
        <v>7302968.8899999997</v>
      </c>
      <c r="AR74" s="4">
        <v>1201785.33</v>
      </c>
      <c r="AS74" s="4">
        <v>949772.84000000008</v>
      </c>
      <c r="AT74" s="4">
        <v>2019595.44</v>
      </c>
      <c r="AU74" s="4">
        <v>4353705.2200000007</v>
      </c>
      <c r="AV74" s="4">
        <v>115951705.01999998</v>
      </c>
      <c r="AW74" s="4">
        <v>4166670.67</v>
      </c>
      <c r="AX74" s="4">
        <v>1939886.9100000001</v>
      </c>
      <c r="AY74" s="4">
        <v>3959551.94</v>
      </c>
      <c r="AZ74" s="4">
        <v>9409281.5899999999</v>
      </c>
      <c r="BA74" s="4">
        <v>5359264.25</v>
      </c>
      <c r="BB74" s="4">
        <v>1708871.6099999999</v>
      </c>
      <c r="BC74" s="4">
        <v>3603106.1400000006</v>
      </c>
      <c r="BD74" s="4">
        <v>52454247.759999998</v>
      </c>
      <c r="BE74" s="4">
        <v>1384362.37</v>
      </c>
      <c r="BF74" s="4">
        <v>1021678.5999999999</v>
      </c>
      <c r="BG74" s="4">
        <v>0</v>
      </c>
      <c r="BH74" s="4">
        <f t="shared" si="9"/>
        <v>636650903.80000007</v>
      </c>
    </row>
    <row r="75" spans="1:61" x14ac:dyDescent="0.2">
      <c r="A75" s="3">
        <v>44075</v>
      </c>
      <c r="B75" s="4">
        <v>29893155.539999995</v>
      </c>
      <c r="C75" s="4">
        <v>3597912.24</v>
      </c>
      <c r="D75" s="4">
        <v>18363448.700000003</v>
      </c>
      <c r="E75" s="4">
        <v>5812578.5500000007</v>
      </c>
      <c r="F75" s="4">
        <v>5618566.9999999991</v>
      </c>
      <c r="G75" s="4">
        <v>9953887.8100000005</v>
      </c>
      <c r="H75" s="4">
        <v>7627930.6700000009</v>
      </c>
      <c r="I75" s="4">
        <v>3480709.8000000007</v>
      </c>
      <c r="J75" s="4">
        <v>7083485.21</v>
      </c>
      <c r="K75" s="4">
        <v>6635832.8699999992</v>
      </c>
      <c r="L75" s="4">
        <v>4238367.6500000004</v>
      </c>
      <c r="M75" s="4">
        <v>3947024.1399999997</v>
      </c>
      <c r="N75" s="4">
        <v>26069554.860000003</v>
      </c>
      <c r="O75" s="4">
        <v>109809577.16999997</v>
      </c>
      <c r="P75" s="4">
        <v>4517207.54</v>
      </c>
      <c r="Q75" s="4">
        <v>3833223.3000000003</v>
      </c>
      <c r="R75" s="4">
        <v>3367875.6600000006</v>
      </c>
      <c r="S75" s="4">
        <v>4894251.2600000007</v>
      </c>
      <c r="T75" s="4">
        <v>5127360.1499999985</v>
      </c>
      <c r="U75" s="4">
        <v>714653.70000000007</v>
      </c>
      <c r="V75" s="4">
        <v>4725814.9799999995</v>
      </c>
      <c r="W75" s="4">
        <v>11597595.309999999</v>
      </c>
      <c r="X75" s="4">
        <v>1822321.9099999997</v>
      </c>
      <c r="Y75" s="4">
        <v>5538907.1900000004</v>
      </c>
      <c r="Z75" s="4">
        <v>4784603.1100000003</v>
      </c>
      <c r="AA75" s="4">
        <v>68396310.310000002</v>
      </c>
      <c r="AB75" s="4">
        <v>4899156.4000000004</v>
      </c>
      <c r="AC75" s="4">
        <v>143908196.81</v>
      </c>
      <c r="AD75" s="4">
        <v>17194765.120000001</v>
      </c>
      <c r="AE75" s="4">
        <v>20237476.130000003</v>
      </c>
      <c r="AF75" s="4">
        <v>45162489.350000009</v>
      </c>
      <c r="AG75" s="4">
        <v>10705539.310000001</v>
      </c>
      <c r="AH75" s="4">
        <v>31702294.109999999</v>
      </c>
      <c r="AI75" s="4">
        <v>2968034.53</v>
      </c>
      <c r="AJ75" s="4">
        <v>7550075.9399999995</v>
      </c>
      <c r="AK75" s="4">
        <v>3902813.29</v>
      </c>
      <c r="AL75" s="4">
        <v>9125106.2300000004</v>
      </c>
      <c r="AM75" s="4">
        <v>12677790.050000001</v>
      </c>
      <c r="AN75" s="4">
        <v>28851411.489999998</v>
      </c>
      <c r="AO75" s="4">
        <v>9893198.7499999981</v>
      </c>
      <c r="AP75" s="4">
        <v>15086593.280000001</v>
      </c>
      <c r="AQ75" s="4">
        <v>13143638.700000001</v>
      </c>
      <c r="AR75" s="4">
        <v>2492782.1799999997</v>
      </c>
      <c r="AS75" s="4">
        <v>1747950.96</v>
      </c>
      <c r="AT75" s="4">
        <v>3301934.96</v>
      </c>
      <c r="AU75" s="4">
        <v>7851619.1799999997</v>
      </c>
      <c r="AV75" s="4">
        <v>201328947.25</v>
      </c>
      <c r="AW75" s="4">
        <v>6911371.8600000003</v>
      </c>
      <c r="AX75" s="4">
        <v>2955865.99</v>
      </c>
      <c r="AY75" s="4">
        <v>6254979.879999999</v>
      </c>
      <c r="AZ75" s="4">
        <v>17396657.010000002</v>
      </c>
      <c r="BA75" s="4">
        <v>7747898.959999999</v>
      </c>
      <c r="BB75" s="4">
        <v>3079849.1</v>
      </c>
      <c r="BC75" s="4">
        <v>7667500.7200000007</v>
      </c>
      <c r="BD75" s="4">
        <v>75504548.699999988</v>
      </c>
      <c r="BE75" s="4">
        <v>3060605.5700000003</v>
      </c>
      <c r="BF75" s="4">
        <v>2449321.7199999997</v>
      </c>
      <c r="BG75" s="4">
        <v>0</v>
      </c>
      <c r="BH75" s="4">
        <f t="shared" si="9"/>
        <v>1088212570.1600001</v>
      </c>
    </row>
    <row r="76" spans="1:61" x14ac:dyDescent="0.2">
      <c r="A76" s="3">
        <v>44105</v>
      </c>
      <c r="B76" s="4">
        <v>21335323.420000002</v>
      </c>
      <c r="C76" s="4">
        <v>1639776.89</v>
      </c>
      <c r="D76" s="4">
        <v>10620945.539999999</v>
      </c>
      <c r="E76" s="4">
        <v>2834979.8800000004</v>
      </c>
      <c r="F76" s="4">
        <v>2773852.52</v>
      </c>
      <c r="G76" s="4">
        <v>5291803.7699999996</v>
      </c>
      <c r="H76" s="4">
        <v>4722879.8900000006</v>
      </c>
      <c r="I76" s="4">
        <v>1778706.88</v>
      </c>
      <c r="J76" s="4">
        <v>4753667.87</v>
      </c>
      <c r="K76" s="4">
        <v>3119812.1700000004</v>
      </c>
      <c r="L76" s="4">
        <v>2250005.0199999996</v>
      </c>
      <c r="M76" s="4">
        <v>1808580.4300000002</v>
      </c>
      <c r="N76" s="4">
        <v>15613148.17</v>
      </c>
      <c r="O76" s="4">
        <v>62056987.800000004</v>
      </c>
      <c r="P76" s="4">
        <v>2333443.6899999995</v>
      </c>
      <c r="Q76" s="4">
        <v>1870936.62</v>
      </c>
      <c r="R76" s="4">
        <v>1691918.12</v>
      </c>
      <c r="S76" s="4">
        <v>3230694.12</v>
      </c>
      <c r="T76" s="4">
        <v>2540985.5700000003</v>
      </c>
      <c r="U76" s="4">
        <v>299727.56999999995</v>
      </c>
      <c r="V76" s="4">
        <v>2480391.38</v>
      </c>
      <c r="W76" s="4">
        <v>6200696.4200000009</v>
      </c>
      <c r="X76" s="4">
        <v>936709.45</v>
      </c>
      <c r="Y76" s="4">
        <v>2669343.16</v>
      </c>
      <c r="Z76" s="4">
        <v>2334741.4699999997</v>
      </c>
      <c r="AA76" s="4">
        <v>33791776.769999996</v>
      </c>
      <c r="AB76" s="4">
        <v>2539367.79</v>
      </c>
      <c r="AC76" s="4">
        <v>91417027.870000005</v>
      </c>
      <c r="AD76" s="4">
        <v>9652346.2500000019</v>
      </c>
      <c r="AE76" s="4">
        <v>11086520.079999998</v>
      </c>
      <c r="AF76" s="4">
        <v>28639343.510000002</v>
      </c>
      <c r="AG76" s="4">
        <v>6777053.7399999993</v>
      </c>
      <c r="AH76" s="4">
        <v>23409929.649999999</v>
      </c>
      <c r="AI76" s="4">
        <v>1287899.93</v>
      </c>
      <c r="AJ76" s="4">
        <v>3055068.59</v>
      </c>
      <c r="AK76" s="4">
        <v>2768971.4699999997</v>
      </c>
      <c r="AL76" s="4">
        <v>4917403.21</v>
      </c>
      <c r="AM76" s="4">
        <v>7354027.7999999989</v>
      </c>
      <c r="AN76" s="4">
        <v>17061256.880000003</v>
      </c>
      <c r="AO76" s="4">
        <v>4995516.8400000008</v>
      </c>
      <c r="AP76" s="4">
        <v>9950288.0200000014</v>
      </c>
      <c r="AQ76" s="4">
        <v>7715944.3800000008</v>
      </c>
      <c r="AR76" s="4">
        <v>1231703.31</v>
      </c>
      <c r="AS76" s="4">
        <v>849522.67999999993</v>
      </c>
      <c r="AT76" s="4">
        <v>2129499.6799999997</v>
      </c>
      <c r="AU76" s="4">
        <v>4462472.33</v>
      </c>
      <c r="AV76" s="4">
        <v>107913284.67000002</v>
      </c>
      <c r="AW76" s="4">
        <v>3524672.0200000005</v>
      </c>
      <c r="AX76" s="4">
        <v>1826991.01</v>
      </c>
      <c r="AY76" s="4">
        <v>3989785.0700000003</v>
      </c>
      <c r="AZ76" s="4">
        <v>9298907.2699999996</v>
      </c>
      <c r="BA76" s="4">
        <v>4162037.52</v>
      </c>
      <c r="BB76" s="4">
        <v>1669154.2200000002</v>
      </c>
      <c r="BC76" s="4">
        <v>3632608.0199999996</v>
      </c>
      <c r="BD76" s="4">
        <v>53311849.170000002</v>
      </c>
      <c r="BE76" s="4">
        <v>1370324.9500000002</v>
      </c>
      <c r="BF76" s="4">
        <v>991265.64999999991</v>
      </c>
      <c r="BG76" s="4">
        <v>0</v>
      </c>
      <c r="BH76" s="4">
        <f t="shared" si="9"/>
        <v>633973878.16999996</v>
      </c>
    </row>
    <row r="77" spans="1:61" x14ac:dyDescent="0.2">
      <c r="A77" s="3">
        <v>44136</v>
      </c>
      <c r="B77" s="4">
        <v>20425500.579999998</v>
      </c>
      <c r="C77" s="4">
        <v>1624337.16</v>
      </c>
      <c r="D77" s="4">
        <v>9904673.1699999981</v>
      </c>
      <c r="E77" s="4">
        <v>3199764.0999999996</v>
      </c>
      <c r="F77" s="4">
        <v>2400098.63</v>
      </c>
      <c r="G77" s="4">
        <v>5126034.67</v>
      </c>
      <c r="H77" s="4">
        <v>4468433.78</v>
      </c>
      <c r="I77" s="4">
        <v>1719666.73</v>
      </c>
      <c r="J77" s="4">
        <v>4379510.07</v>
      </c>
      <c r="K77" s="4">
        <v>3075771.7600000002</v>
      </c>
      <c r="L77" s="4">
        <v>2133964.73</v>
      </c>
      <c r="M77" s="4">
        <v>1730220.72</v>
      </c>
      <c r="N77" s="4">
        <v>15299138.59</v>
      </c>
      <c r="O77" s="4">
        <v>59376920.449999996</v>
      </c>
      <c r="P77" s="4">
        <v>2331460.7199999997</v>
      </c>
      <c r="Q77" s="4">
        <v>1795921.15</v>
      </c>
      <c r="R77" s="4">
        <v>1592848.77</v>
      </c>
      <c r="S77" s="4">
        <v>3095115.38</v>
      </c>
      <c r="T77" s="4">
        <v>2512297.4500000002</v>
      </c>
      <c r="U77" s="4">
        <v>283527.71999999997</v>
      </c>
      <c r="V77" s="4">
        <v>2423385.96</v>
      </c>
      <c r="W77" s="4">
        <v>5863267.5600000005</v>
      </c>
      <c r="X77" s="4">
        <v>871251.1</v>
      </c>
      <c r="Y77" s="4">
        <v>2547391.06</v>
      </c>
      <c r="Z77" s="4">
        <v>2195840.7200000002</v>
      </c>
      <c r="AA77" s="4">
        <v>38669329.299999997</v>
      </c>
      <c r="AB77" s="4">
        <v>2365527.58</v>
      </c>
      <c r="AC77" s="4">
        <v>90407615.74000001</v>
      </c>
      <c r="AD77" s="4">
        <v>9532207.040000001</v>
      </c>
      <c r="AE77" s="4">
        <v>10725300.490000002</v>
      </c>
      <c r="AF77" s="4">
        <v>28462656.359999999</v>
      </c>
      <c r="AG77" s="4">
        <v>6484972.1399999997</v>
      </c>
      <c r="AH77" s="4">
        <v>22153772.280000001</v>
      </c>
      <c r="AI77" s="4">
        <v>1336853.3700000001</v>
      </c>
      <c r="AJ77" s="4">
        <v>3534306.02</v>
      </c>
      <c r="AK77" s="4">
        <v>2735957.9</v>
      </c>
      <c r="AL77" s="4">
        <v>4843886.45</v>
      </c>
      <c r="AM77" s="4">
        <v>6998714.4399999995</v>
      </c>
      <c r="AN77" s="4">
        <v>16423476.049999997</v>
      </c>
      <c r="AO77" s="4">
        <v>4170913.7199999997</v>
      </c>
      <c r="AP77" s="4">
        <v>9948561.7000000011</v>
      </c>
      <c r="AQ77" s="4">
        <v>9895771.8800000008</v>
      </c>
      <c r="AR77" s="4">
        <v>1177759.94</v>
      </c>
      <c r="AS77" s="4">
        <v>858136.57000000007</v>
      </c>
      <c r="AT77" s="4">
        <v>2031676.0699999998</v>
      </c>
      <c r="AU77" s="4">
        <v>4213565.2699999996</v>
      </c>
      <c r="AV77" s="4">
        <v>104594912.33000001</v>
      </c>
      <c r="AW77" s="4">
        <v>3332404.5700000003</v>
      </c>
      <c r="AX77" s="4">
        <v>1824564.25</v>
      </c>
      <c r="AY77" s="4">
        <v>4021793</v>
      </c>
      <c r="AZ77" s="4">
        <v>9123755.0500000007</v>
      </c>
      <c r="BA77" s="4">
        <v>3928450.22</v>
      </c>
      <c r="BB77" s="4">
        <v>1635692.9699999997</v>
      </c>
      <c r="BC77" s="4">
        <v>3497933.4700000007</v>
      </c>
      <c r="BD77" s="4">
        <v>52017261.940000013</v>
      </c>
      <c r="BE77" s="4">
        <v>1270724.46</v>
      </c>
      <c r="BF77" s="4">
        <v>927746.59000000008</v>
      </c>
      <c r="BG77" s="4">
        <v>0</v>
      </c>
      <c r="BH77" s="4">
        <f t="shared" si="9"/>
        <v>623522541.89000022</v>
      </c>
    </row>
    <row r="78" spans="1:61" x14ac:dyDescent="0.2">
      <c r="A78" s="3">
        <v>44166</v>
      </c>
      <c r="B78" s="4">
        <v>30437736.969999999</v>
      </c>
      <c r="C78" s="4">
        <v>2889871.540000001</v>
      </c>
      <c r="D78" s="4">
        <v>17370928.399999999</v>
      </c>
      <c r="E78" s="4">
        <v>5084240.0699999994</v>
      </c>
      <c r="F78" s="4">
        <v>4860527.75</v>
      </c>
      <c r="G78" s="4">
        <v>8737430.9700000025</v>
      </c>
      <c r="H78" s="4">
        <v>6864151.959999999</v>
      </c>
      <c r="I78" s="4">
        <v>3231715.3899999997</v>
      </c>
      <c r="J78" s="4">
        <v>6076518.4000000004</v>
      </c>
      <c r="K78" s="4">
        <v>6576888.8899999997</v>
      </c>
      <c r="L78" s="4">
        <v>3882563.07</v>
      </c>
      <c r="M78" s="4">
        <v>3538060.68</v>
      </c>
      <c r="N78" s="4">
        <v>26846385.440000001</v>
      </c>
      <c r="O78" s="4">
        <v>94310555.060000002</v>
      </c>
      <c r="P78" s="4">
        <v>4158166.1300000008</v>
      </c>
      <c r="Q78" s="4">
        <v>3265498.54</v>
      </c>
      <c r="R78" s="4">
        <v>3383812.9000000008</v>
      </c>
      <c r="S78" s="4">
        <v>4654624.24</v>
      </c>
      <c r="T78" s="4">
        <v>4986956.7199999988</v>
      </c>
      <c r="U78" s="4">
        <v>593476.66</v>
      </c>
      <c r="V78" s="4">
        <v>4331664.8</v>
      </c>
      <c r="W78" s="4">
        <v>10390365.91</v>
      </c>
      <c r="X78" s="4">
        <v>1807198.7500000002</v>
      </c>
      <c r="Y78" s="4">
        <v>4528102.3099999996</v>
      </c>
      <c r="Z78" s="4">
        <v>3913040.71</v>
      </c>
      <c r="AA78" s="4">
        <v>59930754.729999989</v>
      </c>
      <c r="AB78" s="4">
        <v>4491776.24</v>
      </c>
      <c r="AC78" s="4">
        <v>150889874.28999999</v>
      </c>
      <c r="AD78" s="4">
        <v>15065317.579999998</v>
      </c>
      <c r="AE78" s="4">
        <v>18250059.560000002</v>
      </c>
      <c r="AF78" s="4">
        <v>42098266.579999998</v>
      </c>
      <c r="AG78" s="4">
        <v>10270781.379999999</v>
      </c>
      <c r="AH78" s="4">
        <v>34610120.520000003</v>
      </c>
      <c r="AI78" s="4">
        <v>2525715.77</v>
      </c>
      <c r="AJ78" s="4">
        <v>8888193.9799999986</v>
      </c>
      <c r="AK78" s="4">
        <v>4269445.3599999994</v>
      </c>
      <c r="AL78" s="4">
        <v>8678973.1300000008</v>
      </c>
      <c r="AM78" s="4">
        <v>12165030.309999999</v>
      </c>
      <c r="AN78" s="4">
        <v>29166161.980000004</v>
      </c>
      <c r="AO78" s="4">
        <v>7341258.2499999981</v>
      </c>
      <c r="AP78" s="4">
        <v>14836117.480000002</v>
      </c>
      <c r="AQ78" s="4">
        <v>13124859.380000001</v>
      </c>
      <c r="AR78" s="4">
        <v>2174340.0200000005</v>
      </c>
      <c r="AS78" s="4">
        <v>1556770.1300000001</v>
      </c>
      <c r="AT78" s="4">
        <v>2872660.5299999993</v>
      </c>
      <c r="AU78" s="4">
        <v>6647303.1700000009</v>
      </c>
      <c r="AV78" s="4">
        <v>201934407.07999998</v>
      </c>
      <c r="AW78" s="4">
        <v>6634306.4199999999</v>
      </c>
      <c r="AX78" s="4">
        <v>2740135.0700000008</v>
      </c>
      <c r="AY78" s="4">
        <v>5545041.4900000002</v>
      </c>
      <c r="AZ78" s="4">
        <v>17707952.109999999</v>
      </c>
      <c r="BA78" s="4">
        <v>6368252.0200000005</v>
      </c>
      <c r="BB78" s="4">
        <v>2798524.3199999994</v>
      </c>
      <c r="BC78" s="4">
        <v>7014804.1600000001</v>
      </c>
      <c r="BD78" s="4">
        <v>83763988.569999993</v>
      </c>
      <c r="BE78" s="4">
        <v>2726581.96</v>
      </c>
      <c r="BF78" s="4">
        <v>2079249.4599999995</v>
      </c>
      <c r="BG78" s="4">
        <v>0</v>
      </c>
      <c r="BH78" s="4">
        <f t="shared" si="9"/>
        <v>1055887505.29</v>
      </c>
    </row>
    <row r="79" spans="1:61" ht="15.75" thickBot="1" x14ac:dyDescent="0.25">
      <c r="A79" s="1" t="s">
        <v>179</v>
      </c>
      <c r="B79" s="5">
        <f>SUM(B67:B78)</f>
        <v>265927475.72</v>
      </c>
      <c r="C79" s="5">
        <f>SUM(C67:C78)</f>
        <v>23586193.940000005</v>
      </c>
      <c r="D79" s="5">
        <f t="shared" ref="D79:BH79" si="10">SUM(D67:D78)</f>
        <v>140185874.13999999</v>
      </c>
      <c r="E79" s="5">
        <f t="shared" si="10"/>
        <v>40996796.25</v>
      </c>
      <c r="F79" s="5">
        <f t="shared" si="10"/>
        <v>39071201.370000005</v>
      </c>
      <c r="G79" s="5">
        <f t="shared" si="10"/>
        <v>72191975.909999996</v>
      </c>
      <c r="H79" s="5">
        <f t="shared" si="10"/>
        <v>60679063.530000001</v>
      </c>
      <c r="I79" s="5">
        <f t="shared" si="10"/>
        <v>25051921.350000001</v>
      </c>
      <c r="J79" s="5">
        <f t="shared" si="10"/>
        <v>57546813.929999992</v>
      </c>
      <c r="K79" s="5">
        <f t="shared" si="10"/>
        <v>46129518.539999999</v>
      </c>
      <c r="L79" s="5">
        <f t="shared" si="10"/>
        <v>31129869.870000005</v>
      </c>
      <c r="M79" s="5">
        <f t="shared" si="10"/>
        <v>24624989.869999997</v>
      </c>
      <c r="N79" s="5">
        <f t="shared" si="10"/>
        <v>203550414.28</v>
      </c>
      <c r="O79" s="5">
        <f t="shared" si="10"/>
        <v>814649553.61999989</v>
      </c>
      <c r="P79" s="5">
        <f t="shared" si="10"/>
        <v>32085444.350000001</v>
      </c>
      <c r="Q79" s="5">
        <f t="shared" si="10"/>
        <v>26779974.84</v>
      </c>
      <c r="R79" s="5">
        <f t="shared" si="10"/>
        <v>23838869.870000005</v>
      </c>
      <c r="S79" s="5">
        <f t="shared" si="10"/>
        <v>41438569.760000005</v>
      </c>
      <c r="T79" s="5">
        <f t="shared" si="10"/>
        <v>36761707.060000002</v>
      </c>
      <c r="U79" s="5">
        <f t="shared" si="10"/>
        <v>4226893.47</v>
      </c>
      <c r="V79" s="5">
        <f t="shared" si="10"/>
        <v>34831165.689999998</v>
      </c>
      <c r="W79" s="5">
        <f t="shared" si="10"/>
        <v>82444414.560000002</v>
      </c>
      <c r="X79" s="5">
        <f t="shared" si="10"/>
        <v>13522820.029999997</v>
      </c>
      <c r="Y79" s="5">
        <f t="shared" si="10"/>
        <v>36319137.149999999</v>
      </c>
      <c r="Z79" s="5">
        <f t="shared" si="10"/>
        <v>32087881.959999997</v>
      </c>
      <c r="AA79" s="5">
        <f t="shared" si="10"/>
        <v>511238992.28999996</v>
      </c>
      <c r="AB79" s="5">
        <f t="shared" si="10"/>
        <v>35124340.389999993</v>
      </c>
      <c r="AC79" s="5">
        <f t="shared" si="10"/>
        <v>1189299256.7800002</v>
      </c>
      <c r="AD79" s="5">
        <f t="shared" si="10"/>
        <v>129140318.42</v>
      </c>
      <c r="AE79" s="5">
        <f t="shared" si="10"/>
        <v>148764862.13999999</v>
      </c>
      <c r="AF79" s="5">
        <f t="shared" si="10"/>
        <v>361522230.41999996</v>
      </c>
      <c r="AG79" s="5">
        <f t="shared" si="10"/>
        <v>85978917.649999991</v>
      </c>
      <c r="AH79" s="5">
        <f t="shared" si="10"/>
        <v>281078522.91999996</v>
      </c>
      <c r="AI79" s="5">
        <f t="shared" si="10"/>
        <v>19364448.780000001</v>
      </c>
      <c r="AJ79" s="5">
        <f t="shared" si="10"/>
        <v>53131846.199999988</v>
      </c>
      <c r="AK79" s="5">
        <f t="shared" si="10"/>
        <v>37488142.959999993</v>
      </c>
      <c r="AL79" s="5">
        <f t="shared" si="10"/>
        <v>67143611.700000003</v>
      </c>
      <c r="AM79" s="5">
        <f t="shared" si="10"/>
        <v>96250842.090000004</v>
      </c>
      <c r="AN79" s="5">
        <f t="shared" si="10"/>
        <v>225875785.38</v>
      </c>
      <c r="AO79" s="5">
        <f t="shared" si="10"/>
        <v>64649695.060000002</v>
      </c>
      <c r="AP79" s="5">
        <f t="shared" si="10"/>
        <v>128006289.64000002</v>
      </c>
      <c r="AQ79" s="5">
        <f t="shared" si="10"/>
        <v>105031508.25</v>
      </c>
      <c r="AR79" s="5">
        <f t="shared" si="10"/>
        <v>16952174.25</v>
      </c>
      <c r="AS79" s="5">
        <f t="shared" si="10"/>
        <v>11657153.070000002</v>
      </c>
      <c r="AT79" s="5">
        <f t="shared" si="10"/>
        <v>25651396.390000001</v>
      </c>
      <c r="AU79" s="5">
        <f t="shared" si="10"/>
        <v>58343424.040000007</v>
      </c>
      <c r="AV79" s="5">
        <f t="shared" si="10"/>
        <v>1496519006.2099998</v>
      </c>
      <c r="AW79" s="5">
        <f t="shared" si="10"/>
        <v>49587964.230000004</v>
      </c>
      <c r="AX79" s="5">
        <f t="shared" si="10"/>
        <v>24159463.699999999</v>
      </c>
      <c r="AY79" s="5">
        <f t="shared" si="10"/>
        <v>50979165.810000002</v>
      </c>
      <c r="AZ79" s="5">
        <f t="shared" si="10"/>
        <v>128452038.06999999</v>
      </c>
      <c r="BA79" s="5">
        <f t="shared" si="10"/>
        <v>55580214.900000006</v>
      </c>
      <c r="BB79" s="5">
        <f t="shared" si="10"/>
        <v>22613682.350000001</v>
      </c>
      <c r="BC79" s="5">
        <f t="shared" si="10"/>
        <v>52365040.159999996</v>
      </c>
      <c r="BD79" s="5">
        <f t="shared" si="10"/>
        <v>680701105.76999998</v>
      </c>
      <c r="BE79" s="5">
        <f t="shared" si="10"/>
        <v>20017084.130000003</v>
      </c>
      <c r="BF79" s="5">
        <f t="shared" si="10"/>
        <v>14650973.709999997</v>
      </c>
      <c r="BG79" s="5">
        <f t="shared" si="10"/>
        <v>0</v>
      </c>
      <c r="BH79" s="5">
        <f t="shared" si="10"/>
        <v>8456978038.9200001</v>
      </c>
    </row>
    <row r="80" spans="1:61" ht="15.75" thickTop="1" x14ac:dyDescent="0.2"/>
    <row r="81" spans="1:60" x14ac:dyDescent="0.2">
      <c r="A81" s="3">
        <v>43466</v>
      </c>
      <c r="B81" s="4">
        <v>22833877.549999997</v>
      </c>
      <c r="C81" s="4">
        <v>1633328.4200000004</v>
      </c>
      <c r="D81" s="4">
        <v>10746777.669999998</v>
      </c>
      <c r="E81" s="4">
        <v>3075774.2600000002</v>
      </c>
      <c r="F81" s="4">
        <v>2861113.6799999997</v>
      </c>
      <c r="G81" s="4">
        <v>5034491.1400000006</v>
      </c>
      <c r="H81" s="4">
        <v>5192584.49</v>
      </c>
      <c r="I81" s="4">
        <v>1676485.3399999999</v>
      </c>
      <c r="J81" s="4">
        <v>4213154.51</v>
      </c>
      <c r="K81" s="4">
        <v>3007187.6199999996</v>
      </c>
      <c r="L81" s="4">
        <v>2347915.73</v>
      </c>
      <c r="M81" s="4">
        <v>1529685.58</v>
      </c>
      <c r="N81" s="4">
        <v>15396409.640000001</v>
      </c>
      <c r="O81" s="4">
        <v>65278923.440000005</v>
      </c>
      <c r="P81" s="4">
        <v>2230492.9900000002</v>
      </c>
      <c r="Q81" s="4">
        <v>1786525.06</v>
      </c>
      <c r="R81" s="4">
        <v>1658442.62</v>
      </c>
      <c r="S81" s="4">
        <v>3040901.9600000004</v>
      </c>
      <c r="T81" s="4">
        <v>2465030.4900000002</v>
      </c>
      <c r="U81" s="4">
        <v>212217.12</v>
      </c>
      <c r="V81" s="4">
        <v>2355430.1399999997</v>
      </c>
      <c r="W81" s="4">
        <v>5768888.9199999999</v>
      </c>
      <c r="X81" s="4">
        <v>849669.82</v>
      </c>
      <c r="Y81" s="4">
        <v>2473627.54</v>
      </c>
      <c r="Z81" s="4">
        <v>2081584.39</v>
      </c>
      <c r="AA81" s="4">
        <v>41043397.699999996</v>
      </c>
      <c r="AB81" s="4">
        <v>2341777.0299999998</v>
      </c>
      <c r="AC81" s="4">
        <v>100610156.49000001</v>
      </c>
      <c r="AD81" s="4">
        <v>9299372.0500000007</v>
      </c>
      <c r="AE81" s="4">
        <v>11114495.27</v>
      </c>
      <c r="AF81" s="4">
        <v>29206661.080000006</v>
      </c>
      <c r="AG81" s="4">
        <v>6816192.3900000006</v>
      </c>
      <c r="AH81" s="4">
        <v>23762276.970000003</v>
      </c>
      <c r="AI81" s="4">
        <v>1326561.4700000002</v>
      </c>
      <c r="AJ81" s="4">
        <v>3565198.1599999992</v>
      </c>
      <c r="AK81" s="4">
        <v>2681181.33</v>
      </c>
      <c r="AL81" s="4">
        <v>4966930.3499999996</v>
      </c>
      <c r="AM81" s="4">
        <v>7414292.4199999999</v>
      </c>
      <c r="AN81" s="4">
        <v>18083373.500000004</v>
      </c>
      <c r="AO81" s="4">
        <v>4674530.5299999993</v>
      </c>
      <c r="AP81" s="4">
        <v>9568687.0999999996</v>
      </c>
      <c r="AQ81" s="4">
        <v>8836626.7899999991</v>
      </c>
      <c r="AR81" s="4">
        <v>1074852.0999999999</v>
      </c>
      <c r="AS81" s="4">
        <v>686251.76</v>
      </c>
      <c r="AT81" s="4">
        <v>1928853.5899999999</v>
      </c>
      <c r="AU81" s="4">
        <v>4423176.4300000006</v>
      </c>
      <c r="AV81" s="4">
        <v>113845189.52</v>
      </c>
      <c r="AW81" s="4">
        <v>3008235.82</v>
      </c>
      <c r="AX81" s="4">
        <v>1729323.59</v>
      </c>
      <c r="AY81" s="4">
        <v>4208822.71</v>
      </c>
      <c r="AZ81" s="4">
        <v>9124751.3599999994</v>
      </c>
      <c r="BA81" s="4">
        <v>3878592.13</v>
      </c>
      <c r="BB81" s="4">
        <v>1656145.7999999998</v>
      </c>
      <c r="BC81" s="4">
        <v>3258319.7300000004</v>
      </c>
      <c r="BD81" s="4">
        <v>46716381.420000002</v>
      </c>
      <c r="BE81" s="4">
        <v>1181220.33</v>
      </c>
      <c r="BF81" s="4">
        <v>726313.4800000001</v>
      </c>
      <c r="BG81" s="4">
        <v>0</v>
      </c>
      <c r="BH81" s="4">
        <f>SUM(B81:BG81)</f>
        <v>652508660.52000022</v>
      </c>
    </row>
    <row r="82" spans="1:60" x14ac:dyDescent="0.2">
      <c r="A82" s="3">
        <v>43497</v>
      </c>
      <c r="B82" s="4">
        <v>19380355.760000002</v>
      </c>
      <c r="C82" s="4">
        <v>1379212.12</v>
      </c>
      <c r="D82" s="4">
        <v>9329732.8000000007</v>
      </c>
      <c r="E82" s="4">
        <v>2597608.23</v>
      </c>
      <c r="F82" s="4">
        <v>2443956.4499999997</v>
      </c>
      <c r="G82" s="4">
        <v>4332759.76</v>
      </c>
      <c r="H82" s="4">
        <v>4377675.33</v>
      </c>
      <c r="I82" s="4">
        <v>1508803.46</v>
      </c>
      <c r="J82" s="4">
        <v>3675241.8099999996</v>
      </c>
      <c r="K82" s="4">
        <v>2627473.0699999998</v>
      </c>
      <c r="L82" s="4">
        <v>1971860.6800000002</v>
      </c>
      <c r="M82" s="4">
        <v>1266429.25</v>
      </c>
      <c r="N82" s="4">
        <v>13133275.910000002</v>
      </c>
      <c r="O82" s="4">
        <v>55252312.61999999</v>
      </c>
      <c r="P82" s="4">
        <v>1868680.17</v>
      </c>
      <c r="Q82" s="4">
        <v>1543401.5499999998</v>
      </c>
      <c r="R82" s="4">
        <v>1452172.45</v>
      </c>
      <c r="S82" s="4">
        <v>2595724.4499999997</v>
      </c>
      <c r="T82" s="4">
        <v>2106630.1</v>
      </c>
      <c r="U82" s="4">
        <v>170719.33999999997</v>
      </c>
      <c r="V82" s="4">
        <v>1990963.7699999998</v>
      </c>
      <c r="W82" s="4">
        <v>4791022.9500000011</v>
      </c>
      <c r="X82" s="4">
        <v>683964.15</v>
      </c>
      <c r="Y82" s="4">
        <v>2039193.9099999997</v>
      </c>
      <c r="Z82" s="4">
        <v>1752226.6600000001</v>
      </c>
      <c r="AA82" s="4">
        <v>34505709.879999995</v>
      </c>
      <c r="AB82" s="4">
        <v>2008889.4100000001</v>
      </c>
      <c r="AC82" s="4">
        <v>84682134.760000005</v>
      </c>
      <c r="AD82" s="4">
        <v>8159736.879999999</v>
      </c>
      <c r="AE82" s="4">
        <v>9416272.5200000014</v>
      </c>
      <c r="AF82" s="4">
        <v>24402501.359999999</v>
      </c>
      <c r="AG82" s="4">
        <v>5724609.54</v>
      </c>
      <c r="AH82" s="4">
        <v>20441306.43</v>
      </c>
      <c r="AI82" s="4">
        <v>1118806.74</v>
      </c>
      <c r="AJ82" s="4">
        <v>2844448.37</v>
      </c>
      <c r="AK82" s="4">
        <v>2246007</v>
      </c>
      <c r="AL82" s="4">
        <v>4228840.6099999994</v>
      </c>
      <c r="AM82" s="4">
        <v>5973688.8599999994</v>
      </c>
      <c r="AN82" s="4">
        <v>15409068.83</v>
      </c>
      <c r="AO82" s="4">
        <v>3961319.7399999998</v>
      </c>
      <c r="AP82" s="4">
        <v>8385381.4099999992</v>
      </c>
      <c r="AQ82" s="4">
        <v>7299220.0300000012</v>
      </c>
      <c r="AR82" s="4">
        <v>938316.43999999983</v>
      </c>
      <c r="AS82" s="4">
        <v>584737.56000000006</v>
      </c>
      <c r="AT82" s="4">
        <v>1580668.23</v>
      </c>
      <c r="AU82" s="4">
        <v>3810708.74</v>
      </c>
      <c r="AV82" s="4">
        <v>96199376.629999995</v>
      </c>
      <c r="AW82" s="4">
        <v>2507876.54</v>
      </c>
      <c r="AX82" s="4">
        <v>1507870.2399999998</v>
      </c>
      <c r="AY82" s="4">
        <v>3481987.6900000004</v>
      </c>
      <c r="AZ82" s="4">
        <v>7301917.2800000003</v>
      </c>
      <c r="BA82" s="4">
        <v>3272174.24</v>
      </c>
      <c r="BB82" s="4">
        <v>1437462.1</v>
      </c>
      <c r="BC82" s="4">
        <v>2771513.36</v>
      </c>
      <c r="BD82" s="4">
        <v>39730166.82</v>
      </c>
      <c r="BE82" s="4">
        <v>1051093.48</v>
      </c>
      <c r="BF82" s="4">
        <v>626248.61999999988</v>
      </c>
      <c r="BG82" s="4">
        <v>0</v>
      </c>
      <c r="BH82" s="4">
        <f t="shared" ref="BH82:BH92" si="11">SUM(B82:BG82)</f>
        <v>551881457.09000027</v>
      </c>
    </row>
    <row r="83" spans="1:60" x14ac:dyDescent="0.2">
      <c r="A83" s="3">
        <v>43525</v>
      </c>
      <c r="B83" s="4">
        <v>23640839.289999999</v>
      </c>
      <c r="C83" s="4">
        <v>1992000.5699999998</v>
      </c>
      <c r="D83" s="4">
        <v>12057691.02</v>
      </c>
      <c r="E83" s="4">
        <v>3522855.48</v>
      </c>
      <c r="F83" s="4">
        <v>3168310.32</v>
      </c>
      <c r="G83" s="4">
        <v>5587308.75</v>
      </c>
      <c r="H83" s="4">
        <v>5252717.209999999</v>
      </c>
      <c r="I83" s="4">
        <v>2320586.4299999997</v>
      </c>
      <c r="J83" s="4">
        <v>4924877.91</v>
      </c>
      <c r="K83" s="4">
        <v>4344573.6999999993</v>
      </c>
      <c r="L83" s="4">
        <v>2672610.7999999998</v>
      </c>
      <c r="M83" s="4">
        <v>860582.61999999918</v>
      </c>
      <c r="N83" s="4">
        <v>19034057.960000005</v>
      </c>
      <c r="O83" s="4">
        <v>67326983.75</v>
      </c>
      <c r="P83" s="4">
        <v>2520147.92</v>
      </c>
      <c r="Q83" s="4">
        <v>2145107.1199999996</v>
      </c>
      <c r="R83" s="4">
        <v>1897928.0599999998</v>
      </c>
      <c r="S83" s="4">
        <v>3168481.2399999998</v>
      </c>
      <c r="T83" s="4">
        <v>3090645.63</v>
      </c>
      <c r="U83" s="4">
        <v>343902.38999999996</v>
      </c>
      <c r="V83" s="4">
        <v>2913815.2</v>
      </c>
      <c r="W83" s="4">
        <v>5917818.1499999994</v>
      </c>
      <c r="X83" s="4">
        <v>1219089.02</v>
      </c>
      <c r="Y83" s="4">
        <v>3283867.1</v>
      </c>
      <c r="Z83" s="4">
        <v>2602593.13</v>
      </c>
      <c r="AA83" s="4">
        <v>43419392.789999999</v>
      </c>
      <c r="AB83" s="4">
        <v>2717241.5599999996</v>
      </c>
      <c r="AC83" s="4">
        <v>105732033.94999999</v>
      </c>
      <c r="AD83" s="4">
        <v>10450729.210000001</v>
      </c>
      <c r="AE83" s="4">
        <v>12026456.210000001</v>
      </c>
      <c r="AF83" s="4">
        <v>30823387.07</v>
      </c>
      <c r="AG83" s="4">
        <v>7316080.0099999998</v>
      </c>
      <c r="AH83" s="4">
        <v>23706190.359999999</v>
      </c>
      <c r="AI83" s="4">
        <v>1373544.3</v>
      </c>
      <c r="AJ83" s="4">
        <v>3885682.9899999998</v>
      </c>
      <c r="AK83" s="4">
        <v>3181824.11</v>
      </c>
      <c r="AL83" s="4">
        <v>5792011.0699999994</v>
      </c>
      <c r="AM83" s="4">
        <v>8544056.2699999996</v>
      </c>
      <c r="AN83" s="4">
        <v>20112558.899999999</v>
      </c>
      <c r="AO83" s="4">
        <v>5092280.76</v>
      </c>
      <c r="AP83" s="4">
        <v>9871911.2400000002</v>
      </c>
      <c r="AQ83" s="4">
        <v>7464943.459999999</v>
      </c>
      <c r="AR83" s="4">
        <v>1375987.78</v>
      </c>
      <c r="AS83" s="4">
        <v>886337.12999999989</v>
      </c>
      <c r="AT83" s="4">
        <v>2432145.06</v>
      </c>
      <c r="AU83" s="4">
        <v>4742838.0199999996</v>
      </c>
      <c r="AV83" s="4">
        <v>130198590.67</v>
      </c>
      <c r="AW83" s="4">
        <v>2876453.9700000007</v>
      </c>
      <c r="AX83" s="4">
        <v>2354070.67</v>
      </c>
      <c r="AY83" s="4">
        <v>4921083.1999999993</v>
      </c>
      <c r="AZ83" s="4">
        <v>11555864.27</v>
      </c>
      <c r="BA83" s="4">
        <v>3695072.32</v>
      </c>
      <c r="BB83" s="4">
        <v>1713494.9000000001</v>
      </c>
      <c r="BC83" s="4">
        <v>4442308.7499999991</v>
      </c>
      <c r="BD83" s="4">
        <v>49853359.900000006</v>
      </c>
      <c r="BE83" s="4">
        <v>1668308.41</v>
      </c>
      <c r="BF83" s="4">
        <v>1242425.5299999998</v>
      </c>
      <c r="BG83" s="4">
        <v>0</v>
      </c>
      <c r="BH83" s="4">
        <f t="shared" si="11"/>
        <v>711278055.60999978</v>
      </c>
    </row>
    <row r="84" spans="1:60" x14ac:dyDescent="0.2">
      <c r="A84" s="3">
        <v>43556</v>
      </c>
      <c r="B84" s="4">
        <v>22983152.330000002</v>
      </c>
      <c r="C84" s="4">
        <v>1549950.73</v>
      </c>
      <c r="D84" s="4">
        <v>10531852.899999999</v>
      </c>
      <c r="E84" s="4">
        <v>2855685.8200000003</v>
      </c>
      <c r="F84" s="4">
        <v>2858376.09</v>
      </c>
      <c r="G84" s="4">
        <v>5081864.42</v>
      </c>
      <c r="H84" s="4">
        <v>4641325.67</v>
      </c>
      <c r="I84" s="4">
        <v>1830566.9999999998</v>
      </c>
      <c r="J84" s="4">
        <v>4309921.42</v>
      </c>
      <c r="K84" s="4">
        <v>3081127.2300000004</v>
      </c>
      <c r="L84" s="4">
        <v>2339124.7599999998</v>
      </c>
      <c r="M84" s="4">
        <v>1635069.13</v>
      </c>
      <c r="N84" s="4">
        <v>15007833.119999999</v>
      </c>
      <c r="O84" s="4">
        <v>60520997.460000001</v>
      </c>
      <c r="P84" s="4">
        <v>1990915.3199999998</v>
      </c>
      <c r="Q84" s="4">
        <v>1716162.2599999998</v>
      </c>
      <c r="R84" s="4">
        <v>1464119.4200000002</v>
      </c>
      <c r="S84" s="4">
        <v>3038613.23</v>
      </c>
      <c r="T84" s="4">
        <v>2405323.54</v>
      </c>
      <c r="U84" s="4">
        <v>240976.93</v>
      </c>
      <c r="V84" s="4">
        <v>2449764.4500000002</v>
      </c>
      <c r="W84" s="4">
        <v>5878848.7799999993</v>
      </c>
      <c r="X84" s="4">
        <v>909571.52</v>
      </c>
      <c r="Y84" s="4">
        <v>2576282.79</v>
      </c>
      <c r="Z84" s="4">
        <v>2630364.4099999997</v>
      </c>
      <c r="AA84" s="4">
        <v>38664024.760000005</v>
      </c>
      <c r="AB84" s="4">
        <v>2426764.9699999997</v>
      </c>
      <c r="AC84" s="4">
        <v>91056400.49000001</v>
      </c>
      <c r="AD84" s="4">
        <v>9534324.3900000006</v>
      </c>
      <c r="AE84" s="4">
        <v>10914093.43</v>
      </c>
      <c r="AF84" s="4">
        <v>29519526.020000003</v>
      </c>
      <c r="AG84" s="4">
        <v>6220343.21</v>
      </c>
      <c r="AH84" s="4">
        <v>22045463.32</v>
      </c>
      <c r="AI84" s="4">
        <v>1395553.14</v>
      </c>
      <c r="AJ84" s="4">
        <v>3571557.38</v>
      </c>
      <c r="AK84" s="4">
        <v>2787582.11</v>
      </c>
      <c r="AL84" s="4">
        <v>4674669.63</v>
      </c>
      <c r="AM84" s="4">
        <v>7249946.0899999999</v>
      </c>
      <c r="AN84" s="4">
        <v>16527591.530000001</v>
      </c>
      <c r="AO84" s="4">
        <v>4464892.9800000004</v>
      </c>
      <c r="AP84" s="4">
        <v>10024484.5</v>
      </c>
      <c r="AQ84" s="4">
        <v>7561080.5300000012</v>
      </c>
      <c r="AR84" s="4">
        <v>1021093.02</v>
      </c>
      <c r="AS84" s="4">
        <v>783154.45</v>
      </c>
      <c r="AT84" s="4">
        <v>1910763.36</v>
      </c>
      <c r="AU84" s="4">
        <v>4440089.8600000003</v>
      </c>
      <c r="AV84" s="4">
        <v>111375743.81999999</v>
      </c>
      <c r="AW84" s="4">
        <v>3618514.3200000003</v>
      </c>
      <c r="AX84" s="4">
        <v>1723601.0100000002</v>
      </c>
      <c r="AY84" s="4">
        <v>4087806.65</v>
      </c>
      <c r="AZ84" s="4">
        <v>8898515.0199999996</v>
      </c>
      <c r="BA84" s="4">
        <v>3844401.37</v>
      </c>
      <c r="BB84" s="4">
        <v>1608306.09</v>
      </c>
      <c r="BC84" s="4">
        <v>3422022.6999999997</v>
      </c>
      <c r="BD84" s="4">
        <v>41832870.82</v>
      </c>
      <c r="BE84" s="4">
        <v>1330016.47</v>
      </c>
      <c r="BF84" s="4">
        <v>884212.90999999992</v>
      </c>
      <c r="BG84" s="4">
        <v>0</v>
      </c>
      <c r="BH84" s="4">
        <f t="shared" si="11"/>
        <v>623947201.07999992</v>
      </c>
    </row>
    <row r="85" spans="1:60" x14ac:dyDescent="0.2">
      <c r="A85" s="3">
        <v>43586</v>
      </c>
      <c r="B85" s="4">
        <v>21915578.739999995</v>
      </c>
      <c r="C85" s="4">
        <v>1634360.84</v>
      </c>
      <c r="D85" s="4">
        <v>11979728.639999999</v>
      </c>
      <c r="E85" s="4">
        <v>3053002.13</v>
      </c>
      <c r="F85" s="4">
        <v>2865008.11</v>
      </c>
      <c r="G85" s="4">
        <v>5176247.34</v>
      </c>
      <c r="H85" s="4">
        <v>4807041.63</v>
      </c>
      <c r="I85" s="4">
        <v>1915799.19</v>
      </c>
      <c r="J85" s="4">
        <v>4521656.62</v>
      </c>
      <c r="K85" s="4">
        <v>3212949.57</v>
      </c>
      <c r="L85" s="4">
        <v>2328325.59</v>
      </c>
      <c r="M85" s="4">
        <v>1599138.85</v>
      </c>
      <c r="N85" s="4">
        <v>15373912.390000002</v>
      </c>
      <c r="O85" s="4">
        <v>61548251.939999998</v>
      </c>
      <c r="P85" s="4">
        <v>2074661.6600000001</v>
      </c>
      <c r="Q85" s="4">
        <v>1772179</v>
      </c>
      <c r="R85" s="4">
        <v>1778610.65</v>
      </c>
      <c r="S85" s="4">
        <v>3344843.72</v>
      </c>
      <c r="T85" s="4">
        <v>2455208.7799999998</v>
      </c>
      <c r="U85" s="4">
        <v>231070.24</v>
      </c>
      <c r="V85" s="4">
        <v>2505990.36</v>
      </c>
      <c r="W85" s="4">
        <v>6254560.6500000013</v>
      </c>
      <c r="X85" s="4">
        <v>949167.03999999992</v>
      </c>
      <c r="Y85" s="4">
        <v>2611782.39</v>
      </c>
      <c r="Z85" s="4">
        <v>2211434.63</v>
      </c>
      <c r="AA85" s="4">
        <v>39245791.850000001</v>
      </c>
      <c r="AB85" s="4">
        <v>2470484.9500000002</v>
      </c>
      <c r="AC85" s="4">
        <v>91007794.109999999</v>
      </c>
      <c r="AD85" s="4">
        <v>10261364.1</v>
      </c>
      <c r="AE85" s="4">
        <v>11250587.440000001</v>
      </c>
      <c r="AF85" s="4">
        <v>29309969.029999997</v>
      </c>
      <c r="AG85" s="4">
        <v>6407497.0200000005</v>
      </c>
      <c r="AH85" s="4">
        <v>22068364.780000001</v>
      </c>
      <c r="AI85" s="4">
        <v>1340657.8500000001</v>
      </c>
      <c r="AJ85" s="4">
        <v>3723733.8</v>
      </c>
      <c r="AK85" s="4">
        <v>2782058.37</v>
      </c>
      <c r="AL85" s="4">
        <v>5071231.1199999992</v>
      </c>
      <c r="AM85" s="4">
        <v>7686178.6099999994</v>
      </c>
      <c r="AN85" s="4">
        <v>16589812.779999999</v>
      </c>
      <c r="AO85" s="4">
        <v>4640894.59</v>
      </c>
      <c r="AP85" s="4">
        <v>10025611.51</v>
      </c>
      <c r="AQ85" s="4">
        <v>8367059.7000000011</v>
      </c>
      <c r="AR85" s="4">
        <v>1179604.55</v>
      </c>
      <c r="AS85" s="4">
        <v>782943.72</v>
      </c>
      <c r="AT85" s="4">
        <v>1881077.27</v>
      </c>
      <c r="AU85" s="4">
        <v>4538842.9000000004</v>
      </c>
      <c r="AV85" s="4">
        <v>109719583.96000001</v>
      </c>
      <c r="AW85" s="4">
        <v>3682869.0900000008</v>
      </c>
      <c r="AX85" s="4">
        <v>1969784.0299999998</v>
      </c>
      <c r="AY85" s="4">
        <v>4200870.2200000007</v>
      </c>
      <c r="AZ85" s="4">
        <v>9055771.4199999999</v>
      </c>
      <c r="BA85" s="4">
        <v>3967539.21</v>
      </c>
      <c r="BB85" s="4">
        <v>1661727.51</v>
      </c>
      <c r="BC85" s="4">
        <v>3502736.5300000003</v>
      </c>
      <c r="BD85" s="4">
        <v>42050103.560000002</v>
      </c>
      <c r="BE85" s="4">
        <v>1337790.7200000002</v>
      </c>
      <c r="BF85" s="4">
        <v>865875.87999999989</v>
      </c>
      <c r="BG85" s="4">
        <v>0</v>
      </c>
      <c r="BH85" s="4">
        <f t="shared" si="11"/>
        <v>630766722.88</v>
      </c>
    </row>
    <row r="86" spans="1:60" x14ac:dyDescent="0.2">
      <c r="A86" s="3">
        <v>43617</v>
      </c>
      <c r="B86" s="4">
        <v>28242163.539999999</v>
      </c>
      <c r="C86" s="4">
        <v>2234494.94</v>
      </c>
      <c r="D86" s="4">
        <v>15323676.480000002</v>
      </c>
      <c r="E86" s="4">
        <v>4040949.3400000003</v>
      </c>
      <c r="F86" s="4">
        <v>3581551.66</v>
      </c>
      <c r="G86" s="4">
        <v>7584892.2000000002</v>
      </c>
      <c r="H86" s="4">
        <v>6041333.4400000004</v>
      </c>
      <c r="I86" s="4">
        <v>2453182.1000000006</v>
      </c>
      <c r="J86" s="4">
        <v>5842769.5699999994</v>
      </c>
      <c r="K86" s="4">
        <v>4976700.0499999989</v>
      </c>
      <c r="L86" s="4">
        <v>3348801.1400000006</v>
      </c>
      <c r="M86" s="4">
        <v>2618590.9900000002</v>
      </c>
      <c r="N86" s="4">
        <v>21117442.68</v>
      </c>
      <c r="O86" s="4">
        <v>83535667.86999999</v>
      </c>
      <c r="P86" s="4">
        <v>3100175.3299999996</v>
      </c>
      <c r="Q86" s="4">
        <v>2599626.36</v>
      </c>
      <c r="R86" s="4">
        <v>2206327.19</v>
      </c>
      <c r="S86" s="4">
        <v>4498404.6999999993</v>
      </c>
      <c r="T86" s="4">
        <v>3588752.76</v>
      </c>
      <c r="U86" s="4">
        <v>366915.9</v>
      </c>
      <c r="V86" s="4">
        <v>3385731.7199999997</v>
      </c>
      <c r="W86" s="4">
        <v>7769623.3199999984</v>
      </c>
      <c r="X86" s="4">
        <v>1425996.4100000001</v>
      </c>
      <c r="Y86" s="4">
        <v>3513492.3599999994</v>
      </c>
      <c r="Z86" s="4">
        <v>3145936.2699999996</v>
      </c>
      <c r="AA86" s="4">
        <v>52878506.140000001</v>
      </c>
      <c r="AB86" s="4">
        <v>3511470.25</v>
      </c>
      <c r="AC86" s="4">
        <v>124487621.24000001</v>
      </c>
      <c r="AD86" s="4">
        <v>12432512.77</v>
      </c>
      <c r="AE86" s="4">
        <v>16239688.949999999</v>
      </c>
      <c r="AF86" s="4">
        <v>33426556.179999996</v>
      </c>
      <c r="AG86" s="4">
        <v>9010026.75</v>
      </c>
      <c r="AH86" s="4">
        <v>29508487.259999998</v>
      </c>
      <c r="AI86" s="4">
        <v>1853921.29</v>
      </c>
      <c r="AJ86" s="4">
        <v>5161021.8500000006</v>
      </c>
      <c r="AK86" s="4">
        <v>4315090.3899999997</v>
      </c>
      <c r="AL86" s="4">
        <v>6912383.4799999986</v>
      </c>
      <c r="AM86" s="4">
        <v>8977494.129999999</v>
      </c>
      <c r="AN86" s="4">
        <v>24953478.719999999</v>
      </c>
      <c r="AO86" s="4">
        <v>5865155.8399999999</v>
      </c>
      <c r="AP86" s="4">
        <v>12433478.209999999</v>
      </c>
      <c r="AQ86" s="4">
        <v>11036316.960000001</v>
      </c>
      <c r="AR86" s="4">
        <v>1746806.6099999999</v>
      </c>
      <c r="AS86" s="4">
        <v>1317599.8700000001</v>
      </c>
      <c r="AT86" s="4">
        <v>2953544.94</v>
      </c>
      <c r="AU86" s="4">
        <v>5813815.129999999</v>
      </c>
      <c r="AV86" s="4">
        <v>157546339.42999998</v>
      </c>
      <c r="AW86" s="4">
        <v>4579062.67</v>
      </c>
      <c r="AX86" s="4">
        <v>2536870.21</v>
      </c>
      <c r="AY86" s="4">
        <v>6365557.6199999992</v>
      </c>
      <c r="AZ86" s="4">
        <v>13510178.369999997</v>
      </c>
      <c r="BA86" s="4">
        <v>5538311.3300000001</v>
      </c>
      <c r="BB86" s="4">
        <v>2268870.1100000003</v>
      </c>
      <c r="BC86" s="4">
        <v>5054672.9400000013</v>
      </c>
      <c r="BD86" s="4">
        <v>56030418.700000003</v>
      </c>
      <c r="BE86" s="4">
        <v>2074496.6</v>
      </c>
      <c r="BF86" s="4">
        <v>1722525.7399999993</v>
      </c>
      <c r="BG86" s="4">
        <v>0</v>
      </c>
      <c r="BH86" s="4">
        <f t="shared" si="11"/>
        <v>858605479.00000036</v>
      </c>
    </row>
    <row r="87" spans="1:60" x14ac:dyDescent="0.2">
      <c r="A87" s="3">
        <v>43647</v>
      </c>
      <c r="B87" s="4">
        <v>22094905.789999999</v>
      </c>
      <c r="C87" s="4">
        <v>1667042.1400000001</v>
      </c>
      <c r="D87" s="4">
        <v>11344021.770000001</v>
      </c>
      <c r="E87" s="4">
        <v>3328791.1899999995</v>
      </c>
      <c r="F87" s="4">
        <v>3300925.45</v>
      </c>
      <c r="G87" s="4">
        <v>6160145.3600000003</v>
      </c>
      <c r="H87" s="4">
        <v>5291243.57</v>
      </c>
      <c r="I87" s="4">
        <v>1996764.84</v>
      </c>
      <c r="J87" s="4">
        <v>5134504.6899999995</v>
      </c>
      <c r="K87" s="4">
        <v>3496382.3800000008</v>
      </c>
      <c r="L87" s="4">
        <v>2517792.9</v>
      </c>
      <c r="M87" s="4">
        <v>2057566.0499999998</v>
      </c>
      <c r="N87" s="4">
        <v>15939030.220000001</v>
      </c>
      <c r="O87" s="4">
        <v>66654184.68</v>
      </c>
      <c r="P87" s="4">
        <v>2787695.89</v>
      </c>
      <c r="Q87" s="4">
        <v>2141414.2200000002</v>
      </c>
      <c r="R87" s="4">
        <v>1786077.9500000002</v>
      </c>
      <c r="S87" s="4">
        <v>3865166.2099999995</v>
      </c>
      <c r="T87" s="4">
        <v>2813405.47</v>
      </c>
      <c r="U87" s="4">
        <v>405080.54000000004</v>
      </c>
      <c r="V87" s="4">
        <v>2852207.33</v>
      </c>
      <c r="W87" s="4">
        <v>7349399.8200000003</v>
      </c>
      <c r="X87" s="4">
        <v>1008090.1200000001</v>
      </c>
      <c r="Y87" s="4">
        <v>2952736.24</v>
      </c>
      <c r="Z87" s="4">
        <v>2436558.94</v>
      </c>
      <c r="AA87" s="4">
        <v>43500387.740000002</v>
      </c>
      <c r="AB87" s="4">
        <v>2601216.3299999996</v>
      </c>
      <c r="AC87" s="4">
        <v>99171784</v>
      </c>
      <c r="AD87" s="4">
        <v>10343728.51</v>
      </c>
      <c r="AE87" s="4">
        <v>12081073.65</v>
      </c>
      <c r="AF87" s="4">
        <v>31072169.719999999</v>
      </c>
      <c r="AG87" s="4">
        <v>7495871.6400000006</v>
      </c>
      <c r="AH87" s="4">
        <v>25012058.68</v>
      </c>
      <c r="AI87" s="4">
        <v>1343274.55</v>
      </c>
      <c r="AJ87" s="4">
        <v>4169615.44</v>
      </c>
      <c r="AK87" s="4">
        <v>3818502.7399999993</v>
      </c>
      <c r="AL87" s="4">
        <v>5266611.790000001</v>
      </c>
      <c r="AM87" s="4">
        <v>7513818.7999999989</v>
      </c>
      <c r="AN87" s="4">
        <v>18044156.069999997</v>
      </c>
      <c r="AO87" s="4">
        <v>5031498.37</v>
      </c>
      <c r="AP87" s="4">
        <v>11263660.51</v>
      </c>
      <c r="AQ87" s="4">
        <v>8339021.1300000008</v>
      </c>
      <c r="AR87" s="4">
        <v>1397905.92</v>
      </c>
      <c r="AS87" s="4">
        <v>1221894.8500000001</v>
      </c>
      <c r="AT87" s="4">
        <v>2398123.96</v>
      </c>
      <c r="AU87" s="4">
        <v>5203714.1099999994</v>
      </c>
      <c r="AV87" s="4">
        <v>127671549.03999999</v>
      </c>
      <c r="AW87" s="4">
        <v>4426028.6399999997</v>
      </c>
      <c r="AX87" s="4">
        <v>1983588.9699999997</v>
      </c>
      <c r="AY87" s="4">
        <v>4674529.0600000005</v>
      </c>
      <c r="AZ87" s="4">
        <v>10417930.359999999</v>
      </c>
      <c r="BA87" s="4">
        <v>6018827.9800000004</v>
      </c>
      <c r="BB87" s="4">
        <v>1724066.6400000001</v>
      </c>
      <c r="BC87" s="4">
        <v>3673244.69</v>
      </c>
      <c r="BD87" s="4">
        <v>44144098.520000003</v>
      </c>
      <c r="BE87" s="4">
        <v>1644529.31</v>
      </c>
      <c r="BF87" s="4">
        <v>1035323.5800000001</v>
      </c>
      <c r="BG87" s="4">
        <v>0</v>
      </c>
      <c r="BH87" s="4">
        <f t="shared" si="11"/>
        <v>695084939.06000006</v>
      </c>
    </row>
    <row r="88" spans="1:60" x14ac:dyDescent="0.2">
      <c r="A88" s="3">
        <v>43678</v>
      </c>
      <c r="B88" s="4">
        <v>22426591.670000002</v>
      </c>
      <c r="C88" s="4">
        <v>1688386.06</v>
      </c>
      <c r="D88" s="4">
        <v>11698635.940000001</v>
      </c>
      <c r="E88" s="4">
        <v>3161376.99</v>
      </c>
      <c r="F88" s="4">
        <v>3375334.4499999993</v>
      </c>
      <c r="G88" s="4">
        <v>6078804.3499999996</v>
      </c>
      <c r="H88" s="4">
        <v>5029260.55</v>
      </c>
      <c r="I88" s="4">
        <v>1945813.8199999998</v>
      </c>
      <c r="J88" s="4">
        <v>5011381.76</v>
      </c>
      <c r="K88" s="4">
        <v>3489364.39</v>
      </c>
      <c r="L88" s="4">
        <v>2523666.9000000004</v>
      </c>
      <c r="M88" s="4">
        <v>1907765.47</v>
      </c>
      <c r="N88" s="4">
        <v>15854015.059999999</v>
      </c>
      <c r="O88" s="4">
        <v>67612737.620000005</v>
      </c>
      <c r="P88" s="4">
        <v>3089112.02</v>
      </c>
      <c r="Q88" s="4">
        <v>2144256.92</v>
      </c>
      <c r="R88" s="4">
        <v>1791354.3</v>
      </c>
      <c r="S88" s="4">
        <v>3768201.4199999995</v>
      </c>
      <c r="T88" s="4">
        <v>2825665.33</v>
      </c>
      <c r="U88" s="4">
        <v>422626.88999999996</v>
      </c>
      <c r="V88" s="4">
        <v>2834389.6899999995</v>
      </c>
      <c r="W88" s="4">
        <v>7349554.9699999997</v>
      </c>
      <c r="X88" s="4">
        <v>1008057.32</v>
      </c>
      <c r="Y88" s="4">
        <v>2860752.5500000003</v>
      </c>
      <c r="Z88" s="4">
        <v>2481250.8499999996</v>
      </c>
      <c r="AA88" s="4">
        <v>43378708.219999999</v>
      </c>
      <c r="AB88" s="4">
        <v>2568110.2999999998</v>
      </c>
      <c r="AC88" s="4">
        <v>98366110.86999999</v>
      </c>
      <c r="AD88" s="4">
        <v>11020215.960000001</v>
      </c>
      <c r="AE88" s="4">
        <v>12251579.18</v>
      </c>
      <c r="AF88" s="4">
        <v>31354033.990000002</v>
      </c>
      <c r="AG88" s="4">
        <v>7450182.5699999984</v>
      </c>
      <c r="AH88" s="4">
        <v>24600767.470000003</v>
      </c>
      <c r="AI88" s="4">
        <v>1361010.3499999999</v>
      </c>
      <c r="AJ88" s="4">
        <v>4063879.6299999994</v>
      </c>
      <c r="AK88" s="4">
        <v>3731176.6499999994</v>
      </c>
      <c r="AL88" s="4">
        <v>5368555.9800000004</v>
      </c>
      <c r="AM88" s="4">
        <v>7350401.290000001</v>
      </c>
      <c r="AN88" s="4">
        <v>17637598.609999999</v>
      </c>
      <c r="AO88" s="4">
        <v>5177797.1099999994</v>
      </c>
      <c r="AP88" s="4">
        <v>11112882.580000002</v>
      </c>
      <c r="AQ88" s="4">
        <v>7924688.3300000001</v>
      </c>
      <c r="AR88" s="4">
        <v>1363473.69</v>
      </c>
      <c r="AS88" s="4">
        <v>1144359.04</v>
      </c>
      <c r="AT88" s="4">
        <v>2291644.8200000003</v>
      </c>
      <c r="AU88" s="4">
        <v>5358657.4700000007</v>
      </c>
      <c r="AV88" s="4">
        <v>126793476.78</v>
      </c>
      <c r="AW88" s="4">
        <v>4311395.29</v>
      </c>
      <c r="AX88" s="4">
        <v>1965893.0999999999</v>
      </c>
      <c r="AY88" s="4">
        <v>4549863.29</v>
      </c>
      <c r="AZ88" s="4">
        <v>10170304.1</v>
      </c>
      <c r="BA88" s="4">
        <v>5894324.0600000005</v>
      </c>
      <c r="BB88" s="4">
        <v>1754610.83</v>
      </c>
      <c r="BC88" s="4">
        <v>3823963.6199999996</v>
      </c>
      <c r="BD88" s="4">
        <v>44228342.07</v>
      </c>
      <c r="BE88" s="4">
        <v>1619857.29</v>
      </c>
      <c r="BF88" s="4">
        <v>1051571.6200000001</v>
      </c>
      <c r="BG88" s="4">
        <v>0</v>
      </c>
      <c r="BH88" s="4">
        <f t="shared" si="11"/>
        <v>693417793.45000005</v>
      </c>
    </row>
    <row r="89" spans="1:60" x14ac:dyDescent="0.2">
      <c r="A89" s="3">
        <v>43709</v>
      </c>
      <c r="B89" s="4">
        <v>28871074.790000003</v>
      </c>
      <c r="C89" s="4">
        <v>2628572.7799999998</v>
      </c>
      <c r="D89" s="4">
        <v>12117934.719999999</v>
      </c>
      <c r="E89" s="4">
        <v>4092104.2000000007</v>
      </c>
      <c r="F89" s="4">
        <v>3811015.53</v>
      </c>
      <c r="G89" s="4">
        <v>7994047.5100000007</v>
      </c>
      <c r="H89" s="4">
        <v>5887444.1299999999</v>
      </c>
      <c r="I89" s="4">
        <v>2728456.51</v>
      </c>
      <c r="J89" s="4">
        <v>5874501.8899999997</v>
      </c>
      <c r="K89" s="4">
        <v>5236813.7799999993</v>
      </c>
      <c r="L89" s="4">
        <v>3353185.3699999996</v>
      </c>
      <c r="M89" s="4">
        <v>2728405.21</v>
      </c>
      <c r="N89" s="4">
        <v>22893543.640000001</v>
      </c>
      <c r="O89" s="4">
        <v>86561790.230000004</v>
      </c>
      <c r="P89" s="4">
        <v>4000097.7700000005</v>
      </c>
      <c r="Q89" s="4">
        <v>2825513.33</v>
      </c>
      <c r="R89" s="4">
        <v>2555578.31</v>
      </c>
      <c r="S89" s="4">
        <v>4374352.8499999996</v>
      </c>
      <c r="T89" s="4">
        <v>4063087.87</v>
      </c>
      <c r="U89" s="4">
        <v>807619.96999999986</v>
      </c>
      <c r="V89" s="4">
        <v>4078399.9799999995</v>
      </c>
      <c r="W89" s="4">
        <v>8874506.9500000011</v>
      </c>
      <c r="X89" s="4">
        <v>1650169.03</v>
      </c>
      <c r="Y89" s="4">
        <v>3599102.72</v>
      </c>
      <c r="Z89" s="4">
        <v>3577097.6499999994</v>
      </c>
      <c r="AA89" s="4">
        <v>52086059.480000004</v>
      </c>
      <c r="AB89" s="4">
        <v>3671599.2800000003</v>
      </c>
      <c r="AC89" s="4">
        <v>130250183.52</v>
      </c>
      <c r="AD89" s="4">
        <v>13905268.77</v>
      </c>
      <c r="AE89" s="4">
        <v>15886837.280000003</v>
      </c>
      <c r="AF89" s="4">
        <v>35272407.579999998</v>
      </c>
      <c r="AG89" s="4">
        <v>9390204.2799999993</v>
      </c>
      <c r="AH89" s="4">
        <v>31461641.219999999</v>
      </c>
      <c r="AI89" s="4">
        <v>1953602.9100000001</v>
      </c>
      <c r="AJ89" s="4">
        <v>5110025.67</v>
      </c>
      <c r="AK89" s="4">
        <v>4861441.76</v>
      </c>
      <c r="AL89" s="4">
        <v>7331396.2200000007</v>
      </c>
      <c r="AM89" s="4">
        <v>10262988.15</v>
      </c>
      <c r="AN89" s="4">
        <v>23502329.629999999</v>
      </c>
      <c r="AO89" s="4">
        <v>6623578.5899999989</v>
      </c>
      <c r="AP89" s="4">
        <v>13772942.679999998</v>
      </c>
      <c r="AQ89" s="4">
        <v>10779690.98</v>
      </c>
      <c r="AR89" s="4">
        <v>1750631.31</v>
      </c>
      <c r="AS89" s="4">
        <v>1499688.27</v>
      </c>
      <c r="AT89" s="4">
        <v>3131627.0299999993</v>
      </c>
      <c r="AU89" s="4">
        <v>6031943.2000000002</v>
      </c>
      <c r="AV89" s="4">
        <v>164615716.17999998</v>
      </c>
      <c r="AW89" s="4">
        <v>6800281.9199999999</v>
      </c>
      <c r="AX89" s="4">
        <v>2941417.23</v>
      </c>
      <c r="AY89" s="4">
        <v>5617226.040000001</v>
      </c>
      <c r="AZ89" s="4">
        <v>14267602.919999998</v>
      </c>
      <c r="BA89" s="4">
        <v>6793204.9299999988</v>
      </c>
      <c r="BB89" s="4">
        <v>2521923.27</v>
      </c>
      <c r="BC89" s="4">
        <v>5625118.71</v>
      </c>
      <c r="BD89" s="4">
        <v>73820175.340000004</v>
      </c>
      <c r="BE89" s="4">
        <v>2228839.52</v>
      </c>
      <c r="BF89" s="4">
        <v>2117960.42</v>
      </c>
      <c r="BG89" s="4">
        <v>0</v>
      </c>
      <c r="BH89" s="4">
        <f t="shared" si="11"/>
        <v>911069971.00999975</v>
      </c>
    </row>
    <row r="90" spans="1:60" x14ac:dyDescent="0.2">
      <c r="A90" s="3">
        <v>43739</v>
      </c>
      <c r="B90" s="4">
        <v>22155418.25</v>
      </c>
      <c r="C90" s="4">
        <v>1655109.81</v>
      </c>
      <c r="D90" s="4">
        <v>10885898.699999999</v>
      </c>
      <c r="E90" s="4">
        <v>3100843.0399999996</v>
      </c>
      <c r="F90" s="4">
        <v>2937098.56</v>
      </c>
      <c r="G90" s="4">
        <v>5608653.9199999999</v>
      </c>
      <c r="H90" s="4">
        <v>5065605.0500000007</v>
      </c>
      <c r="I90" s="4">
        <v>1895107.3900000001</v>
      </c>
      <c r="J90" s="4">
        <v>4972285.1499999994</v>
      </c>
      <c r="K90" s="4">
        <v>3332997.1700000004</v>
      </c>
      <c r="L90" s="4">
        <v>2331110.5299999998</v>
      </c>
      <c r="M90" s="4">
        <v>1745919.71</v>
      </c>
      <c r="N90" s="4">
        <v>15802824.839999998</v>
      </c>
      <c r="O90" s="4">
        <v>65229151.419999994</v>
      </c>
      <c r="P90" s="4">
        <v>2579768.15</v>
      </c>
      <c r="Q90" s="4">
        <v>1996420.4900000002</v>
      </c>
      <c r="R90" s="4">
        <v>1714217.5399999996</v>
      </c>
      <c r="S90" s="4">
        <v>3363708.68</v>
      </c>
      <c r="T90" s="4">
        <v>2469599.2999999998</v>
      </c>
      <c r="U90" s="4">
        <v>287738.62000000005</v>
      </c>
      <c r="V90" s="4">
        <v>2674015.2200000002</v>
      </c>
      <c r="W90" s="4">
        <v>6249449.1900000004</v>
      </c>
      <c r="X90" s="4">
        <v>947135.58000000007</v>
      </c>
      <c r="Y90" s="4">
        <v>3029330.16</v>
      </c>
      <c r="Z90" s="4">
        <v>2312706.84</v>
      </c>
      <c r="AA90" s="4">
        <v>41582412.920000002</v>
      </c>
      <c r="AB90" s="4">
        <v>2585466.86</v>
      </c>
      <c r="AC90" s="4">
        <v>96623918.789999992</v>
      </c>
      <c r="AD90" s="4">
        <v>10463563</v>
      </c>
      <c r="AE90" s="4">
        <v>11510216.07</v>
      </c>
      <c r="AF90" s="4">
        <v>29518971.080000006</v>
      </c>
      <c r="AG90" s="4">
        <v>7084171.7599999998</v>
      </c>
      <c r="AH90" s="4">
        <v>24406178.949999999</v>
      </c>
      <c r="AI90" s="4">
        <v>1329294.0499999998</v>
      </c>
      <c r="AJ90" s="4">
        <v>3761475.51</v>
      </c>
      <c r="AK90" s="4">
        <v>2966990.2300000004</v>
      </c>
      <c r="AL90" s="4">
        <v>5244815.41</v>
      </c>
      <c r="AM90" s="4">
        <v>7298933.629999999</v>
      </c>
      <c r="AN90" s="4">
        <v>17200205.979999997</v>
      </c>
      <c r="AO90" s="4">
        <v>4776780.91</v>
      </c>
      <c r="AP90" s="4">
        <v>10271028.52</v>
      </c>
      <c r="AQ90" s="4">
        <v>8714233.0700000003</v>
      </c>
      <c r="AR90" s="4">
        <v>1294576.58</v>
      </c>
      <c r="AS90" s="4">
        <v>871002.67</v>
      </c>
      <c r="AT90" s="4">
        <v>2174781.08</v>
      </c>
      <c r="AU90" s="4">
        <v>4832611.75</v>
      </c>
      <c r="AV90" s="4">
        <v>113256402.24000001</v>
      </c>
      <c r="AW90" s="4">
        <v>3577012.3499999996</v>
      </c>
      <c r="AX90" s="4">
        <v>1990435.52</v>
      </c>
      <c r="AY90" s="4">
        <v>4359033.91</v>
      </c>
      <c r="AZ90" s="4">
        <v>9385864.5399999991</v>
      </c>
      <c r="BA90" s="4">
        <v>4404916.7699999996</v>
      </c>
      <c r="BB90" s="4">
        <v>1655435.6599999997</v>
      </c>
      <c r="BC90" s="4">
        <v>3761986.2199999997</v>
      </c>
      <c r="BD90" s="4">
        <v>54344115.280000001</v>
      </c>
      <c r="BE90" s="4">
        <v>1447119.71</v>
      </c>
      <c r="BF90" s="4">
        <v>845121.05000000016</v>
      </c>
      <c r="BG90" s="4">
        <v>0</v>
      </c>
      <c r="BH90" s="4">
        <f t="shared" si="11"/>
        <v>667881185.37999988</v>
      </c>
    </row>
    <row r="91" spans="1:60" x14ac:dyDescent="0.2">
      <c r="A91" s="3">
        <v>43770</v>
      </c>
      <c r="B91" s="4">
        <v>22461212.25</v>
      </c>
      <c r="C91" s="4">
        <v>1682487.1400000004</v>
      </c>
      <c r="D91" s="4">
        <v>11353266.25</v>
      </c>
      <c r="E91" s="4">
        <v>3007717.64</v>
      </c>
      <c r="F91" s="4">
        <v>3261457.67</v>
      </c>
      <c r="G91" s="4">
        <v>5356194.78</v>
      </c>
      <c r="H91" s="4">
        <v>5036723.6400000006</v>
      </c>
      <c r="I91" s="4">
        <v>1845071.89</v>
      </c>
      <c r="J91" s="4">
        <v>4840599.6400000006</v>
      </c>
      <c r="K91" s="4">
        <v>3373199.75</v>
      </c>
      <c r="L91" s="4">
        <v>2317570.66</v>
      </c>
      <c r="M91" s="4">
        <v>1790812.3599999999</v>
      </c>
      <c r="N91" s="4">
        <v>16654909.25</v>
      </c>
      <c r="O91" s="4">
        <v>65065456.550000004</v>
      </c>
      <c r="P91" s="4">
        <v>2543161.89</v>
      </c>
      <c r="Q91" s="4">
        <v>1970995.25</v>
      </c>
      <c r="R91" s="4">
        <v>1689935.7400000002</v>
      </c>
      <c r="S91" s="4">
        <v>3349851.8600000003</v>
      </c>
      <c r="T91" s="4">
        <v>2568247.33</v>
      </c>
      <c r="U91" s="4">
        <v>280639.76</v>
      </c>
      <c r="V91" s="4">
        <v>2554102.92</v>
      </c>
      <c r="W91" s="4">
        <v>6191166.629999999</v>
      </c>
      <c r="X91" s="4">
        <v>970521.17</v>
      </c>
      <c r="Y91" s="4">
        <v>2694095.1399999997</v>
      </c>
      <c r="Z91" s="4">
        <v>2347830.59</v>
      </c>
      <c r="AA91" s="4">
        <v>41013788.069999993</v>
      </c>
      <c r="AB91" s="4">
        <v>2506945.96</v>
      </c>
      <c r="AC91" s="4">
        <v>97694646.459999993</v>
      </c>
      <c r="AD91" s="4">
        <v>10072513.82</v>
      </c>
      <c r="AE91" s="4">
        <v>11451494.129999999</v>
      </c>
      <c r="AF91" s="4">
        <v>30121529.960000001</v>
      </c>
      <c r="AG91" s="4">
        <v>6986038.4900000002</v>
      </c>
      <c r="AH91" s="4">
        <v>24845223.359999999</v>
      </c>
      <c r="AI91" s="4">
        <v>1301564.3599999999</v>
      </c>
      <c r="AJ91" s="4">
        <v>3867832.52</v>
      </c>
      <c r="AK91" s="4">
        <v>2994938.73</v>
      </c>
      <c r="AL91" s="4">
        <v>5310513.75</v>
      </c>
      <c r="AM91" s="4">
        <v>7355881.9299999997</v>
      </c>
      <c r="AN91" s="4">
        <v>20048755.07</v>
      </c>
      <c r="AO91" s="4">
        <v>4525061.46</v>
      </c>
      <c r="AP91" s="4">
        <v>10284640.200000001</v>
      </c>
      <c r="AQ91" s="4">
        <v>8534401.1999999993</v>
      </c>
      <c r="AR91" s="4">
        <v>1270448.08</v>
      </c>
      <c r="AS91" s="4">
        <v>885464.29</v>
      </c>
      <c r="AT91" s="4">
        <v>2217341.2800000003</v>
      </c>
      <c r="AU91" s="4">
        <v>4716109.8900000006</v>
      </c>
      <c r="AV91" s="4">
        <v>114310955.48</v>
      </c>
      <c r="AW91" s="4">
        <v>3522959.88</v>
      </c>
      <c r="AX91" s="4">
        <v>2058389.64</v>
      </c>
      <c r="AY91" s="4">
        <v>4691997.76</v>
      </c>
      <c r="AZ91" s="4">
        <v>9722232.8100000005</v>
      </c>
      <c r="BA91" s="4">
        <v>4283117.92</v>
      </c>
      <c r="BB91" s="4">
        <v>1629593.0499999998</v>
      </c>
      <c r="BC91" s="4">
        <v>3517792.9699999993</v>
      </c>
      <c r="BD91" s="4">
        <v>55213102.469999999</v>
      </c>
      <c r="BE91" s="4">
        <v>1370174.75</v>
      </c>
      <c r="BF91" s="4">
        <v>938028.64000000013</v>
      </c>
      <c r="BG91" s="4">
        <v>0</v>
      </c>
      <c r="BH91" s="4">
        <f t="shared" si="11"/>
        <v>674470706.12999976</v>
      </c>
    </row>
    <row r="92" spans="1:60" x14ac:dyDescent="0.2">
      <c r="A92" s="3">
        <v>43800</v>
      </c>
      <c r="B92" s="4">
        <v>28266144.149999999</v>
      </c>
      <c r="C92" s="4">
        <v>2625412.11</v>
      </c>
      <c r="D92" s="4">
        <v>13629656.649999999</v>
      </c>
      <c r="E92" s="4">
        <v>4313504.71</v>
      </c>
      <c r="F92" s="4">
        <v>3192973.0799999996</v>
      </c>
      <c r="G92" s="4">
        <v>6965119.1999999993</v>
      </c>
      <c r="H92" s="4">
        <v>6018087.1199999992</v>
      </c>
      <c r="I92" s="4">
        <v>2537837.25</v>
      </c>
      <c r="J92" s="4">
        <v>6104100.3500000006</v>
      </c>
      <c r="K92" s="4">
        <v>4551769.93</v>
      </c>
      <c r="L92" s="4">
        <v>3167571.44</v>
      </c>
      <c r="M92" s="4">
        <v>2503208.4299999997</v>
      </c>
      <c r="N92" s="4">
        <v>22463260.419999998</v>
      </c>
      <c r="O92" s="4">
        <v>84819257.939999998</v>
      </c>
      <c r="P92" s="4">
        <v>2969794.35</v>
      </c>
      <c r="Q92" s="4">
        <v>2403423.33</v>
      </c>
      <c r="R92" s="4">
        <v>2444650.4400000004</v>
      </c>
      <c r="S92" s="4">
        <v>4086243.5599999996</v>
      </c>
      <c r="T92" s="4">
        <v>3767785.0999999996</v>
      </c>
      <c r="U92" s="4">
        <v>533649.69000000006</v>
      </c>
      <c r="V92" s="4">
        <v>3524236.08</v>
      </c>
      <c r="W92" s="4">
        <v>7783349.5800000019</v>
      </c>
      <c r="X92" s="4">
        <v>1352733.7799999998</v>
      </c>
      <c r="Y92" s="4">
        <v>3864936.59</v>
      </c>
      <c r="Z92" s="4">
        <v>3094647.0399999996</v>
      </c>
      <c r="AA92" s="4">
        <v>54637463.660000004</v>
      </c>
      <c r="AB92" s="4">
        <v>3525297.51</v>
      </c>
      <c r="AC92" s="4">
        <v>124031557.21000001</v>
      </c>
      <c r="AD92" s="4">
        <v>13856122.120000001</v>
      </c>
      <c r="AE92" s="4">
        <v>15328203.039999999</v>
      </c>
      <c r="AF92" s="4">
        <v>36985975.769999996</v>
      </c>
      <c r="AG92" s="4">
        <v>8821684.2899999991</v>
      </c>
      <c r="AH92" s="4">
        <v>28928200.729999997</v>
      </c>
      <c r="AI92" s="4">
        <v>2041120.0699999998</v>
      </c>
      <c r="AJ92" s="4">
        <v>4359588.6399999997</v>
      </c>
      <c r="AK92" s="4">
        <v>4000107.49</v>
      </c>
      <c r="AL92" s="4">
        <v>6186904.3099999987</v>
      </c>
      <c r="AM92" s="4">
        <v>10245946.659999998</v>
      </c>
      <c r="AN92" s="4">
        <v>24105918.669999998</v>
      </c>
      <c r="AO92" s="4">
        <v>7358224.1500000022</v>
      </c>
      <c r="AP92" s="4">
        <v>12724426.33</v>
      </c>
      <c r="AQ92" s="4">
        <v>10418839.02</v>
      </c>
      <c r="AR92" s="4">
        <v>1731439.8300000005</v>
      </c>
      <c r="AS92" s="4">
        <v>1358437.2399999998</v>
      </c>
      <c r="AT92" s="4">
        <v>2821667.6899999995</v>
      </c>
      <c r="AU92" s="4">
        <v>5916324.7699999996</v>
      </c>
      <c r="AV92" s="4">
        <v>144925855.47999999</v>
      </c>
      <c r="AW92" s="4">
        <v>4421344.330000001</v>
      </c>
      <c r="AX92" s="4">
        <v>2103626.64</v>
      </c>
      <c r="AY92" s="4">
        <v>5727996.6300000008</v>
      </c>
      <c r="AZ92" s="4">
        <v>13778641.089999998</v>
      </c>
      <c r="BA92" s="4">
        <v>4675206.75</v>
      </c>
      <c r="BB92" s="4">
        <v>2253019.6300000004</v>
      </c>
      <c r="BC92" s="4">
        <v>5087549.9000000004</v>
      </c>
      <c r="BD92" s="4">
        <v>71831600.649999991</v>
      </c>
      <c r="BE92" s="4">
        <v>2084967.9899999998</v>
      </c>
      <c r="BF92" s="4">
        <v>1683388</v>
      </c>
      <c r="BG92" s="4">
        <v>0</v>
      </c>
      <c r="BH92" s="4">
        <f t="shared" si="11"/>
        <v>864939998.61000013</v>
      </c>
    </row>
    <row r="93" spans="1:60" ht="15.75" thickBot="1" x14ac:dyDescent="0.25">
      <c r="A93" s="1" t="s">
        <v>174</v>
      </c>
      <c r="B93" s="5">
        <f>SUM(B81:B92)</f>
        <v>285271314.11000001</v>
      </c>
      <c r="C93" s="5">
        <f t="shared" ref="C93:BH93" si="12">SUM(C81:C92)</f>
        <v>22370357.66</v>
      </c>
      <c r="D93" s="5">
        <f t="shared" si="12"/>
        <v>140998873.53999999</v>
      </c>
      <c r="E93" s="5">
        <f t="shared" si="12"/>
        <v>40150213.030000001</v>
      </c>
      <c r="F93" s="5">
        <f t="shared" si="12"/>
        <v>37657121.049999997</v>
      </c>
      <c r="G93" s="5">
        <f t="shared" si="12"/>
        <v>70960528.730000004</v>
      </c>
      <c r="H93" s="5">
        <f t="shared" si="12"/>
        <v>62641041.830000006</v>
      </c>
      <c r="I93" s="5">
        <f t="shared" si="12"/>
        <v>24654475.219999999</v>
      </c>
      <c r="J93" s="5">
        <f t="shared" si="12"/>
        <v>59424995.32</v>
      </c>
      <c r="K93" s="5">
        <f t="shared" si="12"/>
        <v>44730538.640000001</v>
      </c>
      <c r="L93" s="5">
        <f t="shared" si="12"/>
        <v>31219536.500000004</v>
      </c>
      <c r="M93" s="5">
        <f t="shared" si="12"/>
        <v>22243173.649999999</v>
      </c>
      <c r="N93" s="5">
        <f t="shared" si="12"/>
        <v>208670515.13</v>
      </c>
      <c r="O93" s="5">
        <f t="shared" si="12"/>
        <v>829405715.51999998</v>
      </c>
      <c r="P93" s="5">
        <f t="shared" si="12"/>
        <v>31754703.460000001</v>
      </c>
      <c r="Q93" s="5">
        <f t="shared" si="12"/>
        <v>25045024.890000001</v>
      </c>
      <c r="R93" s="5">
        <f t="shared" si="12"/>
        <v>22439414.670000006</v>
      </c>
      <c r="S93" s="5">
        <f t="shared" si="12"/>
        <v>42494493.880000003</v>
      </c>
      <c r="T93" s="5">
        <f t="shared" si="12"/>
        <v>34619381.700000003</v>
      </c>
      <c r="U93" s="5">
        <f t="shared" si="12"/>
        <v>4303157.3900000006</v>
      </c>
      <c r="V93" s="5">
        <f t="shared" si="12"/>
        <v>34119046.859999992</v>
      </c>
      <c r="W93" s="5">
        <f t="shared" si="12"/>
        <v>80178189.909999996</v>
      </c>
      <c r="X93" s="5">
        <f t="shared" si="12"/>
        <v>12974164.959999999</v>
      </c>
      <c r="Y93" s="5">
        <f t="shared" si="12"/>
        <v>35499199.489999995</v>
      </c>
      <c r="Z93" s="5">
        <f t="shared" si="12"/>
        <v>30674231.399999999</v>
      </c>
      <c r="AA93" s="5">
        <f t="shared" si="12"/>
        <v>525955643.2100001</v>
      </c>
      <c r="AB93" s="5">
        <f t="shared" si="12"/>
        <v>32935264.409999996</v>
      </c>
      <c r="AC93" s="5">
        <f t="shared" si="12"/>
        <v>1243714341.8899999</v>
      </c>
      <c r="AD93" s="5">
        <f t="shared" si="12"/>
        <v>129799451.58000001</v>
      </c>
      <c r="AE93" s="5">
        <f t="shared" si="12"/>
        <v>149470997.16999999</v>
      </c>
      <c r="AF93" s="5">
        <f t="shared" si="12"/>
        <v>371013688.83999997</v>
      </c>
      <c r="AG93" s="5">
        <f t="shared" si="12"/>
        <v>88722901.949999988</v>
      </c>
      <c r="AH93" s="5">
        <f t="shared" si="12"/>
        <v>300786159.53000003</v>
      </c>
      <c r="AI93" s="5">
        <f t="shared" si="12"/>
        <v>17738911.079999998</v>
      </c>
      <c r="AJ93" s="5">
        <f t="shared" si="12"/>
        <v>48084059.960000001</v>
      </c>
      <c r="AK93" s="5">
        <f t="shared" si="12"/>
        <v>40366900.909999996</v>
      </c>
      <c r="AL93" s="5">
        <f t="shared" si="12"/>
        <v>66354863.719999984</v>
      </c>
      <c r="AM93" s="5">
        <f t="shared" si="12"/>
        <v>95873626.839999974</v>
      </c>
      <c r="AN93" s="5">
        <f t="shared" si="12"/>
        <v>232214848.28999996</v>
      </c>
      <c r="AO93" s="5">
        <f t="shared" si="12"/>
        <v>62192015.029999986</v>
      </c>
      <c r="AP93" s="5">
        <f t="shared" si="12"/>
        <v>129739134.78999999</v>
      </c>
      <c r="AQ93" s="5">
        <f t="shared" si="12"/>
        <v>105276121.20000002</v>
      </c>
      <c r="AR93" s="5">
        <f t="shared" si="12"/>
        <v>16145135.91</v>
      </c>
      <c r="AS93" s="5">
        <f t="shared" si="12"/>
        <v>12021870.85</v>
      </c>
      <c r="AT93" s="5">
        <f t="shared" si="12"/>
        <v>27722238.309999995</v>
      </c>
      <c r="AU93" s="5">
        <f t="shared" si="12"/>
        <v>59828832.270000011</v>
      </c>
      <c r="AV93" s="5">
        <f t="shared" si="12"/>
        <v>1510458779.23</v>
      </c>
      <c r="AW93" s="5">
        <f t="shared" si="12"/>
        <v>47332034.820000008</v>
      </c>
      <c r="AX93" s="5">
        <f t="shared" si="12"/>
        <v>24864870.849999998</v>
      </c>
      <c r="AY93" s="5">
        <f t="shared" si="12"/>
        <v>56886774.780000001</v>
      </c>
      <c r="AZ93" s="5">
        <f t="shared" si="12"/>
        <v>127189573.53999999</v>
      </c>
      <c r="BA93" s="5">
        <f t="shared" si="12"/>
        <v>56265689.010000005</v>
      </c>
      <c r="BB93" s="5">
        <f t="shared" si="12"/>
        <v>21884655.59</v>
      </c>
      <c r="BC93" s="5">
        <f t="shared" si="12"/>
        <v>47941230.119999997</v>
      </c>
      <c r="BD93" s="5">
        <f t="shared" si="12"/>
        <v>619794735.54999995</v>
      </c>
      <c r="BE93" s="5">
        <f t="shared" si="12"/>
        <v>19038414.579999998</v>
      </c>
      <c r="BF93" s="5">
        <f t="shared" si="12"/>
        <v>13738995.470000001</v>
      </c>
      <c r="BG93" s="5">
        <f t="shared" si="12"/>
        <v>0</v>
      </c>
      <c r="BH93" s="5">
        <f t="shared" si="12"/>
        <v>8535852169.8200016</v>
      </c>
    </row>
    <row r="94" spans="1:60" ht="15.75" thickTop="1" x14ac:dyDescent="0.2"/>
    <row r="95" spans="1:60" x14ac:dyDescent="0.2">
      <c r="A95" s="3">
        <v>43101</v>
      </c>
      <c r="B95" s="4">
        <v>22005206.830000002</v>
      </c>
      <c r="C95" s="4">
        <v>1522796.01</v>
      </c>
      <c r="D95" s="4">
        <v>10582892.800000001</v>
      </c>
      <c r="E95" s="4">
        <v>3087649.39</v>
      </c>
      <c r="F95" s="4">
        <v>2845253.66</v>
      </c>
      <c r="G95" s="4">
        <v>5046544.6100000003</v>
      </c>
      <c r="H95" s="4">
        <v>4718393.72</v>
      </c>
      <c r="I95" s="4">
        <v>1662331.9300000002</v>
      </c>
      <c r="J95" s="4">
        <v>4149193.4000000008</v>
      </c>
      <c r="K95" s="4">
        <v>2934572.34</v>
      </c>
      <c r="L95" s="4">
        <v>2386008.29</v>
      </c>
      <c r="M95" s="4">
        <v>1553183.2600000002</v>
      </c>
      <c r="N95" s="4">
        <v>14614981.16</v>
      </c>
      <c r="O95" s="4">
        <v>63299716.68</v>
      </c>
      <c r="P95" s="4">
        <v>2202174.8600000003</v>
      </c>
      <c r="Q95" s="4">
        <v>1715343.08</v>
      </c>
      <c r="R95" s="4">
        <v>1552449.54</v>
      </c>
      <c r="S95" s="4">
        <v>2874015.45</v>
      </c>
      <c r="T95" s="4">
        <v>2379942.77</v>
      </c>
      <c r="U95" s="4">
        <v>187645.16999999998</v>
      </c>
      <c r="V95" s="4">
        <v>2247565.7800000003</v>
      </c>
      <c r="W95" s="4">
        <v>5668509.7699999996</v>
      </c>
      <c r="X95" s="4">
        <v>852599.65</v>
      </c>
      <c r="Y95" s="4">
        <v>2376654.5699999998</v>
      </c>
      <c r="Z95" s="4">
        <v>1965735.55</v>
      </c>
      <c r="AA95" s="4">
        <v>40365701.339999996</v>
      </c>
      <c r="AB95" s="4">
        <v>2286751.8899999997</v>
      </c>
      <c r="AC95" s="4">
        <v>98154918.210000008</v>
      </c>
      <c r="AD95" s="4">
        <v>9516614.4100000001</v>
      </c>
      <c r="AE95" s="4">
        <v>10890934.209999999</v>
      </c>
      <c r="AF95" s="4">
        <v>28136822.48</v>
      </c>
      <c r="AG95" s="4">
        <v>7288295.9800000004</v>
      </c>
      <c r="AH95" s="4">
        <v>22221014.280000001</v>
      </c>
      <c r="AI95" s="4">
        <v>1250107.1500000001</v>
      </c>
      <c r="AJ95" s="4">
        <v>3177507.5599999996</v>
      </c>
      <c r="AK95" s="4">
        <v>2613888.69</v>
      </c>
      <c r="AL95" s="4">
        <v>4699597.0199999996</v>
      </c>
      <c r="AM95" s="4">
        <v>6783635.4300000006</v>
      </c>
      <c r="AN95" s="4">
        <v>17995223.170000002</v>
      </c>
      <c r="AO95" s="4">
        <v>4566031.6000000006</v>
      </c>
      <c r="AP95" s="4">
        <v>9821066.9800000023</v>
      </c>
      <c r="AQ95" s="4">
        <v>8486226.9800000004</v>
      </c>
      <c r="AR95" s="4">
        <v>1079997.92</v>
      </c>
      <c r="AS95" s="4">
        <v>665316.98</v>
      </c>
      <c r="AT95" s="4">
        <v>1846201.3000000003</v>
      </c>
      <c r="AU95" s="4">
        <v>4139647.7800000003</v>
      </c>
      <c r="AV95" s="4">
        <v>114829048.04000002</v>
      </c>
      <c r="AW95" s="4">
        <v>2710419.04</v>
      </c>
      <c r="AX95" s="4">
        <v>1671281.96</v>
      </c>
      <c r="AY95" s="4">
        <v>3946503.84</v>
      </c>
      <c r="AZ95" s="4">
        <v>8827817.1699999999</v>
      </c>
      <c r="BA95" s="4">
        <v>3739218.12</v>
      </c>
      <c r="BB95" s="4">
        <v>1615522.88</v>
      </c>
      <c r="BC95" s="4">
        <v>3501571.7100000004</v>
      </c>
      <c r="BD95" s="4">
        <v>44557682.709999993</v>
      </c>
      <c r="BE95" s="4">
        <v>1308979.8500000001</v>
      </c>
      <c r="BF95" s="4">
        <v>701693.59</v>
      </c>
      <c r="BG95" s="4">
        <v>0</v>
      </c>
      <c r="BH95" s="4">
        <f>SUM(B95:BG95)</f>
        <v>637826600.5400002</v>
      </c>
    </row>
    <row r="96" spans="1:60" x14ac:dyDescent="0.2">
      <c r="A96" s="3">
        <v>43132</v>
      </c>
      <c r="B96" s="4">
        <v>18980993.439999998</v>
      </c>
      <c r="C96" s="4">
        <v>1377256.33</v>
      </c>
      <c r="D96" s="4">
        <v>9150695.9900000002</v>
      </c>
      <c r="E96" s="4">
        <v>2578214.8400000003</v>
      </c>
      <c r="F96" s="4">
        <v>2486765.9300000002</v>
      </c>
      <c r="G96" s="4">
        <v>4147132.7399999998</v>
      </c>
      <c r="H96" s="4">
        <v>4579351.42</v>
      </c>
      <c r="I96" s="4">
        <v>1561747.4000000001</v>
      </c>
      <c r="J96" s="4">
        <v>3613364.7700000005</v>
      </c>
      <c r="K96" s="4">
        <v>2546704.75</v>
      </c>
      <c r="L96" s="4">
        <v>2041830.4100000001</v>
      </c>
      <c r="M96" s="4">
        <v>1303554.92</v>
      </c>
      <c r="N96" s="4">
        <v>12549296.83</v>
      </c>
      <c r="O96" s="4">
        <v>54896400.299999997</v>
      </c>
      <c r="P96" s="4">
        <v>1842351.3900000001</v>
      </c>
      <c r="Q96" s="4">
        <v>1459298.91</v>
      </c>
      <c r="R96" s="4">
        <v>1340190.0299999998</v>
      </c>
      <c r="S96" s="4">
        <v>2547474.5</v>
      </c>
      <c r="T96" s="4">
        <v>2099979.19</v>
      </c>
      <c r="U96" s="4">
        <v>178995.41</v>
      </c>
      <c r="V96" s="4">
        <v>1966174.25</v>
      </c>
      <c r="W96" s="4">
        <v>4848159.3499999996</v>
      </c>
      <c r="X96" s="4">
        <v>746805.54</v>
      </c>
      <c r="Y96" s="4">
        <v>2077863.09</v>
      </c>
      <c r="Z96" s="4">
        <v>1723285.66</v>
      </c>
      <c r="AA96" s="4">
        <v>33932851.379999995</v>
      </c>
      <c r="AB96" s="4">
        <v>1915016.46</v>
      </c>
      <c r="AC96" s="4">
        <v>83182134</v>
      </c>
      <c r="AD96" s="4">
        <v>8364616.5800000019</v>
      </c>
      <c r="AE96" s="4">
        <v>9489916.1600000001</v>
      </c>
      <c r="AF96" s="4">
        <v>23084077.280000001</v>
      </c>
      <c r="AG96" s="4">
        <v>5810049.4500000002</v>
      </c>
      <c r="AH96" s="4">
        <v>19361853.07</v>
      </c>
      <c r="AI96" s="4">
        <v>1068660.0899999999</v>
      </c>
      <c r="AJ96" s="4">
        <v>2867089.8500000006</v>
      </c>
      <c r="AK96" s="4">
        <v>2293720.2599999998</v>
      </c>
      <c r="AL96" s="4">
        <v>4062844.1499999994</v>
      </c>
      <c r="AM96" s="4">
        <v>5760116.5899999999</v>
      </c>
      <c r="AN96" s="4">
        <v>15705701.389999999</v>
      </c>
      <c r="AO96" s="4">
        <v>3951547.2900000005</v>
      </c>
      <c r="AP96" s="4">
        <v>8435731.0099999998</v>
      </c>
      <c r="AQ96" s="4">
        <v>7391123.9100000001</v>
      </c>
      <c r="AR96" s="4">
        <v>927912.7</v>
      </c>
      <c r="AS96" s="4">
        <v>596252.01</v>
      </c>
      <c r="AT96" s="4">
        <v>1607742.6599999997</v>
      </c>
      <c r="AU96" s="4">
        <v>3688771.06</v>
      </c>
      <c r="AV96" s="4">
        <v>95131886.299999997</v>
      </c>
      <c r="AW96" s="4">
        <v>2429032.5999999996</v>
      </c>
      <c r="AX96" s="4">
        <v>1548229.92</v>
      </c>
      <c r="AY96" s="4">
        <v>3542793.4400000004</v>
      </c>
      <c r="AZ96" s="4">
        <v>7722679.3900000006</v>
      </c>
      <c r="BA96" s="4">
        <v>3207731.83</v>
      </c>
      <c r="BB96" s="4">
        <v>1380851.2600000002</v>
      </c>
      <c r="BC96" s="4">
        <v>2753046.46</v>
      </c>
      <c r="BD96" s="4">
        <v>38205213.899999999</v>
      </c>
      <c r="BE96" s="4">
        <v>1170657.92</v>
      </c>
      <c r="BF96" s="4">
        <v>613983.05999999994</v>
      </c>
      <c r="BG96" s="4">
        <v>0</v>
      </c>
      <c r="BH96" s="4">
        <f t="shared" ref="BH96:BH106" si="13">SUM(B96:BG96)</f>
        <v>543847720.81999981</v>
      </c>
    </row>
    <row r="97" spans="1:60" x14ac:dyDescent="0.2">
      <c r="A97" s="3">
        <v>43160</v>
      </c>
      <c r="B97" s="4">
        <v>23879053.329999994</v>
      </c>
      <c r="C97" s="4">
        <v>2027857.6800000002</v>
      </c>
      <c r="D97" s="4">
        <v>10747870.210000001</v>
      </c>
      <c r="E97" s="4">
        <v>3304984.4800000004</v>
      </c>
      <c r="F97" s="4">
        <v>3182114.4400000004</v>
      </c>
      <c r="G97" s="4">
        <v>6049564.5100000007</v>
      </c>
      <c r="H97" s="4">
        <v>5583568.8800000008</v>
      </c>
      <c r="I97" s="4">
        <v>2133644.6199999996</v>
      </c>
      <c r="J97" s="4">
        <v>4601336.8</v>
      </c>
      <c r="K97" s="4">
        <v>4130731.44</v>
      </c>
      <c r="L97" s="4">
        <v>2483168.38</v>
      </c>
      <c r="M97" s="4">
        <v>1900808.65</v>
      </c>
      <c r="N97" s="4">
        <v>17622043.419999998</v>
      </c>
      <c r="O97" s="4">
        <v>66124891.799999997</v>
      </c>
      <c r="P97" s="4">
        <v>2572289.04</v>
      </c>
      <c r="Q97" s="4">
        <v>2064580.73</v>
      </c>
      <c r="R97" s="4">
        <v>2523109.34</v>
      </c>
      <c r="S97" s="4">
        <v>3662155.0100000002</v>
      </c>
      <c r="T97" s="4">
        <v>3016479.9899999998</v>
      </c>
      <c r="U97" s="4">
        <v>314687.86</v>
      </c>
      <c r="V97" s="4">
        <v>2981588.2299999995</v>
      </c>
      <c r="W97" s="4">
        <v>6299629.3600000003</v>
      </c>
      <c r="X97" s="4">
        <v>1126758.6900000002</v>
      </c>
      <c r="Y97" s="4">
        <v>2799371.4200000004</v>
      </c>
      <c r="Z97" s="4">
        <v>2479429.13</v>
      </c>
      <c r="AA97" s="4">
        <v>42298402.039999999</v>
      </c>
      <c r="AB97" s="4">
        <v>2713784.9200000004</v>
      </c>
      <c r="AC97" s="4">
        <v>104453980.98999999</v>
      </c>
      <c r="AD97" s="4">
        <v>10176045.529999999</v>
      </c>
      <c r="AE97" s="4">
        <v>12818800.42</v>
      </c>
      <c r="AF97" s="4">
        <v>30577081.309999999</v>
      </c>
      <c r="AG97" s="4">
        <v>6890605.3300000001</v>
      </c>
      <c r="AH97" s="4">
        <v>25390400.169999994</v>
      </c>
      <c r="AI97" s="4">
        <v>1672995.96</v>
      </c>
      <c r="AJ97" s="4">
        <v>4063773.28</v>
      </c>
      <c r="AK97" s="4">
        <v>3084372.04</v>
      </c>
      <c r="AL97" s="4">
        <v>5383664.0500000007</v>
      </c>
      <c r="AM97" s="4">
        <v>7966957.5700000003</v>
      </c>
      <c r="AN97" s="4">
        <v>18534267.710000001</v>
      </c>
      <c r="AO97" s="4">
        <v>5143614.84</v>
      </c>
      <c r="AP97" s="4">
        <v>9827000.0099999998</v>
      </c>
      <c r="AQ97" s="4">
        <v>8755392.2100000009</v>
      </c>
      <c r="AR97" s="4">
        <v>1446660.1599999997</v>
      </c>
      <c r="AS97" s="4">
        <v>895061.98</v>
      </c>
      <c r="AT97" s="4">
        <v>2123173.66</v>
      </c>
      <c r="AU97" s="4">
        <v>5156795.46</v>
      </c>
      <c r="AV97" s="4">
        <v>122964870.82000001</v>
      </c>
      <c r="AW97" s="4">
        <v>4089839.05</v>
      </c>
      <c r="AX97" s="4">
        <v>2100327.5599999996</v>
      </c>
      <c r="AY97" s="4">
        <v>4723224.34</v>
      </c>
      <c r="AZ97" s="4">
        <v>10621376.749999998</v>
      </c>
      <c r="BA97" s="4">
        <v>4140899.55</v>
      </c>
      <c r="BB97" s="4">
        <v>1690267.94</v>
      </c>
      <c r="BC97" s="4">
        <v>4023175.17</v>
      </c>
      <c r="BD97" s="4">
        <v>48474341.969999999</v>
      </c>
      <c r="BE97" s="4">
        <v>1478804.1</v>
      </c>
      <c r="BF97" s="4">
        <v>1196249.83</v>
      </c>
      <c r="BG97" s="4">
        <v>0</v>
      </c>
      <c r="BH97" s="4">
        <f t="shared" si="13"/>
        <v>698487924.15999985</v>
      </c>
    </row>
    <row r="98" spans="1:60" x14ac:dyDescent="0.2">
      <c r="A98" s="3">
        <v>43191</v>
      </c>
      <c r="B98" s="4">
        <v>19647027.260000005</v>
      </c>
      <c r="C98" s="4">
        <v>1742942.8399999999</v>
      </c>
      <c r="D98" s="4">
        <v>9824410.540000001</v>
      </c>
      <c r="E98" s="4">
        <v>2955461.3200000003</v>
      </c>
      <c r="F98" s="4">
        <v>3141299.84</v>
      </c>
      <c r="G98" s="4">
        <v>4659981.88</v>
      </c>
      <c r="H98" s="4">
        <v>4506053.32</v>
      </c>
      <c r="I98" s="4">
        <v>1996109.25</v>
      </c>
      <c r="J98" s="4">
        <v>4097109.12</v>
      </c>
      <c r="K98" s="4">
        <v>2985288.9000000004</v>
      </c>
      <c r="L98" s="4">
        <v>2286073.08</v>
      </c>
      <c r="M98" s="4">
        <v>1689271.4399999997</v>
      </c>
      <c r="N98" s="4">
        <v>14347507.4</v>
      </c>
      <c r="O98" s="4">
        <v>61451269.560000002</v>
      </c>
      <c r="P98" s="4">
        <v>1921572.02</v>
      </c>
      <c r="Q98" s="4">
        <v>1633746.52</v>
      </c>
      <c r="R98" s="4">
        <v>1829814.31</v>
      </c>
      <c r="S98" s="4">
        <v>3111756.22</v>
      </c>
      <c r="T98" s="4">
        <v>2224506.7000000002</v>
      </c>
      <c r="U98" s="4">
        <v>322324.5</v>
      </c>
      <c r="V98" s="4">
        <v>2326266.5999999996</v>
      </c>
      <c r="W98" s="4">
        <v>5803397.1399999997</v>
      </c>
      <c r="X98" s="4">
        <v>961674.39000000013</v>
      </c>
      <c r="Y98" s="4">
        <v>2583022.3200000003</v>
      </c>
      <c r="Z98" s="4">
        <v>2388310.2199999997</v>
      </c>
      <c r="AA98" s="4">
        <v>38240828.909999996</v>
      </c>
      <c r="AB98" s="4">
        <v>2374088.4299999997</v>
      </c>
      <c r="AC98" s="4">
        <v>89283538.270000011</v>
      </c>
      <c r="AD98" s="4">
        <v>9276382.7100000009</v>
      </c>
      <c r="AE98" s="4">
        <v>10656342.689999999</v>
      </c>
      <c r="AF98" s="4">
        <v>26814105.539999999</v>
      </c>
      <c r="AG98" s="4">
        <v>6189165.5299999993</v>
      </c>
      <c r="AH98" s="4">
        <v>22186726.270000003</v>
      </c>
      <c r="AI98" s="4">
        <v>1227140.1399999999</v>
      </c>
      <c r="AJ98" s="4">
        <v>3638790.15</v>
      </c>
      <c r="AK98" s="4">
        <v>2856819.5199999996</v>
      </c>
      <c r="AL98" s="4">
        <v>4696970.99</v>
      </c>
      <c r="AM98" s="4">
        <v>6623475.3499999996</v>
      </c>
      <c r="AN98" s="4">
        <v>16179702.23</v>
      </c>
      <c r="AO98" s="4">
        <v>4474774.41</v>
      </c>
      <c r="AP98" s="4">
        <v>9296886.3999999966</v>
      </c>
      <c r="AQ98" s="4">
        <v>7482000.1600000001</v>
      </c>
      <c r="AR98" s="4">
        <v>1167492.42</v>
      </c>
      <c r="AS98" s="4">
        <v>728691.6399999999</v>
      </c>
      <c r="AT98" s="4">
        <v>1815182.1300000001</v>
      </c>
      <c r="AU98" s="4">
        <v>4607255.620000001</v>
      </c>
      <c r="AV98" s="4">
        <v>107030608.02</v>
      </c>
      <c r="AW98" s="4">
        <v>3029455.2600000002</v>
      </c>
      <c r="AX98" s="4">
        <v>1710474.4</v>
      </c>
      <c r="AY98" s="4">
        <v>4046490.4799999995</v>
      </c>
      <c r="AZ98" s="4">
        <v>8381753.9000000004</v>
      </c>
      <c r="BA98" s="4">
        <v>3677117.48</v>
      </c>
      <c r="BB98" s="4">
        <v>1542007.4</v>
      </c>
      <c r="BC98" s="4">
        <v>3296762.54</v>
      </c>
      <c r="BD98" s="4">
        <v>41244405.640000001</v>
      </c>
      <c r="BE98" s="4">
        <v>1438468.4</v>
      </c>
      <c r="BF98" s="4">
        <v>827720.46000000008</v>
      </c>
      <c r="BG98" s="4">
        <v>0</v>
      </c>
      <c r="BH98" s="4">
        <f t="shared" si="13"/>
        <v>606477820.17999983</v>
      </c>
    </row>
    <row r="99" spans="1:60" x14ac:dyDescent="0.2">
      <c r="A99" s="3">
        <v>43221</v>
      </c>
      <c r="B99" s="4">
        <v>20709586.759999998</v>
      </c>
      <c r="C99" s="4">
        <v>1523295.5699999998</v>
      </c>
      <c r="D99" s="4">
        <v>9953880.4499999993</v>
      </c>
      <c r="E99" s="4">
        <v>2733054.37</v>
      </c>
      <c r="F99" s="4">
        <v>2934679.79</v>
      </c>
      <c r="G99" s="4">
        <v>5204662.59</v>
      </c>
      <c r="H99" s="4">
        <v>4577151.82</v>
      </c>
      <c r="I99" s="4">
        <v>1759575.7399999998</v>
      </c>
      <c r="J99" s="4">
        <v>4786001.79</v>
      </c>
      <c r="K99" s="4">
        <v>2919300.54</v>
      </c>
      <c r="L99" s="4">
        <v>2289024.79</v>
      </c>
      <c r="M99" s="4">
        <v>1578177.95</v>
      </c>
      <c r="N99" s="4">
        <v>13870806.890000001</v>
      </c>
      <c r="O99" s="4">
        <v>59926512.259999998</v>
      </c>
      <c r="P99" s="4">
        <v>2138397.5700000003</v>
      </c>
      <c r="Q99" s="4">
        <v>1762704.21</v>
      </c>
      <c r="R99" s="4">
        <v>1659965.05</v>
      </c>
      <c r="S99" s="4">
        <v>3024288.94</v>
      </c>
      <c r="T99" s="4">
        <v>2172008.5300000003</v>
      </c>
      <c r="U99" s="4">
        <v>203705.88</v>
      </c>
      <c r="V99" s="4">
        <v>2327310.36</v>
      </c>
      <c r="W99" s="4">
        <v>5765244.6899999995</v>
      </c>
      <c r="X99" s="4">
        <v>852943.74000000011</v>
      </c>
      <c r="Y99" s="4">
        <v>2399806.73</v>
      </c>
      <c r="Z99" s="4">
        <v>2060530.4000000001</v>
      </c>
      <c r="AA99" s="4">
        <v>38096793.700000003</v>
      </c>
      <c r="AB99" s="4">
        <v>2321724.39</v>
      </c>
      <c r="AC99" s="4">
        <v>89642874.810000002</v>
      </c>
      <c r="AD99" s="4">
        <v>9315545.7300000004</v>
      </c>
      <c r="AE99" s="4">
        <v>10775357.75</v>
      </c>
      <c r="AF99" s="4">
        <v>27493101.440000001</v>
      </c>
      <c r="AG99" s="4">
        <v>5656743.1500000013</v>
      </c>
      <c r="AH99" s="4">
        <v>21699712.050000001</v>
      </c>
      <c r="AI99" s="4">
        <v>1211916.99</v>
      </c>
      <c r="AJ99" s="4">
        <v>4170039.47</v>
      </c>
      <c r="AK99" s="4">
        <v>2730798.9299999997</v>
      </c>
      <c r="AL99" s="4">
        <v>4600643.18</v>
      </c>
      <c r="AM99" s="4">
        <v>6567928.5600000005</v>
      </c>
      <c r="AN99" s="4">
        <v>16134919.310000001</v>
      </c>
      <c r="AO99" s="4">
        <v>4626871.4499999983</v>
      </c>
      <c r="AP99" s="4">
        <v>9401546.7600000016</v>
      </c>
      <c r="AQ99" s="4">
        <v>7702198.9000000004</v>
      </c>
      <c r="AR99" s="4">
        <v>1119225.6000000001</v>
      </c>
      <c r="AS99" s="4">
        <v>740250.17</v>
      </c>
      <c r="AT99" s="4">
        <v>1815063.9100000001</v>
      </c>
      <c r="AU99" s="4">
        <v>4241099.8600000003</v>
      </c>
      <c r="AV99" s="4">
        <v>107215693.92000002</v>
      </c>
      <c r="AW99" s="4">
        <v>2864186.3400000003</v>
      </c>
      <c r="AX99" s="4">
        <v>1599848.17</v>
      </c>
      <c r="AY99" s="4">
        <v>3849279.3499999996</v>
      </c>
      <c r="AZ99" s="4">
        <v>8368541.8100000005</v>
      </c>
      <c r="BA99" s="4">
        <v>3734279.7199999997</v>
      </c>
      <c r="BB99" s="4">
        <v>1546854.1800000002</v>
      </c>
      <c r="BC99" s="4">
        <v>3847463.14</v>
      </c>
      <c r="BD99" s="4">
        <v>40619139.280000001</v>
      </c>
      <c r="BE99" s="4">
        <v>1336265.49</v>
      </c>
      <c r="BF99" s="4">
        <v>781063.32000000007</v>
      </c>
      <c r="BG99" s="4">
        <v>0</v>
      </c>
      <c r="BH99" s="4">
        <f t="shared" si="13"/>
        <v>604959588.24000001</v>
      </c>
    </row>
    <row r="100" spans="1:60" x14ac:dyDescent="0.2">
      <c r="A100" s="3">
        <v>43252</v>
      </c>
      <c r="B100" s="4">
        <v>30519177.659999996</v>
      </c>
      <c r="C100" s="4">
        <v>2352013.1100000003</v>
      </c>
      <c r="D100" s="4">
        <v>13438820.98</v>
      </c>
      <c r="E100" s="4">
        <v>4185292.040000001</v>
      </c>
      <c r="F100" s="4">
        <v>2996456.42</v>
      </c>
      <c r="G100" s="4">
        <v>6938565.4400000013</v>
      </c>
      <c r="H100" s="4">
        <v>5988931.1199999992</v>
      </c>
      <c r="I100" s="4">
        <v>2964058.7100000004</v>
      </c>
      <c r="J100" s="4">
        <v>5828247.9299999997</v>
      </c>
      <c r="K100" s="4">
        <v>4657979.2300000004</v>
      </c>
      <c r="L100" s="4">
        <v>3067428.92</v>
      </c>
      <c r="M100" s="4">
        <v>2509000.13</v>
      </c>
      <c r="N100" s="4">
        <v>21163427.060000006</v>
      </c>
      <c r="O100" s="4">
        <v>79387965.670000002</v>
      </c>
      <c r="P100" s="4">
        <v>3043898.75</v>
      </c>
      <c r="Q100" s="4">
        <v>2402470.6400000006</v>
      </c>
      <c r="R100" s="4">
        <v>2454697.35</v>
      </c>
      <c r="S100" s="4">
        <v>4506681.7800000012</v>
      </c>
      <c r="T100" s="4">
        <v>3460012.64</v>
      </c>
      <c r="U100" s="4">
        <v>602996.4700000002</v>
      </c>
      <c r="V100" s="4">
        <v>3431055.7199999997</v>
      </c>
      <c r="W100" s="4">
        <v>8545877.1899999995</v>
      </c>
      <c r="X100" s="4">
        <v>1607223.31</v>
      </c>
      <c r="Y100" s="4">
        <v>4390310.4000000004</v>
      </c>
      <c r="Z100" s="4">
        <v>3346664.7699999996</v>
      </c>
      <c r="AA100" s="4">
        <v>47664385.559999995</v>
      </c>
      <c r="AB100" s="4">
        <v>3285998.99</v>
      </c>
      <c r="AC100" s="4">
        <v>123192825.23999998</v>
      </c>
      <c r="AD100" s="4">
        <v>12884884.449999999</v>
      </c>
      <c r="AE100" s="4">
        <v>14890201.52</v>
      </c>
      <c r="AF100" s="4">
        <v>40699933.310000002</v>
      </c>
      <c r="AG100" s="4">
        <v>8916907.2599999998</v>
      </c>
      <c r="AH100" s="4">
        <v>30157277.609999996</v>
      </c>
      <c r="AI100" s="4">
        <v>1776990.5299999998</v>
      </c>
      <c r="AJ100" s="4">
        <v>4658131.0200000005</v>
      </c>
      <c r="AK100" s="4">
        <v>4130636.7199999997</v>
      </c>
      <c r="AL100" s="4">
        <v>6389033.04</v>
      </c>
      <c r="AM100" s="4">
        <v>9645537.9800000004</v>
      </c>
      <c r="AN100" s="4">
        <v>20934547.460000001</v>
      </c>
      <c r="AO100" s="4">
        <v>5942012.4799999995</v>
      </c>
      <c r="AP100" s="4">
        <v>12911853.229999999</v>
      </c>
      <c r="AQ100" s="4">
        <v>9725133.6099999994</v>
      </c>
      <c r="AR100" s="4">
        <v>1641164.24</v>
      </c>
      <c r="AS100" s="4">
        <v>1287248.8399999999</v>
      </c>
      <c r="AT100" s="4">
        <v>2611049.0599999996</v>
      </c>
      <c r="AU100" s="4">
        <v>5962334.3900000006</v>
      </c>
      <c r="AV100" s="4">
        <v>150994756.56999999</v>
      </c>
      <c r="AW100" s="4">
        <v>6336862.5099999998</v>
      </c>
      <c r="AX100" s="4">
        <v>2676019.4700000002</v>
      </c>
      <c r="AY100" s="4">
        <v>5779661.1499999994</v>
      </c>
      <c r="AZ100" s="4">
        <v>12914449.57</v>
      </c>
      <c r="BA100" s="4">
        <v>5667206.5</v>
      </c>
      <c r="BB100" s="4">
        <v>1985573.44</v>
      </c>
      <c r="BC100" s="4">
        <v>4776298.3600000003</v>
      </c>
      <c r="BD100" s="4">
        <v>57467725.32</v>
      </c>
      <c r="BE100" s="4">
        <v>2094533.5100000002</v>
      </c>
      <c r="BF100" s="4">
        <v>1560603.26</v>
      </c>
      <c r="BG100" s="4">
        <v>0</v>
      </c>
      <c r="BH100" s="4">
        <f t="shared" si="13"/>
        <v>845351029.6400001</v>
      </c>
    </row>
    <row r="101" spans="1:60" x14ac:dyDescent="0.2">
      <c r="A101" s="3">
        <v>43282</v>
      </c>
      <c r="B101" s="4">
        <v>21487499.149999999</v>
      </c>
      <c r="C101" s="4">
        <v>1584086.62</v>
      </c>
      <c r="D101" s="4">
        <v>10677760.109999999</v>
      </c>
      <c r="E101" s="4">
        <v>2934949.9</v>
      </c>
      <c r="F101" s="4">
        <v>3128871.34</v>
      </c>
      <c r="G101" s="4">
        <v>5666758.54</v>
      </c>
      <c r="H101" s="4">
        <v>4856504.8800000008</v>
      </c>
      <c r="I101" s="4">
        <v>1891521.25</v>
      </c>
      <c r="J101" s="4">
        <v>4748778.5299999993</v>
      </c>
      <c r="K101" s="4">
        <v>3209628.67</v>
      </c>
      <c r="L101" s="4">
        <v>2377691.16</v>
      </c>
      <c r="M101" s="4">
        <v>1810447.79</v>
      </c>
      <c r="N101" s="4">
        <v>14925820.530000001</v>
      </c>
      <c r="O101" s="4">
        <v>63705131.879999995</v>
      </c>
      <c r="P101" s="4">
        <v>2967014.94</v>
      </c>
      <c r="Q101" s="4">
        <v>1999531.47</v>
      </c>
      <c r="R101" s="4">
        <v>1754908.3699999999</v>
      </c>
      <c r="S101" s="4">
        <v>3571912.3199999994</v>
      </c>
      <c r="T101" s="4">
        <v>2752287.5700000003</v>
      </c>
      <c r="U101" s="4">
        <v>399528.85000000003</v>
      </c>
      <c r="V101" s="4">
        <v>2736769.41</v>
      </c>
      <c r="W101" s="4">
        <v>6693386.790000001</v>
      </c>
      <c r="X101" s="4">
        <v>935642.12000000011</v>
      </c>
      <c r="Y101" s="4">
        <v>2621736.1799999997</v>
      </c>
      <c r="Z101" s="4">
        <v>2365589.9900000002</v>
      </c>
      <c r="AA101" s="4">
        <v>42068814.450000003</v>
      </c>
      <c r="AB101" s="4">
        <v>2406294.46</v>
      </c>
      <c r="AC101" s="4">
        <v>94505218.219999999</v>
      </c>
      <c r="AD101" s="4">
        <v>10072966.65</v>
      </c>
      <c r="AE101" s="4">
        <v>11416575.449999999</v>
      </c>
      <c r="AF101" s="4">
        <v>29085733.829999998</v>
      </c>
      <c r="AG101" s="4">
        <v>6990077.4000000004</v>
      </c>
      <c r="AH101" s="4">
        <v>23506833.77</v>
      </c>
      <c r="AI101" s="4">
        <v>1348158.79</v>
      </c>
      <c r="AJ101" s="4">
        <v>3812989.9800000004</v>
      </c>
      <c r="AK101" s="4">
        <v>3502750.76</v>
      </c>
      <c r="AL101" s="4">
        <v>4835632.08</v>
      </c>
      <c r="AM101" s="4">
        <v>7101958.7999999998</v>
      </c>
      <c r="AN101" s="4">
        <v>16904142.52</v>
      </c>
      <c r="AO101" s="4">
        <v>4776101.91</v>
      </c>
      <c r="AP101" s="4">
        <v>10790950.620000001</v>
      </c>
      <c r="AQ101" s="4">
        <v>7932545.6600000011</v>
      </c>
      <c r="AR101" s="4">
        <v>1282942.8500000001</v>
      </c>
      <c r="AS101" s="4">
        <v>1101731.19</v>
      </c>
      <c r="AT101" s="4">
        <v>2211274.9400000004</v>
      </c>
      <c r="AU101" s="4">
        <v>5032738.46</v>
      </c>
      <c r="AV101" s="4">
        <v>119743648.94999999</v>
      </c>
      <c r="AW101" s="4">
        <v>3687538.98</v>
      </c>
      <c r="AX101" s="4">
        <v>1720632.1599999997</v>
      </c>
      <c r="AY101" s="4">
        <v>4426868.17</v>
      </c>
      <c r="AZ101" s="4">
        <v>9562679.6999999993</v>
      </c>
      <c r="BA101" s="4">
        <v>5577685.7300000004</v>
      </c>
      <c r="BB101" s="4">
        <v>1692391.83</v>
      </c>
      <c r="BC101" s="4">
        <v>3595636.8599999994</v>
      </c>
      <c r="BD101" s="4">
        <v>41993346.370000005</v>
      </c>
      <c r="BE101" s="4">
        <v>1561212.15</v>
      </c>
      <c r="BF101" s="4">
        <v>957619.1</v>
      </c>
      <c r="BG101" s="4">
        <v>0</v>
      </c>
      <c r="BH101" s="4">
        <f t="shared" si="13"/>
        <v>657009451.14999998</v>
      </c>
    </row>
    <row r="102" spans="1:60" x14ac:dyDescent="0.2">
      <c r="A102" s="3">
        <v>43313</v>
      </c>
      <c r="B102" s="4">
        <v>21376122.149999999</v>
      </c>
      <c r="C102" s="4">
        <v>1564406.1099999999</v>
      </c>
      <c r="D102" s="4">
        <v>10530249.18</v>
      </c>
      <c r="E102" s="4">
        <v>2919745.17</v>
      </c>
      <c r="F102" s="4">
        <v>3050493.7699999996</v>
      </c>
      <c r="G102" s="4">
        <v>5795594.3499999996</v>
      </c>
      <c r="H102" s="4">
        <v>4678134.99</v>
      </c>
      <c r="I102" s="4">
        <v>1798951.4</v>
      </c>
      <c r="J102" s="4">
        <v>4658815.91</v>
      </c>
      <c r="K102" s="4">
        <v>3043059.88</v>
      </c>
      <c r="L102" s="4">
        <v>2284888.23</v>
      </c>
      <c r="M102" s="4">
        <v>1776207.67</v>
      </c>
      <c r="N102" s="4">
        <v>14580985.390000001</v>
      </c>
      <c r="O102" s="4">
        <v>62269617.419999994</v>
      </c>
      <c r="P102" s="4">
        <v>2763599.03</v>
      </c>
      <c r="Q102" s="4">
        <v>1909137.13</v>
      </c>
      <c r="R102" s="4">
        <v>1697820.5999999999</v>
      </c>
      <c r="S102" s="4">
        <v>3483495.21</v>
      </c>
      <c r="T102" s="4">
        <v>2662072.5100000002</v>
      </c>
      <c r="U102" s="4">
        <v>380149.92</v>
      </c>
      <c r="V102" s="4">
        <v>2690930.2300000004</v>
      </c>
      <c r="W102" s="4">
        <v>6554361.71</v>
      </c>
      <c r="X102" s="4">
        <v>934524.25</v>
      </c>
      <c r="Y102" s="4">
        <v>2527442.29</v>
      </c>
      <c r="Z102" s="4">
        <v>2276835.3499999996</v>
      </c>
      <c r="AA102" s="4">
        <v>41133270.829999998</v>
      </c>
      <c r="AB102" s="4">
        <v>2408186.04</v>
      </c>
      <c r="AC102" s="4">
        <v>94438863.840000004</v>
      </c>
      <c r="AD102" s="4">
        <v>9680731.8800000008</v>
      </c>
      <c r="AE102" s="4">
        <v>11221425.75</v>
      </c>
      <c r="AF102" s="4">
        <v>28913935.560000002</v>
      </c>
      <c r="AG102" s="4">
        <v>6848476.7899999991</v>
      </c>
      <c r="AH102" s="4">
        <v>23861720.650000002</v>
      </c>
      <c r="AI102" s="4">
        <v>1330165.8700000001</v>
      </c>
      <c r="AJ102" s="4">
        <v>3859618.81</v>
      </c>
      <c r="AK102" s="4">
        <v>3409021.6100000003</v>
      </c>
      <c r="AL102" s="4">
        <v>4815928.82</v>
      </c>
      <c r="AM102" s="4">
        <v>6149098.6800000006</v>
      </c>
      <c r="AN102" s="4">
        <v>17579148.460000001</v>
      </c>
      <c r="AO102" s="4">
        <v>4569282.330000001</v>
      </c>
      <c r="AP102" s="4">
        <v>10236072.33</v>
      </c>
      <c r="AQ102" s="4">
        <v>7107329.0500000007</v>
      </c>
      <c r="AR102" s="4">
        <v>1277294.67</v>
      </c>
      <c r="AS102" s="4">
        <v>1033100.52</v>
      </c>
      <c r="AT102" s="4">
        <v>2082648.69</v>
      </c>
      <c r="AU102" s="4">
        <v>4594265.7699999996</v>
      </c>
      <c r="AV102" s="4">
        <v>119920907.53</v>
      </c>
      <c r="AW102" s="4">
        <v>3706302.05</v>
      </c>
      <c r="AX102" s="4">
        <v>1967977.54</v>
      </c>
      <c r="AY102" s="4">
        <v>4219031.0399999991</v>
      </c>
      <c r="AZ102" s="4">
        <v>9520528.4900000002</v>
      </c>
      <c r="BA102" s="4">
        <v>5384056.1799999997</v>
      </c>
      <c r="BB102" s="4">
        <v>1656143.6400000001</v>
      </c>
      <c r="BC102" s="4">
        <v>3475374.58</v>
      </c>
      <c r="BD102" s="4">
        <v>42197188.519999996</v>
      </c>
      <c r="BE102" s="4">
        <v>1424671.1300000001</v>
      </c>
      <c r="BF102" s="4">
        <v>914475.58</v>
      </c>
      <c r="BG102" s="4">
        <v>0</v>
      </c>
      <c r="BH102" s="4">
        <f t="shared" si="13"/>
        <v>649143883.0799998</v>
      </c>
    </row>
    <row r="103" spans="1:60" x14ac:dyDescent="0.2">
      <c r="A103" s="3">
        <v>43344</v>
      </c>
      <c r="B103" s="4">
        <v>26274656.93</v>
      </c>
      <c r="C103" s="4">
        <v>2366494.09</v>
      </c>
      <c r="D103" s="4">
        <v>15388753.119999999</v>
      </c>
      <c r="E103" s="4">
        <v>4270299.6800000006</v>
      </c>
      <c r="F103" s="4">
        <v>3817026.8899999997</v>
      </c>
      <c r="G103" s="4">
        <v>7563564.4399999995</v>
      </c>
      <c r="H103" s="4">
        <v>5949111.8799999999</v>
      </c>
      <c r="I103" s="4">
        <v>2512921.1099999994</v>
      </c>
      <c r="J103" s="4">
        <v>6018388.2100000009</v>
      </c>
      <c r="K103" s="4">
        <v>5364349.13</v>
      </c>
      <c r="L103" s="4">
        <v>3046613.39</v>
      </c>
      <c r="M103" s="4">
        <v>2816048.2600000002</v>
      </c>
      <c r="N103" s="4">
        <v>20913407.620000001</v>
      </c>
      <c r="O103" s="4">
        <v>81337472.950000003</v>
      </c>
      <c r="P103" s="4">
        <v>4233516.91</v>
      </c>
      <c r="Q103" s="4">
        <v>2749275.3000000003</v>
      </c>
      <c r="R103" s="4">
        <v>2287068.7399999998</v>
      </c>
      <c r="S103" s="4">
        <v>4711269.9300000006</v>
      </c>
      <c r="T103" s="4">
        <v>3577702.92</v>
      </c>
      <c r="U103" s="4">
        <v>673764.79</v>
      </c>
      <c r="V103" s="4">
        <v>3577504.6799999997</v>
      </c>
      <c r="W103" s="4">
        <v>9276950.4400000013</v>
      </c>
      <c r="X103" s="4">
        <v>1439926.8400000003</v>
      </c>
      <c r="Y103" s="4">
        <v>4243703.74</v>
      </c>
      <c r="Z103" s="4">
        <v>3264240.69</v>
      </c>
      <c r="AA103" s="4">
        <v>51195576.870000005</v>
      </c>
      <c r="AB103" s="4">
        <v>3322683.46</v>
      </c>
      <c r="AC103" s="4">
        <v>117575502.88</v>
      </c>
      <c r="AD103" s="4">
        <v>13634763.35</v>
      </c>
      <c r="AE103" s="4">
        <v>15280773.330000002</v>
      </c>
      <c r="AF103" s="4">
        <v>37117455.920000002</v>
      </c>
      <c r="AG103" s="4">
        <v>9107719.1099999994</v>
      </c>
      <c r="AH103" s="4">
        <v>30319003.340000004</v>
      </c>
      <c r="AI103" s="4">
        <v>1651851.24</v>
      </c>
      <c r="AJ103" s="4">
        <v>5462604.7700000005</v>
      </c>
      <c r="AK103" s="4">
        <v>4845535.2799999993</v>
      </c>
      <c r="AL103" s="4">
        <v>7067806.3100000005</v>
      </c>
      <c r="AM103" s="4">
        <v>9455237.6300000008</v>
      </c>
      <c r="AN103" s="4">
        <v>21805634.23</v>
      </c>
      <c r="AO103" s="4">
        <v>5982066.7399999984</v>
      </c>
      <c r="AP103" s="4">
        <v>13024804.610000001</v>
      </c>
      <c r="AQ103" s="4">
        <v>10014541.529999999</v>
      </c>
      <c r="AR103" s="4">
        <v>1991254</v>
      </c>
      <c r="AS103" s="4">
        <v>1601305.0000000002</v>
      </c>
      <c r="AT103" s="4">
        <v>2825106.98</v>
      </c>
      <c r="AU103" s="4">
        <v>6695555.0899999999</v>
      </c>
      <c r="AV103" s="4">
        <v>157656171.83999997</v>
      </c>
      <c r="AW103" s="4">
        <v>6406645.3600000013</v>
      </c>
      <c r="AX103" s="4">
        <v>2854617.28</v>
      </c>
      <c r="AY103" s="4">
        <v>5874134.7400000002</v>
      </c>
      <c r="AZ103" s="4">
        <v>13474469.950000001</v>
      </c>
      <c r="BA103" s="4">
        <v>6552540.1000000006</v>
      </c>
      <c r="BB103" s="4">
        <v>2046518.19</v>
      </c>
      <c r="BC103" s="4">
        <v>5286627.2</v>
      </c>
      <c r="BD103" s="4">
        <v>53810093.769999996</v>
      </c>
      <c r="BE103" s="4">
        <v>2169501.5</v>
      </c>
      <c r="BF103" s="4">
        <v>1867217.85</v>
      </c>
      <c r="BG103" s="4">
        <v>0</v>
      </c>
      <c r="BH103" s="4">
        <f t="shared" si="13"/>
        <v>855649352.13000023</v>
      </c>
    </row>
    <row r="104" spans="1:60" x14ac:dyDescent="0.2">
      <c r="A104" s="3">
        <v>43374</v>
      </c>
      <c r="B104" s="4">
        <v>20960934.230000004</v>
      </c>
      <c r="C104" s="4">
        <v>1566162.39</v>
      </c>
      <c r="D104" s="4">
        <v>10372280.609999999</v>
      </c>
      <c r="E104" s="4">
        <v>2774789.31</v>
      </c>
      <c r="F104" s="4">
        <v>2851232.12</v>
      </c>
      <c r="G104" s="4">
        <v>4590701.9000000004</v>
      </c>
      <c r="H104" s="4">
        <v>4610376.16</v>
      </c>
      <c r="I104" s="4">
        <v>1788236.3400000003</v>
      </c>
      <c r="J104" s="4">
        <v>4419363.72</v>
      </c>
      <c r="K104" s="4">
        <v>3118547.5300000003</v>
      </c>
      <c r="L104" s="4">
        <v>2248557.54</v>
      </c>
      <c r="M104" s="4">
        <v>1706677.1099999999</v>
      </c>
      <c r="N104" s="4">
        <v>14973341.469999999</v>
      </c>
      <c r="O104" s="4">
        <v>61639430.210000001</v>
      </c>
      <c r="P104" s="4">
        <v>2378699.7000000002</v>
      </c>
      <c r="Q104" s="4">
        <v>1780906.52</v>
      </c>
      <c r="R104" s="4">
        <v>1633212.6700000002</v>
      </c>
      <c r="S104" s="4">
        <v>3075338.0100000002</v>
      </c>
      <c r="T104" s="4">
        <v>2369786.7000000002</v>
      </c>
      <c r="U104" s="4">
        <v>254244.40000000002</v>
      </c>
      <c r="V104" s="4">
        <v>2298040.5</v>
      </c>
      <c r="W104" s="4">
        <v>5933207.9500000011</v>
      </c>
      <c r="X104" s="4">
        <v>821120.7300000001</v>
      </c>
      <c r="Y104" s="4">
        <v>2443024.09</v>
      </c>
      <c r="Z104" s="4">
        <v>2168687.81</v>
      </c>
      <c r="AA104" s="4">
        <v>39396344.710000001</v>
      </c>
      <c r="AB104" s="4">
        <v>2422834.63</v>
      </c>
      <c r="AC104" s="4">
        <v>90884702.579999998</v>
      </c>
      <c r="AD104" s="4">
        <v>9658321.3399999999</v>
      </c>
      <c r="AE104" s="4">
        <v>10700778.960000001</v>
      </c>
      <c r="AF104" s="4">
        <v>28818171.810000002</v>
      </c>
      <c r="AG104" s="4">
        <v>6737277.4399999995</v>
      </c>
      <c r="AH104" s="4">
        <v>23064862.59</v>
      </c>
      <c r="AI104" s="4">
        <v>1185959</v>
      </c>
      <c r="AJ104" s="4">
        <v>3721637.96</v>
      </c>
      <c r="AK104" s="4">
        <v>2822268.6899999995</v>
      </c>
      <c r="AL104" s="4">
        <v>4840611.3499999996</v>
      </c>
      <c r="AM104" s="4">
        <v>6897283.4499999993</v>
      </c>
      <c r="AN104" s="4">
        <v>16658345.009999998</v>
      </c>
      <c r="AO104" s="4">
        <v>4555179.2300000004</v>
      </c>
      <c r="AP104" s="4">
        <v>9955362.0800000001</v>
      </c>
      <c r="AQ104" s="4">
        <v>7256697.9900000002</v>
      </c>
      <c r="AR104" s="4">
        <v>1196856.31</v>
      </c>
      <c r="AS104" s="4">
        <v>818652.79</v>
      </c>
      <c r="AT104" s="4">
        <v>2123305.33</v>
      </c>
      <c r="AU104" s="4">
        <v>4496226.1399999997</v>
      </c>
      <c r="AV104" s="4">
        <v>106585821.52</v>
      </c>
      <c r="AW104" s="4">
        <v>3065290.7800000003</v>
      </c>
      <c r="AX104" s="4">
        <v>1692192.6099999999</v>
      </c>
      <c r="AY104" s="4">
        <v>4158187.37</v>
      </c>
      <c r="AZ104" s="4">
        <v>8312535.8600000003</v>
      </c>
      <c r="BA104" s="4">
        <v>4278987.97</v>
      </c>
      <c r="BB104" s="4">
        <v>1606814.84</v>
      </c>
      <c r="BC104" s="4">
        <v>3291152.78</v>
      </c>
      <c r="BD104" s="4">
        <v>41374329.780000001</v>
      </c>
      <c r="BE104" s="4">
        <v>1402117.3200000003</v>
      </c>
      <c r="BF104" s="4">
        <v>861064.67999999993</v>
      </c>
      <c r="BG104" s="4">
        <v>0</v>
      </c>
      <c r="BH104" s="4">
        <f t="shared" si="13"/>
        <v>617617074.61999989</v>
      </c>
    </row>
    <row r="105" spans="1:60" x14ac:dyDescent="0.2">
      <c r="A105" s="3">
        <v>43405</v>
      </c>
      <c r="B105" s="4">
        <v>21046999.459999997</v>
      </c>
      <c r="C105" s="4">
        <v>1553654.13</v>
      </c>
      <c r="D105" s="4">
        <v>10605416.91</v>
      </c>
      <c r="E105" s="4">
        <v>2920547.27</v>
      </c>
      <c r="F105" s="4">
        <v>2909159.95</v>
      </c>
      <c r="G105" s="4">
        <v>5284496.1100000003</v>
      </c>
      <c r="H105" s="4">
        <v>4822834.76</v>
      </c>
      <c r="I105" s="4">
        <v>1793355.2799999998</v>
      </c>
      <c r="J105" s="4">
        <v>4362198.33</v>
      </c>
      <c r="K105" s="4">
        <v>3101972.4000000004</v>
      </c>
      <c r="L105" s="4">
        <v>2313229.2599999998</v>
      </c>
      <c r="M105" s="4">
        <v>1703111.7199999997</v>
      </c>
      <c r="N105" s="4">
        <v>14618076.92</v>
      </c>
      <c r="O105" s="4">
        <v>63157551.230000004</v>
      </c>
      <c r="P105" s="4">
        <v>2328791.1399999997</v>
      </c>
      <c r="Q105" s="4">
        <v>1826248.4</v>
      </c>
      <c r="R105" s="4">
        <v>1616243.8599999999</v>
      </c>
      <c r="S105" s="4">
        <v>3211772.8199999994</v>
      </c>
      <c r="T105" s="4">
        <v>2507038.91</v>
      </c>
      <c r="U105" s="4">
        <v>273190.05</v>
      </c>
      <c r="V105" s="4">
        <v>2370863.4900000002</v>
      </c>
      <c r="W105" s="4">
        <v>6109494.379999999</v>
      </c>
      <c r="X105" s="4">
        <v>928522.90999999992</v>
      </c>
      <c r="Y105" s="4">
        <v>2563768.77</v>
      </c>
      <c r="Z105" s="4">
        <v>2180567.5</v>
      </c>
      <c r="AA105" s="4">
        <v>40197170.890000001</v>
      </c>
      <c r="AB105" s="4">
        <v>2443773.2599999998</v>
      </c>
      <c r="AC105" s="4">
        <v>92466257.100000009</v>
      </c>
      <c r="AD105" s="4">
        <v>9582062.3300000001</v>
      </c>
      <c r="AE105" s="4">
        <v>10809184.529999999</v>
      </c>
      <c r="AF105" s="4">
        <v>28784258.259999998</v>
      </c>
      <c r="AG105" s="4">
        <v>6795473.6500000004</v>
      </c>
      <c r="AH105" s="4">
        <v>23554367.709999997</v>
      </c>
      <c r="AI105" s="4">
        <v>1238833.1200000001</v>
      </c>
      <c r="AJ105" s="4">
        <v>3649395.54</v>
      </c>
      <c r="AK105" s="4">
        <v>2898737.09</v>
      </c>
      <c r="AL105" s="4">
        <v>4715091.46</v>
      </c>
      <c r="AM105" s="4">
        <v>6841021.5300000012</v>
      </c>
      <c r="AN105" s="4">
        <v>16363725.060000001</v>
      </c>
      <c r="AO105" s="4">
        <v>4574063.71</v>
      </c>
      <c r="AP105" s="4">
        <v>10070776.099999998</v>
      </c>
      <c r="AQ105" s="4">
        <v>7515564.5</v>
      </c>
      <c r="AR105" s="4">
        <v>1255597.69</v>
      </c>
      <c r="AS105" s="4">
        <v>828084.35999999987</v>
      </c>
      <c r="AT105" s="4">
        <v>2156417.6500000004</v>
      </c>
      <c r="AU105" s="4">
        <v>4080264.61</v>
      </c>
      <c r="AV105" s="4">
        <v>106975835.94000001</v>
      </c>
      <c r="AW105" s="4">
        <v>3095102.0700000003</v>
      </c>
      <c r="AX105" s="4">
        <v>1805269.19</v>
      </c>
      <c r="AY105" s="4">
        <v>4364218.58</v>
      </c>
      <c r="AZ105" s="4">
        <v>9141950.1500000004</v>
      </c>
      <c r="BA105" s="4">
        <v>4194640.0200000005</v>
      </c>
      <c r="BB105" s="4">
        <v>1565610.54</v>
      </c>
      <c r="BC105" s="4">
        <v>3309057.77</v>
      </c>
      <c r="BD105" s="4">
        <v>42070143.029999994</v>
      </c>
      <c r="BE105" s="4">
        <v>1387387.21</v>
      </c>
      <c r="BF105" s="4">
        <v>840330.37999999989</v>
      </c>
      <c r="BG105" s="4">
        <v>0</v>
      </c>
      <c r="BH105" s="4">
        <f t="shared" si="13"/>
        <v>625678770.99000001</v>
      </c>
    </row>
    <row r="106" spans="1:60" x14ac:dyDescent="0.2">
      <c r="A106" s="3">
        <v>43435</v>
      </c>
      <c r="B106" s="4">
        <v>28222539.25</v>
      </c>
      <c r="C106" s="4">
        <v>2261865.5999999996</v>
      </c>
      <c r="D106" s="4">
        <v>13945267.219999999</v>
      </c>
      <c r="E106" s="4">
        <v>3987842.370000001</v>
      </c>
      <c r="F106" s="4">
        <v>3530882.0599999996</v>
      </c>
      <c r="G106" s="4">
        <v>6595893.9800000004</v>
      </c>
      <c r="H106" s="4">
        <v>6193712.7000000002</v>
      </c>
      <c r="I106" s="4">
        <v>2339248.5300000003</v>
      </c>
      <c r="J106" s="4">
        <v>5626296.71</v>
      </c>
      <c r="K106" s="4">
        <v>5086795.28</v>
      </c>
      <c r="L106" s="4">
        <v>2989652.14</v>
      </c>
      <c r="M106" s="4">
        <v>2383226.5300000003</v>
      </c>
      <c r="N106" s="4">
        <v>23246788.18</v>
      </c>
      <c r="O106" s="4">
        <v>79995597.769999996</v>
      </c>
      <c r="P106" s="4">
        <v>3419406.95</v>
      </c>
      <c r="Q106" s="4">
        <v>2488899.13</v>
      </c>
      <c r="R106" s="4">
        <v>2277100.1800000002</v>
      </c>
      <c r="S106" s="4">
        <v>4383269.54</v>
      </c>
      <c r="T106" s="4">
        <v>3507663.4000000004</v>
      </c>
      <c r="U106" s="4">
        <v>390155.02999999997</v>
      </c>
      <c r="V106" s="4">
        <v>3543385.5299999993</v>
      </c>
      <c r="W106" s="4">
        <v>7160465.4899999984</v>
      </c>
      <c r="X106" s="4">
        <v>1281806.0799999998</v>
      </c>
      <c r="Y106" s="4">
        <v>3762032.7199999997</v>
      </c>
      <c r="Z106" s="4">
        <v>2903810.76</v>
      </c>
      <c r="AA106" s="4">
        <v>49360545.810000002</v>
      </c>
      <c r="AB106" s="4">
        <v>2910703.55</v>
      </c>
      <c r="AC106" s="4">
        <v>123301344.99000001</v>
      </c>
      <c r="AD106" s="4">
        <v>13710800.859999999</v>
      </c>
      <c r="AE106" s="4">
        <v>15022344.460000001</v>
      </c>
      <c r="AF106" s="4">
        <v>34132689.330000006</v>
      </c>
      <c r="AG106" s="4">
        <v>8550774.2899999991</v>
      </c>
      <c r="AH106" s="4">
        <v>24303351.43</v>
      </c>
      <c r="AI106" s="4">
        <v>1786026.9900000002</v>
      </c>
      <c r="AJ106" s="4">
        <v>4390406.76</v>
      </c>
      <c r="AK106" s="4">
        <v>3812474.66</v>
      </c>
      <c r="AL106" s="4">
        <v>7037269.379999999</v>
      </c>
      <c r="AM106" s="4">
        <v>8636629.3200000003</v>
      </c>
      <c r="AN106" s="4">
        <v>23721253.509999998</v>
      </c>
      <c r="AO106" s="4">
        <v>5874176.0699999994</v>
      </c>
      <c r="AP106" s="4">
        <v>11569882.41</v>
      </c>
      <c r="AQ106" s="4">
        <v>12259055.379999999</v>
      </c>
      <c r="AR106" s="4">
        <v>1676802.4599999997</v>
      </c>
      <c r="AS106" s="4">
        <v>1150202.3700000001</v>
      </c>
      <c r="AT106" s="4">
        <v>2767558.95</v>
      </c>
      <c r="AU106" s="4">
        <v>5916436.8399999999</v>
      </c>
      <c r="AV106" s="4">
        <v>148469012.84000003</v>
      </c>
      <c r="AW106" s="4">
        <v>5007341.2799999993</v>
      </c>
      <c r="AX106" s="4">
        <v>2893367.98</v>
      </c>
      <c r="AY106" s="4">
        <v>5220095.5300000012</v>
      </c>
      <c r="AZ106" s="4">
        <v>13200822.739999998</v>
      </c>
      <c r="BA106" s="4">
        <v>4861532.0200000005</v>
      </c>
      <c r="BB106" s="4">
        <v>1963366.22</v>
      </c>
      <c r="BC106" s="4">
        <v>4728203.1099999994</v>
      </c>
      <c r="BD106" s="4">
        <v>58548871.510000005</v>
      </c>
      <c r="BE106" s="4">
        <v>1819994.85</v>
      </c>
      <c r="BF106" s="4">
        <v>1609974.5499999998</v>
      </c>
      <c r="BG106" s="4">
        <v>0</v>
      </c>
      <c r="BH106" s="4">
        <f t="shared" si="13"/>
        <v>831736915.58000016</v>
      </c>
    </row>
    <row r="107" spans="1:60" ht="15.75" thickBot="1" x14ac:dyDescent="0.25">
      <c r="A107" s="1" t="s">
        <v>173</v>
      </c>
      <c r="B107" s="5">
        <f>SUM(B95:B106)</f>
        <v>275109796.45000005</v>
      </c>
      <c r="C107" s="5">
        <f t="shared" ref="C107:BH107" si="14">SUM(C95:C106)</f>
        <v>21442830.479999997</v>
      </c>
      <c r="D107" s="5">
        <f t="shared" si="14"/>
        <v>135218298.12</v>
      </c>
      <c r="E107" s="5">
        <f t="shared" si="14"/>
        <v>38652830.140000001</v>
      </c>
      <c r="F107" s="5">
        <f t="shared" si="14"/>
        <v>36874236.210000001</v>
      </c>
      <c r="G107" s="5">
        <f t="shared" si="14"/>
        <v>67543461.090000004</v>
      </c>
      <c r="H107" s="5">
        <f t="shared" si="14"/>
        <v>61064125.650000013</v>
      </c>
      <c r="I107" s="5">
        <f t="shared" si="14"/>
        <v>24201701.560000002</v>
      </c>
      <c r="J107" s="5">
        <f t="shared" si="14"/>
        <v>56909095.219999999</v>
      </c>
      <c r="K107" s="5">
        <f t="shared" si="14"/>
        <v>43098930.089999996</v>
      </c>
      <c r="L107" s="5">
        <f t="shared" si="14"/>
        <v>29814165.590000004</v>
      </c>
      <c r="M107" s="5">
        <f t="shared" si="14"/>
        <v>22729715.43</v>
      </c>
      <c r="N107" s="5">
        <f t="shared" si="14"/>
        <v>197426482.86999997</v>
      </c>
      <c r="O107" s="5">
        <f t="shared" si="14"/>
        <v>797191557.73000002</v>
      </c>
      <c r="P107" s="5">
        <f t="shared" si="14"/>
        <v>31811712.300000001</v>
      </c>
      <c r="Q107" s="5">
        <f t="shared" si="14"/>
        <v>23792142.039999999</v>
      </c>
      <c r="R107" s="5">
        <f t="shared" si="14"/>
        <v>22626580.039999999</v>
      </c>
      <c r="S107" s="5">
        <f t="shared" si="14"/>
        <v>42163429.730000004</v>
      </c>
      <c r="T107" s="5">
        <f t="shared" si="14"/>
        <v>32729481.829999998</v>
      </c>
      <c r="U107" s="5">
        <f t="shared" si="14"/>
        <v>4181388.3299999996</v>
      </c>
      <c r="V107" s="5">
        <f t="shared" si="14"/>
        <v>32497454.780000001</v>
      </c>
      <c r="W107" s="5">
        <f t="shared" si="14"/>
        <v>78658684.25999999</v>
      </c>
      <c r="X107" s="5">
        <f t="shared" si="14"/>
        <v>12489548.250000002</v>
      </c>
      <c r="Y107" s="5">
        <f t="shared" si="14"/>
        <v>34788736.32</v>
      </c>
      <c r="Z107" s="5">
        <f t="shared" si="14"/>
        <v>29123687.829999998</v>
      </c>
      <c r="AA107" s="5">
        <f t="shared" si="14"/>
        <v>503950686.48999995</v>
      </c>
      <c r="AB107" s="5">
        <f t="shared" si="14"/>
        <v>30811840.48</v>
      </c>
      <c r="AC107" s="5">
        <f t="shared" si="14"/>
        <v>1201082161.1300001</v>
      </c>
      <c r="AD107" s="5">
        <f t="shared" si="14"/>
        <v>125873735.82000001</v>
      </c>
      <c r="AE107" s="5">
        <f t="shared" si="14"/>
        <v>143972635.23000002</v>
      </c>
      <c r="AF107" s="5">
        <f t="shared" si="14"/>
        <v>363657366.06999999</v>
      </c>
      <c r="AG107" s="5">
        <f t="shared" si="14"/>
        <v>85781565.379999995</v>
      </c>
      <c r="AH107" s="5">
        <f t="shared" si="14"/>
        <v>289627122.94</v>
      </c>
      <c r="AI107" s="5">
        <f t="shared" si="14"/>
        <v>16748805.869999999</v>
      </c>
      <c r="AJ107" s="5">
        <f t="shared" si="14"/>
        <v>47471985.149999999</v>
      </c>
      <c r="AK107" s="5">
        <f t="shared" si="14"/>
        <v>39001024.249999985</v>
      </c>
      <c r="AL107" s="5">
        <f t="shared" si="14"/>
        <v>63145091.829999998</v>
      </c>
      <c r="AM107" s="5">
        <f t="shared" si="14"/>
        <v>88428880.890000015</v>
      </c>
      <c r="AN107" s="5">
        <f t="shared" si="14"/>
        <v>218516610.05999997</v>
      </c>
      <c r="AO107" s="5">
        <f t="shared" si="14"/>
        <v>59035722.060000002</v>
      </c>
      <c r="AP107" s="5">
        <f t="shared" si="14"/>
        <v>125341932.53999998</v>
      </c>
      <c r="AQ107" s="5">
        <f t="shared" si="14"/>
        <v>101627809.88</v>
      </c>
      <c r="AR107" s="5">
        <f t="shared" si="14"/>
        <v>16063201.019999998</v>
      </c>
      <c r="AS107" s="5">
        <f t="shared" si="14"/>
        <v>11445897.849999998</v>
      </c>
      <c r="AT107" s="5">
        <f t="shared" si="14"/>
        <v>25984725.259999994</v>
      </c>
      <c r="AU107" s="5">
        <f t="shared" si="14"/>
        <v>58611391.080000013</v>
      </c>
      <c r="AV107" s="5">
        <f t="shared" si="14"/>
        <v>1457518262.29</v>
      </c>
      <c r="AW107" s="5">
        <f t="shared" si="14"/>
        <v>46428015.32</v>
      </c>
      <c r="AX107" s="5">
        <f t="shared" si="14"/>
        <v>24240238.240000002</v>
      </c>
      <c r="AY107" s="5">
        <f t="shared" si="14"/>
        <v>54150488.030000001</v>
      </c>
      <c r="AZ107" s="5">
        <f t="shared" si="14"/>
        <v>120049605.48</v>
      </c>
      <c r="BA107" s="5">
        <f t="shared" si="14"/>
        <v>55015895.220000006</v>
      </c>
      <c r="BB107" s="5">
        <f t="shared" si="14"/>
        <v>20291922.359999999</v>
      </c>
      <c r="BC107" s="5">
        <f t="shared" si="14"/>
        <v>45884369.680000007</v>
      </c>
      <c r="BD107" s="5">
        <f t="shared" si="14"/>
        <v>550562481.79999995</v>
      </c>
      <c r="BE107" s="5">
        <f t="shared" si="14"/>
        <v>18592593.430000003</v>
      </c>
      <c r="BF107" s="5">
        <f t="shared" si="14"/>
        <v>12731995.66</v>
      </c>
      <c r="BG107" s="5">
        <f t="shared" si="14"/>
        <v>0</v>
      </c>
      <c r="BH107" s="5">
        <f t="shared" si="14"/>
        <v>8173786131.1299992</v>
      </c>
    </row>
    <row r="108" spans="1:60" ht="15.75" thickTop="1" x14ac:dyDescent="0.2"/>
    <row r="109" spans="1:60" x14ac:dyDescent="0.2">
      <c r="A109" s="3">
        <v>42736</v>
      </c>
      <c r="B109" s="4">
        <v>21688383.859999999</v>
      </c>
      <c r="C109" s="4">
        <v>1487375.19</v>
      </c>
      <c r="D109" s="4">
        <v>10708328.15</v>
      </c>
      <c r="E109" s="4">
        <v>2862475.42</v>
      </c>
      <c r="F109" s="4">
        <v>2939305.07</v>
      </c>
      <c r="G109" s="4">
        <v>4719364.16</v>
      </c>
      <c r="H109" s="4">
        <v>5094637.54</v>
      </c>
      <c r="I109" s="4">
        <v>1977831.17</v>
      </c>
      <c r="J109" s="4">
        <v>4526224.6399999997</v>
      </c>
      <c r="K109" s="4">
        <v>2896665.16</v>
      </c>
      <c r="L109" s="4">
        <v>2532193.88</v>
      </c>
      <c r="M109" s="4">
        <v>1429917.95</v>
      </c>
      <c r="N109" s="4">
        <v>14546633.42</v>
      </c>
      <c r="O109" s="4">
        <v>61156130.159999996</v>
      </c>
      <c r="P109" s="4">
        <v>1970651.69</v>
      </c>
      <c r="Q109" s="4">
        <v>1581819.27</v>
      </c>
      <c r="R109" s="4">
        <v>1432265.1</v>
      </c>
      <c r="S109" s="4">
        <v>2748512.61</v>
      </c>
      <c r="T109" s="4">
        <v>2471542.04</v>
      </c>
      <c r="U109" s="4">
        <v>177919.9</v>
      </c>
      <c r="V109" s="4">
        <v>2407732.4300000002</v>
      </c>
      <c r="W109" s="4">
        <v>5680718.0899999999</v>
      </c>
      <c r="X109" s="4">
        <v>789894.69</v>
      </c>
      <c r="Y109" s="4">
        <v>2246603.2599999998</v>
      </c>
      <c r="Z109" s="4">
        <v>1984504.26</v>
      </c>
      <c r="AA109" s="4">
        <v>38892861.259999998</v>
      </c>
      <c r="AB109" s="4">
        <v>2381978.54</v>
      </c>
      <c r="AC109" s="4">
        <v>93103561.340000004</v>
      </c>
      <c r="AD109" s="4">
        <v>9095257.0800000001</v>
      </c>
      <c r="AE109" s="4">
        <v>10996880.609999999</v>
      </c>
      <c r="AF109" s="4">
        <v>28034527.52</v>
      </c>
      <c r="AG109" s="4">
        <v>6790503.5800000001</v>
      </c>
      <c r="AH109" s="4">
        <v>21830491.260000002</v>
      </c>
      <c r="AI109" s="4">
        <v>1209584.46</v>
      </c>
      <c r="AJ109" s="4">
        <v>3195686.29</v>
      </c>
      <c r="AK109" s="4">
        <v>2641367.7599999998</v>
      </c>
      <c r="AL109" s="4">
        <v>4472651.18</v>
      </c>
      <c r="AM109" s="4">
        <v>6402344.0099999998</v>
      </c>
      <c r="AN109" s="4">
        <v>17477448.739999998</v>
      </c>
      <c r="AO109" s="4">
        <v>4532628.91</v>
      </c>
      <c r="AP109" s="4">
        <v>9842391.2300000004</v>
      </c>
      <c r="AQ109" s="4">
        <v>8252379.4000000004</v>
      </c>
      <c r="AR109" s="4">
        <v>1054892.08</v>
      </c>
      <c r="AS109" s="4">
        <v>650485.53</v>
      </c>
      <c r="AT109" s="4">
        <v>1965091.47</v>
      </c>
      <c r="AU109" s="4">
        <v>4351984.1100000003</v>
      </c>
      <c r="AV109" s="4">
        <v>103774961.25</v>
      </c>
      <c r="AW109" s="4">
        <v>2559568.35</v>
      </c>
      <c r="AX109" s="4">
        <v>1682923.73</v>
      </c>
      <c r="AY109" s="4">
        <v>3906914.19</v>
      </c>
      <c r="AZ109" s="4">
        <v>8987642.1300000008</v>
      </c>
      <c r="BA109" s="4">
        <v>3841866.91</v>
      </c>
      <c r="BB109" s="4">
        <v>1474342.81</v>
      </c>
      <c r="BC109" s="4">
        <v>3377130.52</v>
      </c>
      <c r="BD109" s="4">
        <v>44320501.420000002</v>
      </c>
      <c r="BE109" s="4">
        <v>1216463.18</v>
      </c>
      <c r="BF109" s="4">
        <v>680714.08</v>
      </c>
      <c r="BG109" s="4">
        <v>0</v>
      </c>
      <c r="BH109" s="4">
        <f>SUM(B109:BG109)</f>
        <v>615055654.03999996</v>
      </c>
    </row>
    <row r="110" spans="1:60" x14ac:dyDescent="0.2">
      <c r="A110" s="3">
        <v>42767</v>
      </c>
      <c r="B110" s="4">
        <v>17611581.300000001</v>
      </c>
      <c r="C110" s="4">
        <v>1228535</v>
      </c>
      <c r="D110" s="4">
        <v>8490746.4299999997</v>
      </c>
      <c r="E110" s="4">
        <v>2421144.13</v>
      </c>
      <c r="F110" s="4">
        <v>2224406.64</v>
      </c>
      <c r="G110" s="4">
        <v>3850173.28</v>
      </c>
      <c r="H110" s="4">
        <v>3981192.64</v>
      </c>
      <c r="I110" s="4">
        <v>1392784.78</v>
      </c>
      <c r="J110" s="4">
        <v>3449919.76</v>
      </c>
      <c r="K110" s="4">
        <v>2286777.92</v>
      </c>
      <c r="L110" s="4">
        <v>1930824.88</v>
      </c>
      <c r="M110" s="4">
        <v>1221372.6499999999</v>
      </c>
      <c r="N110" s="4">
        <v>11917122.800000001</v>
      </c>
      <c r="O110" s="4">
        <v>50539873.469999999</v>
      </c>
      <c r="P110" s="4">
        <v>1693447.25</v>
      </c>
      <c r="Q110" s="4">
        <v>1331317.8600000001</v>
      </c>
      <c r="R110" s="4">
        <v>1227865.71</v>
      </c>
      <c r="S110" s="4">
        <v>2397318.15</v>
      </c>
      <c r="T110" s="4">
        <v>1953627.9</v>
      </c>
      <c r="U110" s="4">
        <v>150305.14000000001</v>
      </c>
      <c r="V110" s="4">
        <v>1836090.35</v>
      </c>
      <c r="W110" s="4">
        <v>4531927.22</v>
      </c>
      <c r="X110" s="4">
        <v>663513.38</v>
      </c>
      <c r="Y110" s="4">
        <v>1945063.59</v>
      </c>
      <c r="Z110" s="4">
        <v>1525055.09</v>
      </c>
      <c r="AA110" s="4">
        <v>32517829.030000001</v>
      </c>
      <c r="AB110" s="4">
        <v>1870601.16</v>
      </c>
      <c r="AC110" s="4">
        <v>77700228.400000006</v>
      </c>
      <c r="AD110" s="4">
        <v>7709036.4199999999</v>
      </c>
      <c r="AE110" s="4">
        <v>8643617.0700000003</v>
      </c>
      <c r="AF110" s="4">
        <v>22407702.84</v>
      </c>
      <c r="AG110" s="4">
        <v>5507161.0899999999</v>
      </c>
      <c r="AH110" s="4">
        <v>17636521.52</v>
      </c>
      <c r="AI110" s="4">
        <v>1008844.52</v>
      </c>
      <c r="AJ110" s="4">
        <v>2647958.98</v>
      </c>
      <c r="AK110" s="4">
        <v>2102577.9700000002</v>
      </c>
      <c r="AL110" s="4">
        <v>3797973.89</v>
      </c>
      <c r="AM110" s="4">
        <v>5921643.3099999996</v>
      </c>
      <c r="AN110" s="4">
        <v>13857515.130000001</v>
      </c>
      <c r="AO110" s="4">
        <v>3618224.53</v>
      </c>
      <c r="AP110" s="4">
        <v>7995668.5599999996</v>
      </c>
      <c r="AQ110" s="4">
        <v>6606797.6299999999</v>
      </c>
      <c r="AR110" s="4">
        <v>934017.29</v>
      </c>
      <c r="AS110" s="4">
        <v>542295.18999999994</v>
      </c>
      <c r="AT110" s="4">
        <v>1495854</v>
      </c>
      <c r="AU110" s="4">
        <v>3360629.93</v>
      </c>
      <c r="AV110" s="4">
        <v>85022303.400000006</v>
      </c>
      <c r="AW110" s="4">
        <v>2226530.89</v>
      </c>
      <c r="AX110" s="4">
        <v>1316276.9099999999</v>
      </c>
      <c r="AY110" s="4">
        <v>3175938.47</v>
      </c>
      <c r="AZ110" s="4">
        <v>7204765.5499999998</v>
      </c>
      <c r="BA110" s="4">
        <v>3013004.29</v>
      </c>
      <c r="BB110" s="4">
        <v>1272771.1200000001</v>
      </c>
      <c r="BC110" s="4">
        <v>2680243.31</v>
      </c>
      <c r="BD110" s="4">
        <v>35313732.969999999</v>
      </c>
      <c r="BE110" s="4">
        <v>1129672.45</v>
      </c>
      <c r="BF110" s="4">
        <v>588976.31999999995</v>
      </c>
      <c r="BG110" s="4">
        <v>0</v>
      </c>
      <c r="BH110" s="4">
        <f t="shared" ref="BH110:BH120" si="15">SUM(B110:BG110)</f>
        <v>502628901.46000004</v>
      </c>
    </row>
    <row r="111" spans="1:60" x14ac:dyDescent="0.2">
      <c r="A111" s="3">
        <v>42795</v>
      </c>
      <c r="B111" s="4">
        <v>22590453.620000001</v>
      </c>
      <c r="C111" s="4">
        <v>1913207</v>
      </c>
      <c r="D111" s="4">
        <v>11284044.609999999</v>
      </c>
      <c r="E111" s="4">
        <v>3629999.21</v>
      </c>
      <c r="F111" s="4">
        <v>3854206.81</v>
      </c>
      <c r="G111" s="4">
        <v>5793532.7800000003</v>
      </c>
      <c r="H111" s="4">
        <v>4891983.67</v>
      </c>
      <c r="I111" s="4">
        <v>1891280.24</v>
      </c>
      <c r="J111" s="4">
        <v>4337203.97</v>
      </c>
      <c r="K111" s="4">
        <v>3826767.64</v>
      </c>
      <c r="L111" s="4">
        <v>2535134.7400000002</v>
      </c>
      <c r="M111" s="4">
        <v>2202592.87</v>
      </c>
      <c r="N111" s="4">
        <v>16562555.91</v>
      </c>
      <c r="O111" s="4">
        <v>69469118.510000005</v>
      </c>
      <c r="P111" s="4">
        <v>2438045.4900000002</v>
      </c>
      <c r="Q111" s="4">
        <v>2060217.82</v>
      </c>
      <c r="R111" s="4">
        <v>2007105.79</v>
      </c>
      <c r="S111" s="4">
        <v>3214005.91</v>
      </c>
      <c r="T111" s="4">
        <v>2958702</v>
      </c>
      <c r="U111" s="4">
        <v>284830.77</v>
      </c>
      <c r="V111" s="4">
        <v>2751122.49</v>
      </c>
      <c r="W111" s="4">
        <v>6451308.6200000001</v>
      </c>
      <c r="X111" s="4">
        <v>1401444.79</v>
      </c>
      <c r="Y111" s="4">
        <v>3175349.04</v>
      </c>
      <c r="Z111" s="4">
        <v>2632455.59</v>
      </c>
      <c r="AA111" s="4">
        <v>43765770.340000004</v>
      </c>
      <c r="AB111" s="4">
        <v>2627669.39</v>
      </c>
      <c r="AC111" s="4">
        <v>103265376.18000001</v>
      </c>
      <c r="AD111" s="4">
        <v>11403207.289999999</v>
      </c>
      <c r="AE111" s="4">
        <v>12800208.560000001</v>
      </c>
      <c r="AF111" s="4">
        <v>28815282.91</v>
      </c>
      <c r="AG111" s="4">
        <v>7021107.0099999998</v>
      </c>
      <c r="AH111" s="4">
        <v>25118463.699999999</v>
      </c>
      <c r="AI111" s="4">
        <v>1512756.25</v>
      </c>
      <c r="AJ111" s="4">
        <v>3739177.87</v>
      </c>
      <c r="AK111" s="4">
        <v>3091232.38</v>
      </c>
      <c r="AL111" s="4">
        <v>5174049.3899999997</v>
      </c>
      <c r="AM111" s="4">
        <v>7297245.1699999999</v>
      </c>
      <c r="AN111" s="4">
        <v>20089619.25</v>
      </c>
      <c r="AO111" s="4">
        <v>5446320.9100000001</v>
      </c>
      <c r="AP111" s="4">
        <v>9795148.3399999999</v>
      </c>
      <c r="AQ111" s="4">
        <v>10114938.32</v>
      </c>
      <c r="AR111" s="4">
        <v>1296726.3400000001</v>
      </c>
      <c r="AS111" s="4">
        <v>808338.78</v>
      </c>
      <c r="AT111" s="4">
        <v>2146385.79</v>
      </c>
      <c r="AU111" s="4">
        <v>4862086.59</v>
      </c>
      <c r="AV111" s="4">
        <v>124473617.63</v>
      </c>
      <c r="AW111" s="4">
        <v>3584479.88</v>
      </c>
      <c r="AX111" s="4">
        <v>1860829.16</v>
      </c>
      <c r="AY111" s="4">
        <v>4755450.9400000004</v>
      </c>
      <c r="AZ111" s="4">
        <v>10636126.810000001</v>
      </c>
      <c r="BA111" s="4">
        <v>3992546.52</v>
      </c>
      <c r="BB111" s="4">
        <v>1746324.51</v>
      </c>
      <c r="BC111" s="4">
        <v>3717623.09</v>
      </c>
      <c r="BD111" s="4">
        <v>45770032.759999998</v>
      </c>
      <c r="BE111" s="4">
        <v>1836254.58</v>
      </c>
      <c r="BF111" s="4">
        <v>1170888.8700000001</v>
      </c>
      <c r="BG111" s="4">
        <v>0</v>
      </c>
      <c r="BH111" s="4">
        <f t="shared" si="15"/>
        <v>697891955.39999998</v>
      </c>
    </row>
    <row r="112" spans="1:60" x14ac:dyDescent="0.2">
      <c r="A112" s="3">
        <v>42826</v>
      </c>
      <c r="B112" s="4">
        <v>19613282.100000001</v>
      </c>
      <c r="C112" s="4">
        <v>1401892.27</v>
      </c>
      <c r="D112" s="4">
        <v>9287619.2300000004</v>
      </c>
      <c r="E112" s="4">
        <v>2641103.23</v>
      </c>
      <c r="F112" s="4">
        <v>2640586.4899999998</v>
      </c>
      <c r="G112" s="4">
        <v>4576524.7</v>
      </c>
      <c r="H112" s="4">
        <v>4201343.8099999996</v>
      </c>
      <c r="I112" s="4">
        <v>1580453.88</v>
      </c>
      <c r="J112" s="4">
        <v>3868410.54</v>
      </c>
      <c r="K112" s="4">
        <v>2680541.73</v>
      </c>
      <c r="L112" s="4">
        <v>2170418.19</v>
      </c>
      <c r="M112" s="4">
        <v>1681949.71</v>
      </c>
      <c r="N112" s="4">
        <v>13086327.279999999</v>
      </c>
      <c r="O112" s="4">
        <v>55347785.04999999</v>
      </c>
      <c r="P112" s="4">
        <v>1814334.17</v>
      </c>
      <c r="Q112" s="4">
        <v>1835010.2999999998</v>
      </c>
      <c r="R112" s="4">
        <v>1547524.09</v>
      </c>
      <c r="S112" s="4">
        <v>2792518.7199999997</v>
      </c>
      <c r="T112" s="4">
        <v>2164055.83</v>
      </c>
      <c r="U112" s="4">
        <v>188249.54</v>
      </c>
      <c r="V112" s="4">
        <v>2172712.4700000002</v>
      </c>
      <c r="W112" s="4">
        <v>5471248.3300000001</v>
      </c>
      <c r="X112" s="4">
        <v>856267.85</v>
      </c>
      <c r="Y112" s="4">
        <v>2275227.42</v>
      </c>
      <c r="Z112" s="4">
        <v>1976858.1</v>
      </c>
      <c r="AA112" s="4">
        <v>35964247.920000002</v>
      </c>
      <c r="AB112" s="4">
        <v>2173105.8899999997</v>
      </c>
      <c r="AC112" s="4">
        <v>85847687.299999997</v>
      </c>
      <c r="AD112" s="4">
        <v>8749422.5600000005</v>
      </c>
      <c r="AE112" s="4">
        <v>9991085.5600000005</v>
      </c>
      <c r="AF112" s="4">
        <v>28654030.210000001</v>
      </c>
      <c r="AG112" s="4">
        <v>5980317.5499999998</v>
      </c>
      <c r="AH112" s="4">
        <v>20109554.369999997</v>
      </c>
      <c r="AI112" s="4">
        <v>1389216.7600000002</v>
      </c>
      <c r="AJ112" s="4">
        <v>3281838.3300000005</v>
      </c>
      <c r="AK112" s="4">
        <v>2358559.0099999998</v>
      </c>
      <c r="AL112" s="4">
        <v>4344286.29</v>
      </c>
      <c r="AM112" s="4">
        <v>6546498.3899999997</v>
      </c>
      <c r="AN112" s="4">
        <v>15472662.48</v>
      </c>
      <c r="AO112" s="4">
        <v>4139063.0200000005</v>
      </c>
      <c r="AP112" s="4">
        <v>8589939.790000001</v>
      </c>
      <c r="AQ112" s="4">
        <v>7831808.8500000006</v>
      </c>
      <c r="AR112" s="4">
        <v>1117167.51</v>
      </c>
      <c r="AS112" s="4">
        <v>669215.78</v>
      </c>
      <c r="AT112" s="4">
        <v>1706776.51</v>
      </c>
      <c r="AU112" s="4">
        <v>3957684.2299999995</v>
      </c>
      <c r="AV112" s="4">
        <v>99540841.539999992</v>
      </c>
      <c r="AW112" s="4">
        <v>2533154.31</v>
      </c>
      <c r="AX112" s="4">
        <v>1476804.9400000002</v>
      </c>
      <c r="AY112" s="4">
        <v>3609740.01</v>
      </c>
      <c r="AZ112" s="4">
        <v>7978732.7700000005</v>
      </c>
      <c r="BA112" s="4">
        <v>3624021.21</v>
      </c>
      <c r="BB112" s="4">
        <v>1467133.75</v>
      </c>
      <c r="BC112" s="4">
        <v>3196526.16</v>
      </c>
      <c r="BD112" s="4">
        <v>37826841.93</v>
      </c>
      <c r="BE112" s="4">
        <v>1266882.6400000001</v>
      </c>
      <c r="BF112" s="4">
        <v>729673.64</v>
      </c>
      <c r="BG112" s="4">
        <v>0</v>
      </c>
      <c r="BH112" s="4">
        <f t="shared" si="15"/>
        <v>569996766.23999989</v>
      </c>
    </row>
    <row r="113" spans="1:60" x14ac:dyDescent="0.2">
      <c r="A113" s="3">
        <v>42856</v>
      </c>
      <c r="B113" s="4">
        <v>18687037.640000001</v>
      </c>
      <c r="C113" s="4">
        <v>1381815.81</v>
      </c>
      <c r="D113" s="4">
        <v>9415010.5600000005</v>
      </c>
      <c r="E113" s="4">
        <v>2534019.09</v>
      </c>
      <c r="F113" s="4">
        <v>2616468.02</v>
      </c>
      <c r="G113" s="4">
        <v>4697215.1500000004</v>
      </c>
      <c r="H113" s="4">
        <v>4213941.0999999996</v>
      </c>
      <c r="I113" s="4">
        <v>1797570.17</v>
      </c>
      <c r="J113" s="4">
        <v>3963851.74</v>
      </c>
      <c r="K113" s="4">
        <v>2616616.0100000002</v>
      </c>
      <c r="L113" s="4">
        <v>2102687.58</v>
      </c>
      <c r="M113" s="4">
        <v>1466990.46</v>
      </c>
      <c r="N113" s="4">
        <v>12604916.509999998</v>
      </c>
      <c r="O113" s="4">
        <v>54758750.25</v>
      </c>
      <c r="P113" s="4">
        <v>1813668.7000000002</v>
      </c>
      <c r="Q113" s="4">
        <v>1566932.68</v>
      </c>
      <c r="R113" s="4">
        <v>1506497.68</v>
      </c>
      <c r="S113" s="4">
        <v>2629041.0700000003</v>
      </c>
      <c r="T113" s="4">
        <v>2170477.84</v>
      </c>
      <c r="U113" s="4">
        <v>171652.19</v>
      </c>
      <c r="V113" s="4">
        <v>2141503.4899999998</v>
      </c>
      <c r="W113" s="4">
        <v>5523066.6399999997</v>
      </c>
      <c r="X113" s="4">
        <v>879810.3</v>
      </c>
      <c r="Y113" s="4">
        <v>2195464.73</v>
      </c>
      <c r="Z113" s="4">
        <v>1921865.3</v>
      </c>
      <c r="AA113" s="4">
        <v>36457160.049999997</v>
      </c>
      <c r="AB113" s="4">
        <v>2105887.2000000002</v>
      </c>
      <c r="AC113" s="4">
        <v>84828653.429999992</v>
      </c>
      <c r="AD113" s="4">
        <v>8890742.8699999992</v>
      </c>
      <c r="AE113" s="4">
        <v>9819560.0700000003</v>
      </c>
      <c r="AF113" s="4">
        <v>23203448.939999998</v>
      </c>
      <c r="AG113" s="4">
        <v>5946948.2300000004</v>
      </c>
      <c r="AH113" s="4">
        <v>20171613.350000001</v>
      </c>
      <c r="AI113" s="4">
        <v>1139493.8799999999</v>
      </c>
      <c r="AJ113" s="4">
        <v>5183971.9300000006</v>
      </c>
      <c r="AK113" s="4">
        <v>2599061.35</v>
      </c>
      <c r="AL113" s="4">
        <v>4244371.4000000004</v>
      </c>
      <c r="AM113" s="4">
        <v>6085632.75</v>
      </c>
      <c r="AN113" s="4">
        <v>15683317.93</v>
      </c>
      <c r="AO113" s="4">
        <v>3971010.41</v>
      </c>
      <c r="AP113" s="4">
        <v>8719928.9500000011</v>
      </c>
      <c r="AQ113" s="4">
        <v>7341081.4500000002</v>
      </c>
      <c r="AR113" s="4">
        <v>1166625.81</v>
      </c>
      <c r="AS113" s="4">
        <v>692040.89</v>
      </c>
      <c r="AT113" s="4">
        <v>1703005.31</v>
      </c>
      <c r="AU113" s="4">
        <v>4004595.4400000004</v>
      </c>
      <c r="AV113" s="4">
        <v>98203417.500000015</v>
      </c>
      <c r="AW113" s="4">
        <v>2588649.2000000002</v>
      </c>
      <c r="AX113" s="4">
        <v>1479236.69</v>
      </c>
      <c r="AY113" s="4">
        <v>3652906.54</v>
      </c>
      <c r="AZ113" s="4">
        <v>8064980.6400000006</v>
      </c>
      <c r="BA113" s="4">
        <v>3501682.09</v>
      </c>
      <c r="BB113" s="4">
        <v>1382505.69</v>
      </c>
      <c r="BC113" s="4">
        <v>3194129.83</v>
      </c>
      <c r="BD113" s="4">
        <v>37973046.099999994</v>
      </c>
      <c r="BE113" s="4">
        <v>1258374.19</v>
      </c>
      <c r="BF113" s="4">
        <v>719422.76</v>
      </c>
      <c r="BG113" s="4">
        <v>0</v>
      </c>
      <c r="BH113" s="4">
        <f t="shared" si="15"/>
        <v>561353373.58000004</v>
      </c>
    </row>
    <row r="114" spans="1:60" x14ac:dyDescent="0.2">
      <c r="A114" s="3">
        <v>42887</v>
      </c>
      <c r="B114" s="4">
        <v>24990571.789999999</v>
      </c>
      <c r="C114" s="4">
        <v>2276795.1999999993</v>
      </c>
      <c r="D114" s="4">
        <v>12199395.84</v>
      </c>
      <c r="E114" s="4">
        <v>3613450.6899999995</v>
      </c>
      <c r="F114" s="4">
        <v>4386571.0500000007</v>
      </c>
      <c r="G114" s="4">
        <v>6896383.9100000001</v>
      </c>
      <c r="H114" s="4">
        <v>5708554.7599999998</v>
      </c>
      <c r="I114" s="4">
        <v>2425366.9599999995</v>
      </c>
      <c r="J114" s="4">
        <v>5494261.4799999995</v>
      </c>
      <c r="K114" s="4">
        <v>4423951.0199999996</v>
      </c>
      <c r="L114" s="4">
        <v>3042052.47</v>
      </c>
      <c r="M114" s="4">
        <v>2355590.7999999998</v>
      </c>
      <c r="N114" s="4">
        <v>20240959.960000001</v>
      </c>
      <c r="O114" s="4">
        <v>78003016.659999996</v>
      </c>
      <c r="P114" s="4">
        <v>2984526.4699999997</v>
      </c>
      <c r="Q114" s="4">
        <v>2155244.6499999994</v>
      </c>
      <c r="R114" s="4">
        <v>2185390.9000000004</v>
      </c>
      <c r="S114" s="4">
        <v>4234724.7699999996</v>
      </c>
      <c r="T114" s="4">
        <v>3133503.3099999996</v>
      </c>
      <c r="U114" s="4">
        <v>330821.65000000002</v>
      </c>
      <c r="V114" s="4">
        <v>3337969.08</v>
      </c>
      <c r="W114" s="4">
        <v>7588325.1100000013</v>
      </c>
      <c r="X114" s="4">
        <v>1207083.23</v>
      </c>
      <c r="Y114" s="4">
        <v>3316995.99</v>
      </c>
      <c r="Z114" s="4">
        <v>3112661.8600000003</v>
      </c>
      <c r="AA114" s="4">
        <v>49366231.450000003</v>
      </c>
      <c r="AB114" s="4">
        <v>3128586.9099999997</v>
      </c>
      <c r="AC114" s="4">
        <v>117037726.59999999</v>
      </c>
      <c r="AD114" s="4">
        <v>11528086.289999999</v>
      </c>
      <c r="AE114" s="4">
        <v>14296473.220000001</v>
      </c>
      <c r="AF114" s="4">
        <v>33420337.619999997</v>
      </c>
      <c r="AG114" s="4">
        <v>7295639.2000000011</v>
      </c>
      <c r="AH114" s="4">
        <v>28299633.729999997</v>
      </c>
      <c r="AI114" s="4">
        <v>1823000.3699999999</v>
      </c>
      <c r="AJ114" s="4">
        <v>4955215.5999999996</v>
      </c>
      <c r="AK114" s="4">
        <v>4170446.88</v>
      </c>
      <c r="AL114" s="4">
        <v>6107073.9399999995</v>
      </c>
      <c r="AM114" s="4">
        <v>8616401.3300000001</v>
      </c>
      <c r="AN114" s="4">
        <v>20710892.089999996</v>
      </c>
      <c r="AO114" s="4">
        <v>6053506.9100000001</v>
      </c>
      <c r="AP114" s="4">
        <v>11715945.219999997</v>
      </c>
      <c r="AQ114" s="4">
        <v>10317216.899999999</v>
      </c>
      <c r="AR114" s="4">
        <v>1589276.0700000003</v>
      </c>
      <c r="AS114" s="4">
        <v>1198882.8899999999</v>
      </c>
      <c r="AT114" s="4">
        <v>2744266.8800000004</v>
      </c>
      <c r="AU114" s="4">
        <v>5424841.9600000009</v>
      </c>
      <c r="AV114" s="4">
        <v>146406140.78999999</v>
      </c>
      <c r="AW114" s="4">
        <v>4688681.040000001</v>
      </c>
      <c r="AX114" s="4">
        <v>2234746.5800000005</v>
      </c>
      <c r="AY114" s="4">
        <v>5251579.1099999994</v>
      </c>
      <c r="AZ114" s="4">
        <v>12057299.379999999</v>
      </c>
      <c r="BA114" s="4">
        <v>5049056.120000001</v>
      </c>
      <c r="BB114" s="4">
        <v>2058817.7199999997</v>
      </c>
      <c r="BC114" s="4">
        <v>4553808.58</v>
      </c>
      <c r="BD114" s="4">
        <v>52059097.879999995</v>
      </c>
      <c r="BE114" s="4">
        <v>2051299.19</v>
      </c>
      <c r="BF114" s="4">
        <v>1383472.3399999999</v>
      </c>
      <c r="BG114" s="4">
        <v>0</v>
      </c>
      <c r="BH114" s="4">
        <f t="shared" si="15"/>
        <v>797237850.40000033</v>
      </c>
    </row>
    <row r="115" spans="1:60" x14ac:dyDescent="0.2">
      <c r="A115" s="3">
        <v>42917</v>
      </c>
      <c r="B115" s="4">
        <v>20526899.699999999</v>
      </c>
      <c r="C115" s="4">
        <v>1498459.3199999998</v>
      </c>
      <c r="D115" s="4">
        <v>10062551.010000002</v>
      </c>
      <c r="E115" s="4">
        <v>2832043.4399999995</v>
      </c>
      <c r="F115" s="4">
        <v>2904321.99</v>
      </c>
      <c r="G115" s="4">
        <v>5426069.5199999996</v>
      </c>
      <c r="H115" s="4">
        <v>4334969.84</v>
      </c>
      <c r="I115" s="4">
        <v>1708679.3400000003</v>
      </c>
      <c r="J115" s="4">
        <v>4470165.49</v>
      </c>
      <c r="K115" s="4">
        <v>2980432.2500000005</v>
      </c>
      <c r="L115" s="4">
        <v>2205490.13</v>
      </c>
      <c r="M115" s="4">
        <v>1742287.2800000003</v>
      </c>
      <c r="N115" s="4">
        <v>14411263.829999998</v>
      </c>
      <c r="O115" s="4">
        <v>60282260.880000003</v>
      </c>
      <c r="P115" s="4">
        <v>2727253.23</v>
      </c>
      <c r="Q115" s="4">
        <v>1838553.8900000001</v>
      </c>
      <c r="R115" s="4">
        <v>1775644.13</v>
      </c>
      <c r="S115" s="4">
        <v>3382328.16</v>
      </c>
      <c r="T115" s="4">
        <v>2602725.0700000003</v>
      </c>
      <c r="U115" s="4">
        <v>375813.47</v>
      </c>
      <c r="V115" s="4">
        <v>2503827.4799999995</v>
      </c>
      <c r="W115" s="4">
        <v>6556475.1300000008</v>
      </c>
      <c r="X115" s="4">
        <v>942919.98</v>
      </c>
      <c r="Y115" s="4">
        <v>2537644.87</v>
      </c>
      <c r="Z115" s="4">
        <v>2139267.5699999998</v>
      </c>
      <c r="AA115" s="4">
        <v>38752295.480000004</v>
      </c>
      <c r="AB115" s="4">
        <v>2374531.09</v>
      </c>
      <c r="AC115" s="4">
        <v>90443392.450000003</v>
      </c>
      <c r="AD115" s="4">
        <v>9530839.5600000005</v>
      </c>
      <c r="AE115" s="4">
        <v>10918626</v>
      </c>
      <c r="AF115" s="4">
        <v>25669407.060000002</v>
      </c>
      <c r="AG115" s="4">
        <v>6603580.5899999989</v>
      </c>
      <c r="AH115" s="4">
        <v>22272364.18</v>
      </c>
      <c r="AI115" s="4">
        <v>1204132.95</v>
      </c>
      <c r="AJ115" s="4">
        <v>3428343.2</v>
      </c>
      <c r="AK115" s="4">
        <v>3337417.4000000004</v>
      </c>
      <c r="AL115" s="4">
        <v>4952664.01</v>
      </c>
      <c r="AM115" s="4">
        <v>6553521.6699999999</v>
      </c>
      <c r="AN115" s="4">
        <v>16100639.470000001</v>
      </c>
      <c r="AO115" s="4">
        <v>4441183.97</v>
      </c>
      <c r="AP115" s="4">
        <v>10373467.120000003</v>
      </c>
      <c r="AQ115" s="4">
        <v>7761731.3699999992</v>
      </c>
      <c r="AR115" s="4">
        <v>1162054.6099999999</v>
      </c>
      <c r="AS115" s="4">
        <v>978889.71</v>
      </c>
      <c r="AT115" s="4">
        <v>2077503.6899999997</v>
      </c>
      <c r="AU115" s="4">
        <v>4435110.37</v>
      </c>
      <c r="AV115" s="4">
        <v>117964421.93000001</v>
      </c>
      <c r="AW115" s="4">
        <v>3506865.66</v>
      </c>
      <c r="AX115" s="4">
        <v>1542462.8499999999</v>
      </c>
      <c r="AY115" s="4">
        <v>4033626.9800000004</v>
      </c>
      <c r="AZ115" s="4">
        <v>9048530.370000001</v>
      </c>
      <c r="BA115" s="4">
        <v>5319423.3</v>
      </c>
      <c r="BB115" s="4">
        <v>1553773.38</v>
      </c>
      <c r="BC115" s="4">
        <v>3433918.1400000006</v>
      </c>
      <c r="BD115" s="4">
        <v>40112175.399999999</v>
      </c>
      <c r="BE115" s="4">
        <v>1378943.59</v>
      </c>
      <c r="BF115" s="4">
        <v>918219.65999999992</v>
      </c>
      <c r="BG115" s="4">
        <v>0</v>
      </c>
      <c r="BH115" s="4">
        <f t="shared" si="15"/>
        <v>624952404.20999992</v>
      </c>
    </row>
    <row r="116" spans="1:60" x14ac:dyDescent="0.2">
      <c r="A116" s="3">
        <v>42948</v>
      </c>
      <c r="B116" s="4">
        <v>19672192.169999998</v>
      </c>
      <c r="C116" s="4">
        <v>1597992.78</v>
      </c>
      <c r="D116" s="4">
        <v>9668568.0300000012</v>
      </c>
      <c r="E116" s="4">
        <v>2909022.6900000004</v>
      </c>
      <c r="F116" s="4">
        <v>2929447.0599999996</v>
      </c>
      <c r="G116" s="4">
        <v>5174087.51</v>
      </c>
      <c r="H116" s="4">
        <v>4350339.17</v>
      </c>
      <c r="I116" s="4">
        <v>1687387.5399999998</v>
      </c>
      <c r="J116" s="4">
        <v>4255961.33</v>
      </c>
      <c r="K116" s="4">
        <v>2819260.4400000004</v>
      </c>
      <c r="L116" s="4">
        <v>2174126.5999999996</v>
      </c>
      <c r="M116" s="4">
        <v>1684917.16</v>
      </c>
      <c r="N116" s="4">
        <v>14267718.240000002</v>
      </c>
      <c r="O116" s="4">
        <v>60194608.25999999</v>
      </c>
      <c r="P116" s="4">
        <v>2605426.29</v>
      </c>
      <c r="Q116" s="4">
        <v>1823721.72</v>
      </c>
      <c r="R116" s="4">
        <v>1652375</v>
      </c>
      <c r="S116" s="4">
        <v>3262746.0600000005</v>
      </c>
      <c r="T116" s="4">
        <v>2439582.0100000002</v>
      </c>
      <c r="U116" s="4">
        <v>340925.9</v>
      </c>
      <c r="V116" s="4">
        <v>2426907.36</v>
      </c>
      <c r="W116" s="4">
        <v>6242623.9900000012</v>
      </c>
      <c r="X116" s="4">
        <v>966902.35000000009</v>
      </c>
      <c r="Y116" s="4">
        <v>2564777.34</v>
      </c>
      <c r="Z116" s="4">
        <v>1987713.3499999996</v>
      </c>
      <c r="AA116" s="4">
        <v>38547932.469999999</v>
      </c>
      <c r="AB116" s="4">
        <v>2262196.6100000003</v>
      </c>
      <c r="AC116" s="4">
        <v>87495535.569999993</v>
      </c>
      <c r="AD116" s="4">
        <v>9306044.3900000006</v>
      </c>
      <c r="AE116" s="4">
        <v>10282914.850000001</v>
      </c>
      <c r="AF116" s="4">
        <v>26636886.669999994</v>
      </c>
      <c r="AG116" s="4">
        <v>6548419.6400000006</v>
      </c>
      <c r="AH116" s="4">
        <v>21527508.240000002</v>
      </c>
      <c r="AI116" s="4">
        <v>1151778.53</v>
      </c>
      <c r="AJ116" s="4">
        <v>3324041.0100000002</v>
      </c>
      <c r="AK116" s="4">
        <v>3251781.82</v>
      </c>
      <c r="AL116" s="4">
        <v>4754632.9800000004</v>
      </c>
      <c r="AM116" s="4">
        <v>6341028.4400000004</v>
      </c>
      <c r="AN116" s="4">
        <v>16030923.810000001</v>
      </c>
      <c r="AO116" s="4">
        <v>4511848.75</v>
      </c>
      <c r="AP116" s="4">
        <v>9971542.3900000006</v>
      </c>
      <c r="AQ116" s="4">
        <v>6920017.5299999993</v>
      </c>
      <c r="AR116" s="4">
        <v>1348236.55</v>
      </c>
      <c r="AS116" s="4">
        <v>966461.82000000007</v>
      </c>
      <c r="AT116" s="4">
        <v>2002705.3199999998</v>
      </c>
      <c r="AU116" s="4">
        <v>4675249.43</v>
      </c>
      <c r="AV116" s="4">
        <v>112706179.86</v>
      </c>
      <c r="AW116" s="4">
        <v>3296403</v>
      </c>
      <c r="AX116" s="4">
        <v>1533073.8399999999</v>
      </c>
      <c r="AY116" s="4">
        <v>3818023.05</v>
      </c>
      <c r="AZ116" s="4">
        <v>8721079.4199999981</v>
      </c>
      <c r="BA116" s="4">
        <v>5078542.7100000009</v>
      </c>
      <c r="BB116" s="4">
        <v>1519323.62</v>
      </c>
      <c r="BC116" s="4">
        <v>3344642.57</v>
      </c>
      <c r="BD116" s="4">
        <v>42598007.25</v>
      </c>
      <c r="BE116" s="4">
        <v>1310082.8500000001</v>
      </c>
      <c r="BF116" s="4">
        <v>891986.8</v>
      </c>
      <c r="BG116" s="4">
        <v>0</v>
      </c>
      <c r="BH116" s="4">
        <f t="shared" si="15"/>
        <v>612374362.13999999</v>
      </c>
    </row>
    <row r="117" spans="1:60" x14ac:dyDescent="0.2">
      <c r="A117" s="3">
        <v>42979</v>
      </c>
      <c r="B117" s="4">
        <v>26141112.059999999</v>
      </c>
      <c r="C117" s="4">
        <v>2062786.1700000002</v>
      </c>
      <c r="D117" s="4">
        <v>12564014.1</v>
      </c>
      <c r="E117" s="4">
        <v>3667096.09</v>
      </c>
      <c r="F117" s="4">
        <v>3701328.8500000006</v>
      </c>
      <c r="G117" s="4">
        <v>6960905.5100000007</v>
      </c>
      <c r="H117" s="4">
        <v>5877388.4399999995</v>
      </c>
      <c r="I117" s="4">
        <v>2414643.36</v>
      </c>
      <c r="J117" s="4">
        <v>5492068.8300000001</v>
      </c>
      <c r="K117" s="4">
        <v>5001567.49</v>
      </c>
      <c r="L117" s="4">
        <v>3010191.45</v>
      </c>
      <c r="M117" s="4">
        <v>2471882.2599999998</v>
      </c>
      <c r="N117" s="4">
        <v>18113524.57</v>
      </c>
      <c r="O117" s="4">
        <v>76876440</v>
      </c>
      <c r="P117" s="4">
        <v>3475055.7699999996</v>
      </c>
      <c r="Q117" s="4">
        <v>2400162.91</v>
      </c>
      <c r="R117" s="4">
        <v>2102266.23</v>
      </c>
      <c r="S117" s="4">
        <v>4212656.1599999992</v>
      </c>
      <c r="T117" s="4">
        <v>3422476.0199999996</v>
      </c>
      <c r="U117" s="4">
        <v>647060.67999999993</v>
      </c>
      <c r="V117" s="4">
        <v>3475892.31</v>
      </c>
      <c r="W117" s="4">
        <v>7991209.21</v>
      </c>
      <c r="X117" s="4">
        <v>1151577.1600000001</v>
      </c>
      <c r="Y117" s="4">
        <v>3427499.0599999996</v>
      </c>
      <c r="Z117" s="4">
        <v>3278515.3499999996</v>
      </c>
      <c r="AA117" s="4">
        <v>52053096.879999995</v>
      </c>
      <c r="AB117" s="4">
        <v>2731446.65</v>
      </c>
      <c r="AC117" s="4">
        <v>118304208.91</v>
      </c>
      <c r="AD117" s="4">
        <v>12168038.890000001</v>
      </c>
      <c r="AE117" s="4">
        <v>14694987.24</v>
      </c>
      <c r="AF117" s="4">
        <v>34463401.629999995</v>
      </c>
      <c r="AG117" s="4">
        <v>8618714.5300000012</v>
      </c>
      <c r="AH117" s="4">
        <v>28395424.109999999</v>
      </c>
      <c r="AI117" s="4">
        <v>1817996.5699999998</v>
      </c>
      <c r="AJ117" s="4">
        <v>4801231.24</v>
      </c>
      <c r="AK117" s="4">
        <v>4282858.8000000007</v>
      </c>
      <c r="AL117" s="4">
        <v>5821648.1500000004</v>
      </c>
      <c r="AM117" s="4">
        <v>8326779.8200000003</v>
      </c>
      <c r="AN117" s="4">
        <v>19844160.359999999</v>
      </c>
      <c r="AO117" s="4">
        <v>5686152.709999999</v>
      </c>
      <c r="AP117" s="4">
        <v>11621296.130000001</v>
      </c>
      <c r="AQ117" s="4">
        <v>9984323.6300000008</v>
      </c>
      <c r="AR117" s="4">
        <v>1867576.42</v>
      </c>
      <c r="AS117" s="4">
        <v>1544192.2799999998</v>
      </c>
      <c r="AT117" s="4">
        <v>2895766.6200000006</v>
      </c>
      <c r="AU117" s="4">
        <v>6004596.7599999998</v>
      </c>
      <c r="AV117" s="4">
        <v>146890611.97999999</v>
      </c>
      <c r="AW117" s="4">
        <v>5041351.79</v>
      </c>
      <c r="AX117" s="4">
        <v>2280172.41</v>
      </c>
      <c r="AY117" s="4">
        <v>5454877.3200000003</v>
      </c>
      <c r="AZ117" s="4">
        <v>13216222.030000001</v>
      </c>
      <c r="BA117" s="4">
        <v>6132630.6000000006</v>
      </c>
      <c r="BB117" s="4">
        <v>1969628.7899999998</v>
      </c>
      <c r="BC117" s="4">
        <v>4413231.5499999989</v>
      </c>
      <c r="BD117" s="4">
        <v>53572073.379999995</v>
      </c>
      <c r="BE117" s="4">
        <v>2261026.0700000003</v>
      </c>
      <c r="BF117" s="4">
        <v>1710782.9400000002</v>
      </c>
      <c r="BG117" s="4">
        <v>0</v>
      </c>
      <c r="BH117" s="4">
        <f t="shared" si="15"/>
        <v>808809827.2299999</v>
      </c>
    </row>
    <row r="118" spans="1:60" x14ac:dyDescent="0.2">
      <c r="A118" s="3">
        <v>43009</v>
      </c>
      <c r="B118" s="4">
        <v>19531392.039999999</v>
      </c>
      <c r="C118" s="4">
        <v>1260365.81</v>
      </c>
      <c r="D118" s="4">
        <v>9729751.4100000001</v>
      </c>
      <c r="E118" s="4">
        <v>2628026.14</v>
      </c>
      <c r="F118" s="4">
        <v>2829465.88</v>
      </c>
      <c r="G118" s="4">
        <v>4814353.46</v>
      </c>
      <c r="H118" s="4">
        <v>4328823.5</v>
      </c>
      <c r="I118" s="4">
        <v>1678365.83</v>
      </c>
      <c r="J118" s="4">
        <v>4122061.9299999997</v>
      </c>
      <c r="K118" s="4">
        <v>2735383.06</v>
      </c>
      <c r="L118" s="4">
        <v>2131948.6800000002</v>
      </c>
      <c r="M118" s="4">
        <v>1513323.5</v>
      </c>
      <c r="N118" s="4">
        <v>13739025.75</v>
      </c>
      <c r="O118" s="4">
        <v>58320597.220000006</v>
      </c>
      <c r="P118" s="4">
        <v>2166331.62</v>
      </c>
      <c r="Q118" s="4">
        <v>1666475.62</v>
      </c>
      <c r="R118" s="4">
        <v>1476736.25</v>
      </c>
      <c r="S118" s="4">
        <v>2868361.1</v>
      </c>
      <c r="T118" s="4">
        <v>2291744.5500000003</v>
      </c>
      <c r="U118" s="4">
        <v>261165.32</v>
      </c>
      <c r="V118" s="4">
        <v>2230995.2999999998</v>
      </c>
      <c r="W118" s="4">
        <v>5758952.54</v>
      </c>
      <c r="X118" s="4">
        <v>834195.39</v>
      </c>
      <c r="Y118" s="4">
        <v>2279903.88</v>
      </c>
      <c r="Z118" s="4">
        <v>2036750.3299999998</v>
      </c>
      <c r="AA118" s="4">
        <v>36579019.370000005</v>
      </c>
      <c r="AB118" s="4">
        <v>2190195.6000000006</v>
      </c>
      <c r="AC118" s="4">
        <v>89718361.689999998</v>
      </c>
      <c r="AD118" s="4">
        <v>9033354.8800000008</v>
      </c>
      <c r="AE118" s="4">
        <v>10083732.02</v>
      </c>
      <c r="AF118" s="4">
        <v>26458116.68</v>
      </c>
      <c r="AG118" s="4">
        <v>6340509.2999999989</v>
      </c>
      <c r="AH118" s="4">
        <v>22017708.369999997</v>
      </c>
      <c r="AI118" s="4">
        <v>1180305.99</v>
      </c>
      <c r="AJ118" s="4">
        <v>3163905.1799999997</v>
      </c>
      <c r="AK118" s="4">
        <v>2642678.0499999998</v>
      </c>
      <c r="AL118" s="4">
        <v>4449271.43</v>
      </c>
      <c r="AM118" s="4">
        <v>6169508.5900000008</v>
      </c>
      <c r="AN118" s="4">
        <v>15890025.92</v>
      </c>
      <c r="AO118" s="4">
        <v>4230657.6500000004</v>
      </c>
      <c r="AP118" s="4">
        <v>9407480.1199999973</v>
      </c>
      <c r="AQ118" s="4">
        <v>7177236.5300000003</v>
      </c>
      <c r="AR118" s="4">
        <v>1187773.5</v>
      </c>
      <c r="AS118" s="4">
        <v>758176.78</v>
      </c>
      <c r="AT118" s="4">
        <v>1999258.54</v>
      </c>
      <c r="AU118" s="4">
        <v>3999701.3200000003</v>
      </c>
      <c r="AV118" s="4">
        <v>102984842.75</v>
      </c>
      <c r="AW118" s="4">
        <v>2666840.2400000002</v>
      </c>
      <c r="AX118" s="4">
        <v>1567756.7899999998</v>
      </c>
      <c r="AY118" s="4">
        <v>3922185.9699999997</v>
      </c>
      <c r="AZ118" s="4">
        <v>8620976.0199999996</v>
      </c>
      <c r="BA118" s="4">
        <v>3952752.6700000004</v>
      </c>
      <c r="BB118" s="4">
        <v>1509999.5799999996</v>
      </c>
      <c r="BC118" s="4">
        <v>3131616.5700000003</v>
      </c>
      <c r="BD118" s="4">
        <v>40773877.43</v>
      </c>
      <c r="BE118" s="4">
        <v>1335881.82</v>
      </c>
      <c r="BF118" s="4">
        <v>793296.84</v>
      </c>
      <c r="BG118" s="4">
        <v>0</v>
      </c>
      <c r="BH118" s="4">
        <f t="shared" si="15"/>
        <v>589171500.30000007</v>
      </c>
    </row>
    <row r="119" spans="1:60" x14ac:dyDescent="0.2">
      <c r="A119" s="3">
        <v>43040</v>
      </c>
      <c r="B119" s="4">
        <v>21008660.539999999</v>
      </c>
      <c r="C119" s="4">
        <v>1472352.8</v>
      </c>
      <c r="D119" s="4">
        <v>9900122.5099999998</v>
      </c>
      <c r="E119" s="4">
        <v>2770679.4099999997</v>
      </c>
      <c r="F119" s="4">
        <v>2757747.6500000004</v>
      </c>
      <c r="G119" s="4">
        <v>4812702.5199999996</v>
      </c>
      <c r="H119" s="4">
        <v>4457570.3900000006</v>
      </c>
      <c r="I119" s="4">
        <v>1666804.1</v>
      </c>
      <c r="J119" s="4">
        <v>4274792</v>
      </c>
      <c r="K119" s="4">
        <v>2815239.3</v>
      </c>
      <c r="L119" s="4">
        <v>2165631.98</v>
      </c>
      <c r="M119" s="4">
        <v>1562580.4699999997</v>
      </c>
      <c r="N119" s="4">
        <v>14168040.079999998</v>
      </c>
      <c r="O119" s="4">
        <v>62043219.450000003</v>
      </c>
      <c r="P119" s="4">
        <v>2209016.94</v>
      </c>
      <c r="Q119" s="4">
        <v>1657548.98</v>
      </c>
      <c r="R119" s="4">
        <v>1526755.27</v>
      </c>
      <c r="S119" s="4">
        <v>2951760.74</v>
      </c>
      <c r="T119" s="4">
        <v>2382896.89</v>
      </c>
      <c r="U119" s="4">
        <v>246972.51</v>
      </c>
      <c r="V119" s="4">
        <v>2259716.2700000005</v>
      </c>
      <c r="W119" s="4">
        <v>5981874.5899999999</v>
      </c>
      <c r="X119" s="4">
        <v>872883.17</v>
      </c>
      <c r="Y119" s="4">
        <v>2354710.7399999998</v>
      </c>
      <c r="Z119" s="4">
        <v>3545573.0600000005</v>
      </c>
      <c r="AA119" s="4">
        <v>39127122.729999997</v>
      </c>
      <c r="AB119" s="4">
        <v>2316537.4900000002</v>
      </c>
      <c r="AC119" s="4">
        <v>91776859.339999989</v>
      </c>
      <c r="AD119" s="4">
        <v>9245677.8499999996</v>
      </c>
      <c r="AE119" s="4">
        <v>10573514.150000002</v>
      </c>
      <c r="AF119" s="4">
        <v>26513629.940000001</v>
      </c>
      <c r="AG119" s="4">
        <v>6377886.8099999996</v>
      </c>
      <c r="AH119" s="4">
        <v>23350089.859999996</v>
      </c>
      <c r="AI119" s="4">
        <v>1256117.5899999999</v>
      </c>
      <c r="AJ119" s="4">
        <v>3305416.27</v>
      </c>
      <c r="AK119" s="4">
        <v>2743057.23</v>
      </c>
      <c r="AL119" s="4">
        <v>4616872.9000000004</v>
      </c>
      <c r="AM119" s="4">
        <v>6487064.2699999996</v>
      </c>
      <c r="AN119" s="4">
        <v>16683992.139999999</v>
      </c>
      <c r="AO119" s="4">
        <v>4311794.8999999994</v>
      </c>
      <c r="AP119" s="4">
        <v>9679563.2700000033</v>
      </c>
      <c r="AQ119" s="4">
        <v>9104832.8100000005</v>
      </c>
      <c r="AR119" s="4">
        <v>1208014.03</v>
      </c>
      <c r="AS119" s="4">
        <v>764355.6100000001</v>
      </c>
      <c r="AT119" s="4">
        <v>1872822.4000000001</v>
      </c>
      <c r="AU119" s="4">
        <v>4183993.28</v>
      </c>
      <c r="AV119" s="4">
        <v>106854250.34</v>
      </c>
      <c r="AW119" s="4">
        <v>2776327.5</v>
      </c>
      <c r="AX119" s="4">
        <v>1575567.9499999997</v>
      </c>
      <c r="AY119" s="4">
        <v>3948674.0300000003</v>
      </c>
      <c r="AZ119" s="4">
        <v>8784119.3900000006</v>
      </c>
      <c r="BA119" s="4">
        <v>4061260.39</v>
      </c>
      <c r="BB119" s="4">
        <v>1476720.6099999999</v>
      </c>
      <c r="BC119" s="4">
        <v>3186860.01</v>
      </c>
      <c r="BD119" s="4">
        <v>41570401.370000005</v>
      </c>
      <c r="BE119" s="4">
        <v>1323142.0100000002</v>
      </c>
      <c r="BF119" s="4">
        <v>819288.62000000011</v>
      </c>
      <c r="BG119" s="4">
        <v>0</v>
      </c>
      <c r="BH119" s="4">
        <f t="shared" si="15"/>
        <v>613741679.44999981</v>
      </c>
    </row>
    <row r="120" spans="1:60" x14ac:dyDescent="0.2">
      <c r="A120" s="3">
        <v>43070</v>
      </c>
      <c r="B120" s="4">
        <v>27027782.169999998</v>
      </c>
      <c r="C120" s="4">
        <v>2212544.12</v>
      </c>
      <c r="D120" s="4">
        <v>13055923.41</v>
      </c>
      <c r="E120" s="4">
        <v>3929057.46</v>
      </c>
      <c r="F120" s="4">
        <v>3577264.54</v>
      </c>
      <c r="G120" s="4">
        <v>6412727.3700000001</v>
      </c>
      <c r="H120" s="4">
        <v>5739303.6200000001</v>
      </c>
      <c r="I120" s="4">
        <v>2243472.41</v>
      </c>
      <c r="J120" s="4">
        <v>5212877.21</v>
      </c>
      <c r="K120" s="4">
        <v>4661080.08</v>
      </c>
      <c r="L120" s="4">
        <v>2887909.5800000005</v>
      </c>
      <c r="M120" s="4">
        <v>2485834.46</v>
      </c>
      <c r="N120" s="4">
        <v>19359737.27</v>
      </c>
      <c r="O120" s="4">
        <v>77088589.379999995</v>
      </c>
      <c r="P120" s="4">
        <v>2920740.3</v>
      </c>
      <c r="Q120" s="4">
        <v>2254844.0700000003</v>
      </c>
      <c r="R120" s="4">
        <v>2233036.7499999995</v>
      </c>
      <c r="S120" s="4">
        <v>3989252.3899999997</v>
      </c>
      <c r="T120" s="4">
        <v>3278827.37</v>
      </c>
      <c r="U120" s="4">
        <v>425589.92</v>
      </c>
      <c r="V120" s="4">
        <v>3098620.6799999997</v>
      </c>
      <c r="W120" s="4">
        <v>7308773.3699999992</v>
      </c>
      <c r="X120" s="4">
        <v>1322814.1099999999</v>
      </c>
      <c r="Y120" s="4">
        <v>3561209.1999999997</v>
      </c>
      <c r="Z120" s="4">
        <v>3179351.31</v>
      </c>
      <c r="AA120" s="4">
        <v>50197788.549999997</v>
      </c>
      <c r="AB120" s="4">
        <v>3287455.54</v>
      </c>
      <c r="AC120" s="4">
        <v>119878857.78</v>
      </c>
      <c r="AD120" s="4">
        <v>11445303.82</v>
      </c>
      <c r="AE120" s="4">
        <v>13933851.09</v>
      </c>
      <c r="AF120" s="4">
        <v>36193476.099999994</v>
      </c>
      <c r="AG120" s="4">
        <v>8415814.6099999994</v>
      </c>
      <c r="AH120" s="4">
        <v>28917327.120000001</v>
      </c>
      <c r="AI120" s="4">
        <v>1579964.2</v>
      </c>
      <c r="AJ120" s="4">
        <v>4862106.33</v>
      </c>
      <c r="AK120" s="4">
        <v>3776667.0700000003</v>
      </c>
      <c r="AL120" s="4">
        <v>6056492.3700000001</v>
      </c>
      <c r="AM120" s="4">
        <v>9013060.1099999994</v>
      </c>
      <c r="AN120" s="4">
        <v>21273165.000000004</v>
      </c>
      <c r="AO120" s="4">
        <v>5728497.1799999997</v>
      </c>
      <c r="AP120" s="4">
        <v>11895556.659999998</v>
      </c>
      <c r="AQ120" s="4">
        <v>10102595.59</v>
      </c>
      <c r="AR120" s="4">
        <v>1533956.81</v>
      </c>
      <c r="AS120" s="4">
        <v>1131369.83</v>
      </c>
      <c r="AT120" s="4">
        <v>2552631.4799999995</v>
      </c>
      <c r="AU120" s="4">
        <v>6099715.7600000007</v>
      </c>
      <c r="AV120" s="4">
        <v>138889866</v>
      </c>
      <c r="AW120" s="4">
        <v>4417129.7299999995</v>
      </c>
      <c r="AX120" s="4">
        <v>2320735.8899999997</v>
      </c>
      <c r="AY120" s="4">
        <v>5707657.3000000007</v>
      </c>
      <c r="AZ120" s="4">
        <v>12326797.73</v>
      </c>
      <c r="BA120" s="4">
        <v>4587764.4200000009</v>
      </c>
      <c r="BB120" s="4">
        <v>1971085.92</v>
      </c>
      <c r="BC120" s="4">
        <v>4541701.29</v>
      </c>
      <c r="BD120" s="4">
        <v>53623316.329999998</v>
      </c>
      <c r="BE120" s="4">
        <v>1894269.9199999997</v>
      </c>
      <c r="BF120" s="4">
        <v>1382993.8800000001</v>
      </c>
      <c r="BG120" s="4">
        <v>0</v>
      </c>
      <c r="BH120" s="4">
        <f t="shared" si="15"/>
        <v>799006133.9599998</v>
      </c>
    </row>
    <row r="121" spans="1:60" ht="15.75" thickBot="1" x14ac:dyDescent="0.25">
      <c r="A121" s="1" t="s">
        <v>172</v>
      </c>
      <c r="B121" s="5">
        <f>SUM(B109:B120)</f>
        <v>259089348.98999995</v>
      </c>
      <c r="C121" s="5">
        <f t="shared" ref="C121:BH121" si="16">SUM(C109:C120)</f>
        <v>19794121.469999999</v>
      </c>
      <c r="D121" s="5">
        <f t="shared" si="16"/>
        <v>126366075.29000001</v>
      </c>
      <c r="E121" s="5">
        <f t="shared" si="16"/>
        <v>36438117</v>
      </c>
      <c r="F121" s="5">
        <f t="shared" si="16"/>
        <v>37361120.049999997</v>
      </c>
      <c r="G121" s="5">
        <f t="shared" si="16"/>
        <v>64134039.869999997</v>
      </c>
      <c r="H121" s="5">
        <f t="shared" si="16"/>
        <v>57180048.479999989</v>
      </c>
      <c r="I121" s="5">
        <f t="shared" si="16"/>
        <v>22464639.779999997</v>
      </c>
      <c r="J121" s="5">
        <f t="shared" si="16"/>
        <v>53467798.919999994</v>
      </c>
      <c r="K121" s="5">
        <f t="shared" si="16"/>
        <v>39744282.100000001</v>
      </c>
      <c r="L121" s="5">
        <f t="shared" si="16"/>
        <v>28888610.16</v>
      </c>
      <c r="M121" s="5">
        <f t="shared" si="16"/>
        <v>21819239.57</v>
      </c>
      <c r="N121" s="5">
        <f t="shared" si="16"/>
        <v>183017825.61999997</v>
      </c>
      <c r="O121" s="5">
        <f t="shared" si="16"/>
        <v>764080389.28999996</v>
      </c>
      <c r="P121" s="5">
        <f t="shared" si="16"/>
        <v>28818497.920000002</v>
      </c>
      <c r="Q121" s="5">
        <f t="shared" si="16"/>
        <v>22171849.77</v>
      </c>
      <c r="R121" s="5">
        <f t="shared" si="16"/>
        <v>20673462.899999999</v>
      </c>
      <c r="S121" s="5">
        <f t="shared" si="16"/>
        <v>38683225.840000004</v>
      </c>
      <c r="T121" s="5">
        <f t="shared" si="16"/>
        <v>31270160.830000002</v>
      </c>
      <c r="U121" s="5">
        <f t="shared" si="16"/>
        <v>3601306.99</v>
      </c>
      <c r="V121" s="5">
        <f t="shared" si="16"/>
        <v>30643089.709999997</v>
      </c>
      <c r="W121" s="5">
        <f t="shared" si="16"/>
        <v>75086502.840000004</v>
      </c>
      <c r="X121" s="5">
        <f t="shared" si="16"/>
        <v>11889306.4</v>
      </c>
      <c r="Y121" s="5">
        <f t="shared" si="16"/>
        <v>31880449.119999994</v>
      </c>
      <c r="Z121" s="5">
        <f t="shared" si="16"/>
        <v>29320571.169999998</v>
      </c>
      <c r="AA121" s="5">
        <f t="shared" si="16"/>
        <v>492221355.53000003</v>
      </c>
      <c r="AB121" s="5">
        <f t="shared" si="16"/>
        <v>29450192.07</v>
      </c>
      <c r="AC121" s="5">
        <f t="shared" si="16"/>
        <v>1159400448.99</v>
      </c>
      <c r="AD121" s="5">
        <f t="shared" si="16"/>
        <v>118105011.90000001</v>
      </c>
      <c r="AE121" s="5">
        <f t="shared" si="16"/>
        <v>137035450.44</v>
      </c>
      <c r="AF121" s="5">
        <f t="shared" si="16"/>
        <v>340470248.12</v>
      </c>
      <c r="AG121" s="5">
        <f t="shared" si="16"/>
        <v>81446602.140000001</v>
      </c>
      <c r="AH121" s="5">
        <f t="shared" si="16"/>
        <v>279646699.80999994</v>
      </c>
      <c r="AI121" s="5">
        <f t="shared" si="16"/>
        <v>16273192.069999998</v>
      </c>
      <c r="AJ121" s="5">
        <f t="shared" si="16"/>
        <v>45888892.230000004</v>
      </c>
      <c r="AK121" s="5">
        <f t="shared" si="16"/>
        <v>36997705.719999999</v>
      </c>
      <c r="AL121" s="5">
        <f t="shared" si="16"/>
        <v>58791987.929999992</v>
      </c>
      <c r="AM121" s="5">
        <f t="shared" si="16"/>
        <v>83760727.859999999</v>
      </c>
      <c r="AN121" s="5">
        <f t="shared" si="16"/>
        <v>209114362.31999996</v>
      </c>
      <c r="AO121" s="5">
        <f t="shared" si="16"/>
        <v>56670889.849999994</v>
      </c>
      <c r="AP121" s="5">
        <f t="shared" si="16"/>
        <v>119607927.78</v>
      </c>
      <c r="AQ121" s="5">
        <f t="shared" si="16"/>
        <v>101514960.01000001</v>
      </c>
      <c r="AR121" s="5">
        <f t="shared" si="16"/>
        <v>15466317.02</v>
      </c>
      <c r="AS121" s="5">
        <f t="shared" si="16"/>
        <v>10704705.09</v>
      </c>
      <c r="AT121" s="5">
        <f t="shared" si="16"/>
        <v>25162068.009999998</v>
      </c>
      <c r="AU121" s="5">
        <f t="shared" si="16"/>
        <v>55360189.18</v>
      </c>
      <c r="AV121" s="5">
        <f t="shared" si="16"/>
        <v>1383711454.97</v>
      </c>
      <c r="AW121" s="5">
        <f t="shared" si="16"/>
        <v>39885981.589999996</v>
      </c>
      <c r="AX121" s="5">
        <f t="shared" si="16"/>
        <v>20870587.739999998</v>
      </c>
      <c r="AY121" s="5">
        <f t="shared" si="16"/>
        <v>51237573.909999996</v>
      </c>
      <c r="AZ121" s="5">
        <f t="shared" si="16"/>
        <v>115647272.24000001</v>
      </c>
      <c r="BA121" s="5">
        <f t="shared" si="16"/>
        <v>52154551.230000004</v>
      </c>
      <c r="BB121" s="5">
        <f t="shared" si="16"/>
        <v>19402427.5</v>
      </c>
      <c r="BC121" s="5">
        <f t="shared" si="16"/>
        <v>42771431.619999997</v>
      </c>
      <c r="BD121" s="5">
        <f t="shared" si="16"/>
        <v>525513104.21999997</v>
      </c>
      <c r="BE121" s="5">
        <f t="shared" si="16"/>
        <v>18262292.489999998</v>
      </c>
      <c r="BF121" s="5">
        <f t="shared" si="16"/>
        <v>11789716.750000002</v>
      </c>
      <c r="BG121" s="5">
        <f t="shared" si="16"/>
        <v>0</v>
      </c>
      <c r="BH121" s="5">
        <f t="shared" si="16"/>
        <v>7792220408.4099998</v>
      </c>
    </row>
    <row r="122" spans="1:60" ht="15.75" thickTop="1" x14ac:dyDescent="0.2"/>
    <row r="123" spans="1:60" x14ac:dyDescent="0.2">
      <c r="A123" s="3">
        <v>42370</v>
      </c>
      <c r="B123" s="4">
        <v>20933384.219999999</v>
      </c>
      <c r="C123" s="4">
        <v>1468670.77</v>
      </c>
      <c r="D123" s="4">
        <v>9831185.8399999999</v>
      </c>
      <c r="E123" s="4">
        <v>2939949.21</v>
      </c>
      <c r="F123" s="4">
        <v>2574940.08</v>
      </c>
      <c r="G123" s="4">
        <v>4638377.6900000004</v>
      </c>
      <c r="H123" s="4">
        <v>5113098.3099999996</v>
      </c>
      <c r="I123" s="4">
        <v>1523282.58</v>
      </c>
      <c r="J123" s="4">
        <v>4071591.9</v>
      </c>
      <c r="K123" s="4">
        <v>2582385.63</v>
      </c>
      <c r="L123" s="4">
        <v>2235379.5499999998</v>
      </c>
      <c r="M123" s="4">
        <v>1414459.05</v>
      </c>
      <c r="N123" s="4">
        <v>13718788.57</v>
      </c>
      <c r="O123" s="4">
        <v>59596087.100000001</v>
      </c>
      <c r="P123" s="4">
        <v>1964370.8</v>
      </c>
      <c r="Q123" s="4">
        <v>1618349.97</v>
      </c>
      <c r="R123" s="4">
        <v>1391463.3</v>
      </c>
      <c r="S123" s="4">
        <v>2826827.12</v>
      </c>
      <c r="T123" s="4">
        <v>2219288.54</v>
      </c>
      <c r="U123" s="4">
        <v>196160.21</v>
      </c>
      <c r="V123" s="4">
        <v>2120461.77</v>
      </c>
      <c r="W123" s="4">
        <v>5551191.96</v>
      </c>
      <c r="X123" s="4">
        <v>792345.16</v>
      </c>
      <c r="Y123" s="4">
        <v>2193920.52</v>
      </c>
      <c r="Z123" s="4">
        <v>1743352.32</v>
      </c>
      <c r="AA123" s="4">
        <v>35804990.75</v>
      </c>
      <c r="AB123" s="4">
        <v>2120048.42</v>
      </c>
      <c r="AC123" s="4">
        <v>90159793.989999995</v>
      </c>
      <c r="AD123" s="4">
        <v>9274550.7699999996</v>
      </c>
      <c r="AE123" s="4">
        <v>10059752.73</v>
      </c>
      <c r="AF123" s="4">
        <v>27977358.460000001</v>
      </c>
      <c r="AG123" s="4">
        <v>6265595.2400000002</v>
      </c>
      <c r="AH123" s="4">
        <v>22255999.690000001</v>
      </c>
      <c r="AI123" s="4">
        <v>1188189.1200000001</v>
      </c>
      <c r="AJ123" s="4">
        <v>2972176.04</v>
      </c>
      <c r="AK123" s="4">
        <v>2426915.67</v>
      </c>
      <c r="AL123" s="4">
        <v>4235351.34</v>
      </c>
      <c r="AM123" s="4">
        <v>6155564.1200000001</v>
      </c>
      <c r="AN123" s="4">
        <v>16334818.449999999</v>
      </c>
      <c r="AO123" s="4">
        <v>4563531.3099999996</v>
      </c>
      <c r="AP123" s="4">
        <v>8974674.0299999993</v>
      </c>
      <c r="AQ123" s="4">
        <v>7719460.4400000004</v>
      </c>
      <c r="AR123" s="4">
        <v>738621.32</v>
      </c>
      <c r="AS123" s="4">
        <v>678704.93</v>
      </c>
      <c r="AT123" s="4">
        <v>1718256.99</v>
      </c>
      <c r="AU123" s="4">
        <v>4114673.06</v>
      </c>
      <c r="AV123" s="4">
        <v>101839509.68000001</v>
      </c>
      <c r="AW123" s="4">
        <v>2312660.35</v>
      </c>
      <c r="AX123" s="4">
        <v>1558283.08</v>
      </c>
      <c r="AY123" s="4">
        <v>3660365.18</v>
      </c>
      <c r="AZ123" s="4">
        <v>8161430.1699999999</v>
      </c>
      <c r="BA123" s="4">
        <v>3596030.34</v>
      </c>
      <c r="BB123" s="4">
        <v>1490700.34</v>
      </c>
      <c r="BC123" s="4">
        <v>2840303.79</v>
      </c>
      <c r="BD123" s="4">
        <v>42552505.670000002</v>
      </c>
      <c r="BE123" s="4">
        <v>1090509.5</v>
      </c>
      <c r="BF123" s="4">
        <v>613652.42000000004</v>
      </c>
      <c r="BG123" s="4">
        <v>0</v>
      </c>
      <c r="BH123" s="4">
        <f t="shared" ref="BH123:BH134" si="17">SUM(B123:BG123)</f>
        <v>590714289.55999994</v>
      </c>
    </row>
    <row r="124" spans="1:60" x14ac:dyDescent="0.2">
      <c r="A124" s="3">
        <v>42401</v>
      </c>
      <c r="B124" s="4">
        <v>17146967.359999999</v>
      </c>
      <c r="C124" s="4">
        <v>1199031.78</v>
      </c>
      <c r="D124" s="4">
        <v>8217096.04</v>
      </c>
      <c r="E124" s="4">
        <v>2398424.5299999998</v>
      </c>
      <c r="F124" s="4">
        <v>2223262.88</v>
      </c>
      <c r="G124" s="4">
        <v>3665801.94</v>
      </c>
      <c r="H124" s="4">
        <v>4084031.41</v>
      </c>
      <c r="I124" s="4">
        <v>1290304.42</v>
      </c>
      <c r="J124" s="4">
        <v>3498550.19</v>
      </c>
      <c r="K124" s="4">
        <v>2057937.36</v>
      </c>
      <c r="L124" s="4">
        <v>1880176.19</v>
      </c>
      <c r="M124" s="4">
        <v>1133976.92</v>
      </c>
      <c r="N124" s="4">
        <v>11453494.890000001</v>
      </c>
      <c r="O124" s="4">
        <v>49452554.689999998</v>
      </c>
      <c r="P124" s="4">
        <v>1606767.25</v>
      </c>
      <c r="Q124" s="4">
        <v>1358753.11</v>
      </c>
      <c r="R124" s="4">
        <v>1207574.9099999999</v>
      </c>
      <c r="S124" s="4">
        <v>2359080.66</v>
      </c>
      <c r="T124" s="4">
        <v>1905294.63</v>
      </c>
      <c r="U124" s="4">
        <v>161415.91</v>
      </c>
      <c r="V124" s="4">
        <v>1694532.67</v>
      </c>
      <c r="W124" s="4">
        <v>4518612.05</v>
      </c>
      <c r="X124" s="4">
        <v>579152.18000000005</v>
      </c>
      <c r="Y124" s="4">
        <v>1768476.79</v>
      </c>
      <c r="Z124" s="4">
        <v>1481358.25</v>
      </c>
      <c r="AA124" s="4">
        <v>29799458.969999999</v>
      </c>
      <c r="AB124" s="4">
        <v>1914717.44</v>
      </c>
      <c r="AC124" s="4">
        <v>74060562.140000001</v>
      </c>
      <c r="AD124" s="4">
        <v>7401144.4699999997</v>
      </c>
      <c r="AE124" s="4">
        <v>8322204.3099999996</v>
      </c>
      <c r="AF124" s="4">
        <v>22422228.41</v>
      </c>
      <c r="AG124" s="4">
        <v>5195770.67</v>
      </c>
      <c r="AH124" s="4">
        <v>16448057.43</v>
      </c>
      <c r="AI124" s="4">
        <v>1008883.29</v>
      </c>
      <c r="AJ124" s="4">
        <v>2471701.1</v>
      </c>
      <c r="AK124" s="4">
        <v>1980773.45</v>
      </c>
      <c r="AL124" s="4">
        <v>3828416.03</v>
      </c>
      <c r="AM124" s="4">
        <v>5197461.01</v>
      </c>
      <c r="AN124" s="4">
        <v>13701007.529999999</v>
      </c>
      <c r="AO124" s="4">
        <v>3631417.03</v>
      </c>
      <c r="AP124" s="4">
        <v>7446970.2300000004</v>
      </c>
      <c r="AQ124" s="4">
        <v>6414666.3600000003</v>
      </c>
      <c r="AR124" s="4">
        <v>831399.68</v>
      </c>
      <c r="AS124" s="4">
        <v>519829.61</v>
      </c>
      <c r="AT124" s="4">
        <v>1288932.99</v>
      </c>
      <c r="AU124" s="4">
        <v>3163771.34</v>
      </c>
      <c r="AV124" s="4">
        <v>84363994.540000007</v>
      </c>
      <c r="AW124" s="4">
        <v>2055118.6</v>
      </c>
      <c r="AX124" s="4">
        <v>1284176.6599999999</v>
      </c>
      <c r="AY124" s="4">
        <v>2832286.55</v>
      </c>
      <c r="AZ124" s="4">
        <v>6920839.75</v>
      </c>
      <c r="BA124" s="4">
        <v>2840725.42</v>
      </c>
      <c r="BB124" s="4">
        <v>1269255.44</v>
      </c>
      <c r="BC124" s="4">
        <v>2447669.5099999998</v>
      </c>
      <c r="BD124" s="4">
        <v>35059497</v>
      </c>
      <c r="BE124" s="4">
        <v>739413.51</v>
      </c>
      <c r="BF124" s="4">
        <v>525980.81000000006</v>
      </c>
      <c r="BG124" s="4">
        <v>0</v>
      </c>
      <c r="BH124" s="4">
        <f t="shared" si="17"/>
        <v>485730960.29000008</v>
      </c>
    </row>
    <row r="125" spans="1:60" x14ac:dyDescent="0.2">
      <c r="A125" s="3">
        <v>42430</v>
      </c>
      <c r="B125" s="4">
        <v>24019529.59</v>
      </c>
      <c r="C125" s="4">
        <v>1889910.31</v>
      </c>
      <c r="D125" s="4">
        <v>10920565.439999999</v>
      </c>
      <c r="E125" s="4">
        <v>3182859.99</v>
      </c>
      <c r="F125" s="4">
        <v>2914657.81</v>
      </c>
      <c r="G125" s="4">
        <v>5737695.7300000004</v>
      </c>
      <c r="H125" s="4">
        <v>4591573.17</v>
      </c>
      <c r="I125" s="4">
        <v>2179189.2999999998</v>
      </c>
      <c r="J125" s="4">
        <v>3767358.37</v>
      </c>
      <c r="K125" s="4">
        <v>3956642.44</v>
      </c>
      <c r="L125" s="4">
        <v>2627856.5499999998</v>
      </c>
      <c r="M125" s="4">
        <v>1982805.44</v>
      </c>
      <c r="N125" s="4">
        <v>17114985.350000001</v>
      </c>
      <c r="O125" s="4">
        <v>67350320.739999995</v>
      </c>
      <c r="P125" s="4">
        <v>2303980.21</v>
      </c>
      <c r="Q125" s="4">
        <v>1755426.13</v>
      </c>
      <c r="R125" s="4">
        <v>1829575.83</v>
      </c>
      <c r="S125" s="4">
        <v>3169121.37</v>
      </c>
      <c r="T125" s="4">
        <v>2686852.06</v>
      </c>
      <c r="U125" s="4">
        <v>264915.87</v>
      </c>
      <c r="V125" s="4">
        <v>2848618.14</v>
      </c>
      <c r="W125" s="4">
        <v>5943081.04</v>
      </c>
      <c r="X125" s="4">
        <v>1087270.5</v>
      </c>
      <c r="Y125" s="4">
        <v>2803746.36</v>
      </c>
      <c r="Z125" s="4">
        <v>2814356.02</v>
      </c>
      <c r="AA125" s="4">
        <v>44657766.840000004</v>
      </c>
      <c r="AB125" s="4">
        <v>2403690.21</v>
      </c>
      <c r="AC125" s="4">
        <v>106286317.79000001</v>
      </c>
      <c r="AD125" s="4">
        <v>10029838.310000001</v>
      </c>
      <c r="AE125" s="4">
        <v>12704305.890000001</v>
      </c>
      <c r="AF125" s="4">
        <v>27792750.329999998</v>
      </c>
      <c r="AG125" s="4">
        <v>7218642.9100000001</v>
      </c>
      <c r="AH125" s="4">
        <v>21695422.109999999</v>
      </c>
      <c r="AI125" s="4">
        <v>1465263.96</v>
      </c>
      <c r="AJ125" s="4">
        <v>3873142.89</v>
      </c>
      <c r="AK125" s="4">
        <v>3320228.95</v>
      </c>
      <c r="AL125" s="4">
        <v>5932547.0499999998</v>
      </c>
      <c r="AM125" s="4">
        <v>7305260.9199999999</v>
      </c>
      <c r="AN125" s="4">
        <v>19158128.41</v>
      </c>
      <c r="AO125" s="4">
        <v>4186980.61</v>
      </c>
      <c r="AP125" s="4">
        <v>10789041.880000001</v>
      </c>
      <c r="AQ125" s="4">
        <v>8642364.6999999993</v>
      </c>
      <c r="AR125" s="4">
        <v>1484605.35</v>
      </c>
      <c r="AS125" s="4">
        <v>888156.46</v>
      </c>
      <c r="AT125" s="4">
        <v>2040349.53</v>
      </c>
      <c r="AU125" s="4">
        <v>4333630.05</v>
      </c>
      <c r="AV125" s="4">
        <v>116900514.67</v>
      </c>
      <c r="AW125" s="4">
        <v>3771542.7199999997</v>
      </c>
      <c r="AX125" s="4">
        <v>1764614.95</v>
      </c>
      <c r="AY125" s="4">
        <v>4206632.5</v>
      </c>
      <c r="AZ125" s="4">
        <v>9889319.1099999994</v>
      </c>
      <c r="BA125" s="4">
        <v>3950531.45</v>
      </c>
      <c r="BB125" s="4">
        <v>1747381.01</v>
      </c>
      <c r="BC125" s="4">
        <v>4316361.22</v>
      </c>
      <c r="BD125" s="4">
        <v>45345645.329999998</v>
      </c>
      <c r="BE125" s="4">
        <v>1712551.68</v>
      </c>
      <c r="BF125" s="4">
        <v>1288708.26</v>
      </c>
      <c r="BG125" s="4">
        <v>0</v>
      </c>
      <c r="BH125" s="4">
        <f t="shared" si="17"/>
        <v>680845131.81000018</v>
      </c>
    </row>
    <row r="126" spans="1:60" x14ac:dyDescent="0.2">
      <c r="A126" s="3">
        <v>42461</v>
      </c>
      <c r="B126" s="4">
        <v>19407478.370000001</v>
      </c>
      <c r="C126" s="4">
        <v>1378083.13</v>
      </c>
      <c r="D126" s="4">
        <v>9344972.4199999999</v>
      </c>
      <c r="E126" s="4">
        <v>2561456.9</v>
      </c>
      <c r="F126" s="4">
        <v>2696752.25</v>
      </c>
      <c r="G126" s="4">
        <v>4557591.84</v>
      </c>
      <c r="H126" s="4">
        <v>4375937.71</v>
      </c>
      <c r="I126" s="4">
        <v>1644772.17</v>
      </c>
      <c r="J126" s="4">
        <v>4196962.71</v>
      </c>
      <c r="K126" s="4">
        <v>2530326.15</v>
      </c>
      <c r="L126" s="4">
        <v>2189623.31</v>
      </c>
      <c r="M126" s="4">
        <v>1506492.41</v>
      </c>
      <c r="N126" s="4">
        <v>13196232.98</v>
      </c>
      <c r="O126" s="4">
        <v>54944286.32</v>
      </c>
      <c r="P126" s="4">
        <v>1832873.85</v>
      </c>
      <c r="Q126" s="4">
        <v>1529362.58</v>
      </c>
      <c r="R126" s="4">
        <v>1545351.17</v>
      </c>
      <c r="S126" s="4">
        <v>2847343.2</v>
      </c>
      <c r="T126" s="4">
        <v>2169565.89</v>
      </c>
      <c r="U126" s="4">
        <v>201843.33</v>
      </c>
      <c r="V126" s="4">
        <v>2299463.7599999998</v>
      </c>
      <c r="W126" s="4">
        <v>5554565.1600000001</v>
      </c>
      <c r="X126" s="4">
        <v>824601.46</v>
      </c>
      <c r="Y126" s="4">
        <v>2194226.9</v>
      </c>
      <c r="Z126" s="4">
        <v>2010206.02</v>
      </c>
      <c r="AA126" s="4">
        <v>35262198.759999998</v>
      </c>
      <c r="AB126" s="4">
        <v>2201902.15</v>
      </c>
      <c r="AC126" s="4">
        <v>84983605.290000007</v>
      </c>
      <c r="AD126" s="4">
        <v>9026288.5</v>
      </c>
      <c r="AE126" s="4">
        <v>10072052.619999999</v>
      </c>
      <c r="AF126" s="4">
        <v>26432975.719999999</v>
      </c>
      <c r="AG126" s="4">
        <v>6046176.3499999996</v>
      </c>
      <c r="AH126" s="4">
        <v>20058399.75</v>
      </c>
      <c r="AI126" s="4">
        <v>1177428.3700000001</v>
      </c>
      <c r="AJ126" s="4">
        <v>3272149.9</v>
      </c>
      <c r="AK126" s="4">
        <v>2522742.69</v>
      </c>
      <c r="AL126" s="4">
        <v>4354715.7699999996</v>
      </c>
      <c r="AM126" s="4">
        <v>6523930.4500000002</v>
      </c>
      <c r="AN126" s="4">
        <v>15464618.68</v>
      </c>
      <c r="AO126" s="4">
        <v>4313480.13</v>
      </c>
      <c r="AP126" s="4">
        <v>9004233.8900000006</v>
      </c>
      <c r="AQ126" s="4">
        <v>7496758.7599999998</v>
      </c>
      <c r="AR126" s="4">
        <v>1041542.16</v>
      </c>
      <c r="AS126" s="4">
        <v>673961.69</v>
      </c>
      <c r="AT126" s="4">
        <v>1750065.64</v>
      </c>
      <c r="AU126" s="4">
        <v>4003331.74</v>
      </c>
      <c r="AV126" s="4">
        <v>100891925.17</v>
      </c>
      <c r="AW126" s="4">
        <v>2660176.85</v>
      </c>
      <c r="AX126" s="4">
        <v>1559807.78</v>
      </c>
      <c r="AY126" s="4">
        <v>3837027.01</v>
      </c>
      <c r="AZ126" s="4">
        <v>8993241.2400000002</v>
      </c>
      <c r="BA126" s="4">
        <v>3620843.69</v>
      </c>
      <c r="BB126" s="4">
        <v>1471646.04</v>
      </c>
      <c r="BC126" s="4">
        <v>3075066.99</v>
      </c>
      <c r="BD126" s="4">
        <v>39366655.689999998</v>
      </c>
      <c r="BE126" s="4">
        <v>1272184.58</v>
      </c>
      <c r="BF126" s="4">
        <v>701486.15</v>
      </c>
      <c r="BG126" s="4">
        <v>0</v>
      </c>
      <c r="BH126" s="4">
        <f t="shared" si="17"/>
        <v>570672992.19000006</v>
      </c>
    </row>
    <row r="127" spans="1:60" x14ac:dyDescent="0.2">
      <c r="A127" s="3">
        <v>42491</v>
      </c>
      <c r="B127" s="4">
        <v>18962733.609999999</v>
      </c>
      <c r="C127" s="4">
        <v>1505930.11</v>
      </c>
      <c r="D127" s="4">
        <v>9220576.0299999993</v>
      </c>
      <c r="E127" s="4">
        <v>2661196.5299999998</v>
      </c>
      <c r="F127" s="4">
        <v>2635733.1</v>
      </c>
      <c r="G127" s="4">
        <v>4553424.29</v>
      </c>
      <c r="H127" s="4">
        <v>4386143.92</v>
      </c>
      <c r="I127" s="4">
        <v>1513286.05</v>
      </c>
      <c r="J127" s="4">
        <v>4033004.59</v>
      </c>
      <c r="K127" s="4">
        <v>2399431.14</v>
      </c>
      <c r="L127" s="4">
        <v>2101296.5299999998</v>
      </c>
      <c r="M127" s="4">
        <v>1518927.56</v>
      </c>
      <c r="N127" s="4">
        <v>12757254.34</v>
      </c>
      <c r="O127" s="4">
        <v>54216742.229999997</v>
      </c>
      <c r="P127" s="4">
        <v>1790105.99</v>
      </c>
      <c r="Q127" s="4">
        <v>1536459.2</v>
      </c>
      <c r="R127" s="4">
        <v>1450539.94</v>
      </c>
      <c r="S127" s="4">
        <v>2857388.5</v>
      </c>
      <c r="T127" s="4">
        <v>2232623.36</v>
      </c>
      <c r="U127" s="4">
        <v>195975.47</v>
      </c>
      <c r="V127" s="4">
        <v>2330632.08</v>
      </c>
      <c r="W127" s="4">
        <v>5617386.4500000002</v>
      </c>
      <c r="X127" s="4">
        <v>837949.04</v>
      </c>
      <c r="Y127" s="4">
        <v>2193210.0699999998</v>
      </c>
      <c r="Z127" s="4">
        <v>1965339.39</v>
      </c>
      <c r="AA127" s="4">
        <v>33970879.729999997</v>
      </c>
      <c r="AB127" s="4">
        <v>2159612.4500000002</v>
      </c>
      <c r="AC127" s="4">
        <v>82826763.209999993</v>
      </c>
      <c r="AD127" s="4">
        <v>8922406.0199999996</v>
      </c>
      <c r="AE127" s="4">
        <v>9619459.6500000004</v>
      </c>
      <c r="AF127" s="4">
        <v>25810610.09</v>
      </c>
      <c r="AG127" s="4">
        <v>5833719.7000000002</v>
      </c>
      <c r="AH127" s="4">
        <v>19760966.039999999</v>
      </c>
      <c r="AI127" s="4">
        <v>1142311.94</v>
      </c>
      <c r="AJ127" s="4">
        <v>3197373.56</v>
      </c>
      <c r="AK127" s="4">
        <v>2491072.2400000002</v>
      </c>
      <c r="AL127" s="4">
        <v>4070190.27</v>
      </c>
      <c r="AM127" s="4">
        <v>6064511.5099999998</v>
      </c>
      <c r="AN127" s="4">
        <v>15186680.140000001</v>
      </c>
      <c r="AO127" s="4">
        <v>4171161.12</v>
      </c>
      <c r="AP127" s="4">
        <v>8958854.1999999993</v>
      </c>
      <c r="AQ127" s="4">
        <v>7274610.5199999996</v>
      </c>
      <c r="AR127" s="4">
        <v>949026.04</v>
      </c>
      <c r="AS127" s="4">
        <v>649969.26</v>
      </c>
      <c r="AT127" s="4">
        <v>1700424.79</v>
      </c>
      <c r="AU127" s="4">
        <v>3913012.69</v>
      </c>
      <c r="AV127" s="4">
        <v>98056823.109999999</v>
      </c>
      <c r="AW127" s="4">
        <v>2565955.7000000002</v>
      </c>
      <c r="AX127" s="4">
        <v>1579859.07</v>
      </c>
      <c r="AY127" s="4">
        <v>3511571.29</v>
      </c>
      <c r="AZ127" s="4">
        <v>7544355.2699999996</v>
      </c>
      <c r="BA127" s="4">
        <v>3452609.8</v>
      </c>
      <c r="BB127" s="4">
        <v>1443324.51</v>
      </c>
      <c r="BC127" s="4">
        <v>3089508.75</v>
      </c>
      <c r="BD127" s="4">
        <v>38247168.579999998</v>
      </c>
      <c r="BE127" s="4">
        <v>1178417.74</v>
      </c>
      <c r="BF127" s="4">
        <v>682881.52</v>
      </c>
      <c r="BG127" s="4">
        <v>0</v>
      </c>
      <c r="BH127" s="4">
        <f t="shared" si="17"/>
        <v>555499380.02999985</v>
      </c>
    </row>
    <row r="128" spans="1:60" x14ac:dyDescent="0.2">
      <c r="A128" s="3">
        <v>42522</v>
      </c>
      <c r="B128" s="4">
        <v>26663994.120000001</v>
      </c>
      <c r="C128" s="4">
        <v>1613585.14</v>
      </c>
      <c r="D128" s="4">
        <v>11477471.189999998</v>
      </c>
      <c r="E128" s="4">
        <v>3382246</v>
      </c>
      <c r="F128" s="4">
        <v>3171837.33</v>
      </c>
      <c r="G128" s="4">
        <v>5893721.0899999999</v>
      </c>
      <c r="H128" s="4">
        <v>4899869.07</v>
      </c>
      <c r="I128" s="4">
        <v>2130383.33</v>
      </c>
      <c r="J128" s="4">
        <v>4722860.07</v>
      </c>
      <c r="K128" s="4">
        <v>4119033.38</v>
      </c>
      <c r="L128" s="4">
        <v>2577695.9700000002</v>
      </c>
      <c r="M128" s="4">
        <v>2237003.2799999998</v>
      </c>
      <c r="N128" s="4">
        <v>17578611.98</v>
      </c>
      <c r="O128" s="4">
        <v>73140977.079999998</v>
      </c>
      <c r="P128" s="4">
        <v>2723627.91</v>
      </c>
      <c r="Q128" s="4">
        <v>2039757.1099999999</v>
      </c>
      <c r="R128" s="4">
        <v>2249968.38</v>
      </c>
      <c r="S128" s="4">
        <v>3462321.5199999996</v>
      </c>
      <c r="T128" s="4">
        <v>3003089.36</v>
      </c>
      <c r="U128" s="4">
        <v>336587.06999999995</v>
      </c>
      <c r="V128" s="4">
        <v>2677934.2999999998</v>
      </c>
      <c r="W128" s="4">
        <v>7455503.0099999998</v>
      </c>
      <c r="X128" s="4">
        <v>1381075.62</v>
      </c>
      <c r="Y128" s="4">
        <v>3088301.29</v>
      </c>
      <c r="Z128" s="4">
        <v>2651583.63</v>
      </c>
      <c r="AA128" s="4">
        <v>49080691.079999998</v>
      </c>
      <c r="AB128" s="4">
        <v>2620907.81</v>
      </c>
      <c r="AC128" s="4">
        <v>109186213.45000002</v>
      </c>
      <c r="AD128" s="4">
        <v>11326781.130000001</v>
      </c>
      <c r="AE128" s="4">
        <v>13162676.84</v>
      </c>
      <c r="AF128" s="4">
        <v>31266755.129999999</v>
      </c>
      <c r="AG128" s="4">
        <v>7408641.29</v>
      </c>
      <c r="AH128" s="4">
        <v>26225888.670000002</v>
      </c>
      <c r="AI128" s="4">
        <v>1467812.25</v>
      </c>
      <c r="AJ128" s="4">
        <v>3919154.72</v>
      </c>
      <c r="AK128" s="4">
        <v>3744128.9799999995</v>
      </c>
      <c r="AL128" s="4">
        <v>6542526.5099999998</v>
      </c>
      <c r="AM128" s="4">
        <v>7390495.4699999988</v>
      </c>
      <c r="AN128" s="4">
        <v>21544930.539999999</v>
      </c>
      <c r="AO128" s="4">
        <v>5244174.4800000004</v>
      </c>
      <c r="AP128" s="4">
        <v>10498794.289999999</v>
      </c>
      <c r="AQ128" s="4">
        <v>9050913.7200000007</v>
      </c>
      <c r="AR128" s="4">
        <v>1738479.45</v>
      </c>
      <c r="AS128" s="4">
        <v>1102566.71</v>
      </c>
      <c r="AT128" s="4">
        <v>2113625.09</v>
      </c>
      <c r="AU128" s="4">
        <v>5132458.66</v>
      </c>
      <c r="AV128" s="4">
        <v>130373656.04000001</v>
      </c>
      <c r="AW128" s="4">
        <v>3854275.32</v>
      </c>
      <c r="AX128" s="4">
        <v>1778623.19</v>
      </c>
      <c r="AY128" s="4">
        <v>4769403.0199999996</v>
      </c>
      <c r="AZ128" s="4">
        <v>11144455.130000001</v>
      </c>
      <c r="BA128" s="4">
        <v>5194096.72</v>
      </c>
      <c r="BB128" s="4">
        <v>1918472.83</v>
      </c>
      <c r="BC128" s="4">
        <v>4134061.94</v>
      </c>
      <c r="BD128" s="4">
        <v>47806800.149999999</v>
      </c>
      <c r="BE128" s="4">
        <v>1799154.3000000003</v>
      </c>
      <c r="BF128" s="4">
        <v>1452592.87</v>
      </c>
      <c r="BG128" s="4">
        <v>0</v>
      </c>
      <c r="BH128" s="4">
        <f t="shared" si="17"/>
        <v>738673246.01000023</v>
      </c>
    </row>
    <row r="129" spans="1:60" x14ac:dyDescent="0.2">
      <c r="A129" s="3">
        <v>42552</v>
      </c>
      <c r="B129" s="4">
        <v>20169031</v>
      </c>
      <c r="C129" s="4">
        <v>1422589.38</v>
      </c>
      <c r="D129" s="4">
        <v>9937223.3200000003</v>
      </c>
      <c r="E129" s="4">
        <v>2869388.12</v>
      </c>
      <c r="F129" s="4">
        <v>2884028.54</v>
      </c>
      <c r="G129" s="4">
        <v>5061015.28</v>
      </c>
      <c r="H129" s="4">
        <v>4544004.87</v>
      </c>
      <c r="I129" s="4">
        <v>1680159.41</v>
      </c>
      <c r="J129" s="4">
        <v>4429780.9000000004</v>
      </c>
      <c r="K129" s="4">
        <v>2760987.05</v>
      </c>
      <c r="L129" s="4">
        <v>2218557.25</v>
      </c>
      <c r="M129" s="4">
        <v>1603594.78</v>
      </c>
      <c r="N129" s="4">
        <v>14153134.1</v>
      </c>
      <c r="O129" s="4">
        <v>59331219.219999999</v>
      </c>
      <c r="P129" s="4">
        <v>2650276.5299999998</v>
      </c>
      <c r="Q129" s="4">
        <v>1787737.72</v>
      </c>
      <c r="R129" s="4">
        <v>1679216.13</v>
      </c>
      <c r="S129" s="4">
        <v>3386955.4</v>
      </c>
      <c r="T129" s="4">
        <v>2565262.65</v>
      </c>
      <c r="U129" s="4">
        <v>429388.28</v>
      </c>
      <c r="V129" s="4">
        <v>2637365.7200000002</v>
      </c>
      <c r="W129" s="4">
        <v>6400893.2699999996</v>
      </c>
      <c r="X129" s="4">
        <v>878158.81</v>
      </c>
      <c r="Y129" s="4">
        <v>2427941.65</v>
      </c>
      <c r="Z129" s="4">
        <v>2077270.96</v>
      </c>
      <c r="AA129" s="4">
        <v>38325575.93</v>
      </c>
      <c r="AB129" s="4">
        <v>2267198.7799999998</v>
      </c>
      <c r="AC129" s="4">
        <v>88067760.469999999</v>
      </c>
      <c r="AD129" s="4">
        <v>9790904.8599999994</v>
      </c>
      <c r="AE129" s="4">
        <v>10514089.33</v>
      </c>
      <c r="AF129" s="4">
        <v>28062006.949999999</v>
      </c>
      <c r="AG129" s="4">
        <v>6616736.6799999997</v>
      </c>
      <c r="AH129" s="4">
        <v>21434266.739999998</v>
      </c>
      <c r="AI129" s="4">
        <v>1175506.4099999999</v>
      </c>
      <c r="AJ129" s="4">
        <v>3503780.23</v>
      </c>
      <c r="AK129" s="4">
        <v>3132377.97</v>
      </c>
      <c r="AL129" s="4">
        <v>4372322.37</v>
      </c>
      <c r="AM129" s="4">
        <v>6359407.3200000003</v>
      </c>
      <c r="AN129" s="4">
        <v>16242360.59</v>
      </c>
      <c r="AO129" s="4">
        <v>4289862.57</v>
      </c>
      <c r="AP129" s="4">
        <v>9580185.5899999999</v>
      </c>
      <c r="AQ129" s="4">
        <v>7661856.9299999997</v>
      </c>
      <c r="AR129" s="4">
        <v>1096307.8700000001</v>
      </c>
      <c r="AS129" s="4">
        <v>972727.64</v>
      </c>
      <c r="AT129" s="4">
        <v>1970580.42</v>
      </c>
      <c r="AU129" s="4">
        <v>4282645.12</v>
      </c>
      <c r="AV129" s="4">
        <v>111568820.26000001</v>
      </c>
      <c r="AW129" s="4">
        <v>3347682.95</v>
      </c>
      <c r="AX129" s="4">
        <v>1562964.99</v>
      </c>
      <c r="AY129" s="4">
        <v>4001350.9</v>
      </c>
      <c r="AZ129" s="4">
        <v>8699253.1400000006</v>
      </c>
      <c r="BA129" s="4">
        <v>5122395.12</v>
      </c>
      <c r="BB129" s="4">
        <v>1537654.41</v>
      </c>
      <c r="BC129" s="4">
        <v>3291615.26</v>
      </c>
      <c r="BD129" s="4">
        <v>40068533.399999999</v>
      </c>
      <c r="BE129" s="4">
        <v>1296857.1100000001</v>
      </c>
      <c r="BF129" s="4">
        <v>878853.17</v>
      </c>
      <c r="BG129" s="4">
        <v>0</v>
      </c>
      <c r="BH129" s="4">
        <f t="shared" si="17"/>
        <v>611079621.81999993</v>
      </c>
    </row>
    <row r="130" spans="1:60" x14ac:dyDescent="0.2">
      <c r="A130" s="3">
        <v>42583</v>
      </c>
      <c r="B130" s="4">
        <v>18907269.050000001</v>
      </c>
      <c r="C130" s="4">
        <v>1628979.97</v>
      </c>
      <c r="D130" s="4">
        <v>9330161.4800000004</v>
      </c>
      <c r="E130" s="4">
        <v>2739383.77</v>
      </c>
      <c r="F130" s="4">
        <v>2767858.9</v>
      </c>
      <c r="G130" s="4">
        <v>5085842.33</v>
      </c>
      <c r="H130" s="4">
        <v>4335436.1100000003</v>
      </c>
      <c r="I130" s="4">
        <v>1628221.02</v>
      </c>
      <c r="J130" s="4">
        <v>4232612.79</v>
      </c>
      <c r="K130" s="4">
        <v>2758532.38</v>
      </c>
      <c r="L130" s="4">
        <v>2085412.75</v>
      </c>
      <c r="M130" s="4">
        <v>1633404.51</v>
      </c>
      <c r="N130" s="4">
        <v>11956863.609999999</v>
      </c>
      <c r="O130" s="4">
        <v>59071409.100000001</v>
      </c>
      <c r="P130" s="4">
        <v>2619642.35</v>
      </c>
      <c r="Q130" s="4">
        <v>1709855.75</v>
      </c>
      <c r="R130" s="4">
        <v>1621528.83</v>
      </c>
      <c r="S130" s="4">
        <v>3327689.03</v>
      </c>
      <c r="T130" s="4">
        <v>2486442.33</v>
      </c>
      <c r="U130" s="4">
        <v>355842.57</v>
      </c>
      <c r="V130" s="4">
        <v>2570427.88</v>
      </c>
      <c r="W130" s="4">
        <v>5981942.5199999996</v>
      </c>
      <c r="X130" s="4">
        <v>844608.06</v>
      </c>
      <c r="Y130" s="4">
        <v>2436223.0099999998</v>
      </c>
      <c r="Z130" s="4">
        <v>1976016.47</v>
      </c>
      <c r="AA130" s="4">
        <v>37171370.640000001</v>
      </c>
      <c r="AB130" s="4">
        <v>2164266.83</v>
      </c>
      <c r="AC130" s="4">
        <v>84138051.159999996</v>
      </c>
      <c r="AD130" s="4">
        <v>9444290.1400000006</v>
      </c>
      <c r="AE130" s="4">
        <v>10006147.52</v>
      </c>
      <c r="AF130" s="4">
        <v>26660043.41</v>
      </c>
      <c r="AG130" s="4">
        <v>6451753.3399999999</v>
      </c>
      <c r="AH130" s="4">
        <v>20558035.530000001</v>
      </c>
      <c r="AI130" s="4">
        <v>1206436.1200000001</v>
      </c>
      <c r="AJ130" s="4">
        <v>3294979.91</v>
      </c>
      <c r="AK130" s="4">
        <v>3125999.29</v>
      </c>
      <c r="AL130" s="4">
        <v>4286170.08</v>
      </c>
      <c r="AM130" s="4">
        <v>6273855.46</v>
      </c>
      <c r="AN130" s="4">
        <v>15412708.869999999</v>
      </c>
      <c r="AO130" s="4">
        <v>4167957.09</v>
      </c>
      <c r="AP130" s="4">
        <v>9385617.0999999996</v>
      </c>
      <c r="AQ130" s="4">
        <v>7405812.2199999997</v>
      </c>
      <c r="AR130" s="4">
        <v>1094022.6100000001</v>
      </c>
      <c r="AS130" s="4">
        <v>948869.79</v>
      </c>
      <c r="AT130" s="4">
        <v>1912642.66</v>
      </c>
      <c r="AU130" s="4">
        <v>4217374.66</v>
      </c>
      <c r="AV130" s="4">
        <v>106128717</v>
      </c>
      <c r="AW130" s="4">
        <v>3270234.3</v>
      </c>
      <c r="AX130" s="4">
        <v>1513661.15</v>
      </c>
      <c r="AY130" s="4">
        <v>3808120.33</v>
      </c>
      <c r="AZ130" s="4">
        <v>8480283.7400000002</v>
      </c>
      <c r="BA130" s="4">
        <v>5016486.6900000004</v>
      </c>
      <c r="BB130" s="4">
        <v>1537821.88</v>
      </c>
      <c r="BC130" s="4">
        <v>3265906.79</v>
      </c>
      <c r="BD130" s="4">
        <v>39081790.840000004</v>
      </c>
      <c r="BE130" s="4">
        <v>1408169.15</v>
      </c>
      <c r="BF130" s="4">
        <v>834915.55</v>
      </c>
      <c r="BG130" s="4">
        <v>0</v>
      </c>
      <c r="BH130" s="4">
        <f t="shared" si="17"/>
        <v>587764118.42000008</v>
      </c>
    </row>
    <row r="131" spans="1:60" x14ac:dyDescent="0.2">
      <c r="A131" s="3">
        <v>42614</v>
      </c>
      <c r="B131" s="4">
        <v>26201387.899999999</v>
      </c>
      <c r="C131" s="4">
        <v>2180380.33</v>
      </c>
      <c r="D131" s="4">
        <v>12150623.49</v>
      </c>
      <c r="E131" s="4">
        <v>3685503.38</v>
      </c>
      <c r="F131" s="4">
        <v>3708831.62</v>
      </c>
      <c r="G131" s="4">
        <v>7397515.3600000003</v>
      </c>
      <c r="H131" s="4">
        <v>5204830.1100000003</v>
      </c>
      <c r="I131" s="4">
        <v>2191234.63</v>
      </c>
      <c r="J131" s="4">
        <v>5144983.68</v>
      </c>
      <c r="K131" s="4">
        <v>4538007.76</v>
      </c>
      <c r="L131" s="4">
        <v>2811510.57</v>
      </c>
      <c r="M131" s="4">
        <v>3495001.23</v>
      </c>
      <c r="N131" s="4">
        <v>20913249.07</v>
      </c>
      <c r="O131" s="4">
        <v>74432346.430000007</v>
      </c>
      <c r="P131" s="4">
        <v>3609176.08</v>
      </c>
      <c r="Q131" s="4">
        <v>2564238.14</v>
      </c>
      <c r="R131" s="4">
        <v>2277960.35</v>
      </c>
      <c r="S131" s="4">
        <v>3649702.55</v>
      </c>
      <c r="T131" s="4">
        <v>3175526.81</v>
      </c>
      <c r="U131" s="4">
        <v>608066.74</v>
      </c>
      <c r="V131" s="4">
        <v>3159344.83</v>
      </c>
      <c r="W131" s="4">
        <v>8261570.0999999996</v>
      </c>
      <c r="X131" s="4">
        <v>1441938.81</v>
      </c>
      <c r="Y131" s="4">
        <v>3419924.24</v>
      </c>
      <c r="Z131" s="4">
        <v>2843052.55</v>
      </c>
      <c r="AA131" s="4">
        <v>45892576.5</v>
      </c>
      <c r="AB131" s="4">
        <v>3112594.81</v>
      </c>
      <c r="AC131" s="4">
        <v>116952180.95</v>
      </c>
      <c r="AD131" s="4">
        <v>11832976.640000001</v>
      </c>
      <c r="AE131" s="4">
        <v>14273746.890000001</v>
      </c>
      <c r="AF131" s="4">
        <v>31031404.73</v>
      </c>
      <c r="AG131" s="4">
        <v>7940277.4299999997</v>
      </c>
      <c r="AH131" s="4">
        <v>27406684.48</v>
      </c>
      <c r="AI131" s="4">
        <v>1609702.21</v>
      </c>
      <c r="AJ131" s="4">
        <v>4206753.32</v>
      </c>
      <c r="AK131" s="4">
        <v>4610964.2300000004</v>
      </c>
      <c r="AL131" s="4">
        <v>6377884.1200000001</v>
      </c>
      <c r="AM131" s="4">
        <v>8413036.8900000006</v>
      </c>
      <c r="AN131" s="4">
        <v>20335542.870000001</v>
      </c>
      <c r="AO131" s="4">
        <v>5987456.0999999996</v>
      </c>
      <c r="AP131" s="4">
        <v>12862104.17</v>
      </c>
      <c r="AQ131" s="4">
        <v>9085566.8000000007</v>
      </c>
      <c r="AR131" s="4">
        <v>1780980.89</v>
      </c>
      <c r="AS131" s="4">
        <v>1407857.59</v>
      </c>
      <c r="AT131" s="4">
        <v>2689559.66</v>
      </c>
      <c r="AU131" s="4">
        <v>5831489.2000000002</v>
      </c>
      <c r="AV131" s="4">
        <v>146808578.24000001</v>
      </c>
      <c r="AW131" s="4">
        <v>6267498.6299999999</v>
      </c>
      <c r="AX131" s="4">
        <v>1917187.68</v>
      </c>
      <c r="AY131" s="4">
        <v>5142747.7699999996</v>
      </c>
      <c r="AZ131" s="4">
        <v>12475797.09</v>
      </c>
      <c r="BA131" s="4">
        <v>6116636.4000000004</v>
      </c>
      <c r="BB131" s="4">
        <v>1922390.11</v>
      </c>
      <c r="BC131" s="4">
        <v>4650836.97</v>
      </c>
      <c r="BD131" s="4">
        <v>46227942.810000002</v>
      </c>
      <c r="BE131" s="4">
        <v>1835985.97</v>
      </c>
      <c r="BF131" s="4">
        <v>1478600.25</v>
      </c>
      <c r="BG131" s="4">
        <v>0</v>
      </c>
      <c r="BH131" s="4">
        <f t="shared" si="17"/>
        <v>787551449.16000009</v>
      </c>
    </row>
    <row r="132" spans="1:60" x14ac:dyDescent="0.2">
      <c r="A132" s="3">
        <v>42644</v>
      </c>
      <c r="B132" s="4">
        <v>19626168.140000001</v>
      </c>
      <c r="C132" s="4">
        <v>1458926.57</v>
      </c>
      <c r="D132" s="4">
        <v>9469750.8100000005</v>
      </c>
      <c r="E132" s="4">
        <v>2580557.39</v>
      </c>
      <c r="F132" s="4">
        <v>2539483.4</v>
      </c>
      <c r="G132" s="4">
        <v>4286649.87</v>
      </c>
      <c r="H132" s="4">
        <v>4245190.74</v>
      </c>
      <c r="I132" s="4">
        <v>1536942.67</v>
      </c>
      <c r="J132" s="4">
        <v>4046836.93</v>
      </c>
      <c r="K132" s="4">
        <v>2704739.88</v>
      </c>
      <c r="L132" s="4">
        <v>1989624.56</v>
      </c>
      <c r="M132" s="4">
        <v>1566383.24</v>
      </c>
      <c r="N132" s="4">
        <v>13997985.130000001</v>
      </c>
      <c r="O132" s="4">
        <v>57348830.990000002</v>
      </c>
      <c r="P132" s="4">
        <v>2011919.39</v>
      </c>
      <c r="Q132" s="4">
        <v>1647577.17</v>
      </c>
      <c r="R132" s="4">
        <v>1279680.3700000001</v>
      </c>
      <c r="S132" s="4">
        <v>2861606.55</v>
      </c>
      <c r="T132" s="4">
        <v>2193419.4300000002</v>
      </c>
      <c r="U132" s="4">
        <v>250847.4</v>
      </c>
      <c r="V132" s="4">
        <v>2160768.35</v>
      </c>
      <c r="W132" s="4">
        <v>5396523.4299999997</v>
      </c>
      <c r="X132" s="4">
        <v>778527.77</v>
      </c>
      <c r="Y132" s="4">
        <v>2238333.67</v>
      </c>
      <c r="Z132" s="4">
        <v>1919560.2</v>
      </c>
      <c r="AA132" s="4">
        <v>35821851.560000002</v>
      </c>
      <c r="AB132" s="4">
        <v>2136118.44</v>
      </c>
      <c r="AC132" s="4">
        <v>85868251.400000006</v>
      </c>
      <c r="AD132" s="4">
        <v>8897042.9299999997</v>
      </c>
      <c r="AE132" s="4">
        <v>9815511.5500000007</v>
      </c>
      <c r="AF132" s="4">
        <v>26533585.41</v>
      </c>
      <c r="AG132" s="4">
        <v>6214386.0499999998</v>
      </c>
      <c r="AH132" s="4">
        <v>21301800.93</v>
      </c>
      <c r="AI132" s="4">
        <v>1109429.8600000001</v>
      </c>
      <c r="AJ132" s="4">
        <v>3085956.01</v>
      </c>
      <c r="AK132" s="4">
        <v>2552821.96</v>
      </c>
      <c r="AL132" s="4">
        <v>4555007.8</v>
      </c>
      <c r="AM132" s="4">
        <v>6240273.6900000004</v>
      </c>
      <c r="AN132" s="4">
        <v>15279184.27</v>
      </c>
      <c r="AO132" s="4">
        <v>4159023.32</v>
      </c>
      <c r="AP132" s="4">
        <v>9066784.5800000001</v>
      </c>
      <c r="AQ132" s="4">
        <v>7317435.2800000003</v>
      </c>
      <c r="AR132" s="4">
        <v>1017242.27</v>
      </c>
      <c r="AS132" s="4">
        <v>636397.25</v>
      </c>
      <c r="AT132" s="4">
        <v>1810874.37</v>
      </c>
      <c r="AU132" s="4">
        <v>3842301.03</v>
      </c>
      <c r="AV132" s="4">
        <v>99374786.260000005</v>
      </c>
      <c r="AW132" s="4">
        <v>2545211.2400000002</v>
      </c>
      <c r="AX132" s="4">
        <v>1519613.71</v>
      </c>
      <c r="AY132" s="4">
        <v>3809506.78</v>
      </c>
      <c r="AZ132" s="4">
        <v>8308356.2400000002</v>
      </c>
      <c r="BA132" s="4">
        <v>3756841.19</v>
      </c>
      <c r="BB132" s="4">
        <v>1574081.63</v>
      </c>
      <c r="BC132" s="4">
        <v>3044012.53</v>
      </c>
      <c r="BD132" s="4">
        <v>40724262.799999997</v>
      </c>
      <c r="BE132" s="4">
        <v>1245125.6200000001</v>
      </c>
      <c r="BF132" s="4">
        <v>785718.91</v>
      </c>
      <c r="BG132" s="4">
        <v>0</v>
      </c>
      <c r="BH132" s="4">
        <f t="shared" si="17"/>
        <v>574085630.91999984</v>
      </c>
    </row>
    <row r="133" spans="1:60" x14ac:dyDescent="0.2">
      <c r="A133" s="3">
        <v>42675</v>
      </c>
      <c r="B133" s="4">
        <v>20388320.079999998</v>
      </c>
      <c r="C133" s="4">
        <v>1369540.66</v>
      </c>
      <c r="D133" s="4">
        <v>9755303.4900000002</v>
      </c>
      <c r="E133" s="4">
        <v>2690832.08</v>
      </c>
      <c r="F133" s="4">
        <v>2690918.36</v>
      </c>
      <c r="G133" s="4">
        <v>4805277.63</v>
      </c>
      <c r="H133" s="4">
        <v>4676585.28</v>
      </c>
      <c r="I133" s="4">
        <v>1647409.28</v>
      </c>
      <c r="J133" s="4">
        <v>4247185.83</v>
      </c>
      <c r="K133" s="4">
        <v>2612838.7400000002</v>
      </c>
      <c r="L133" s="4">
        <v>2137555.19</v>
      </c>
      <c r="M133" s="4">
        <v>1433507.37</v>
      </c>
      <c r="N133" s="4">
        <v>13831518.77</v>
      </c>
      <c r="O133" s="4">
        <v>59345063.439999998</v>
      </c>
      <c r="P133" s="4">
        <v>2018429.56</v>
      </c>
      <c r="Q133" s="4">
        <v>1603128.17</v>
      </c>
      <c r="R133" s="4">
        <v>1371799.74</v>
      </c>
      <c r="S133" s="4">
        <v>2970509.69</v>
      </c>
      <c r="T133" s="4">
        <v>2218754.83</v>
      </c>
      <c r="U133" s="4">
        <v>244005.33</v>
      </c>
      <c r="V133" s="4">
        <v>2254383.6800000002</v>
      </c>
      <c r="W133" s="4">
        <v>5648129.3099999996</v>
      </c>
      <c r="X133" s="4">
        <v>848595.08</v>
      </c>
      <c r="Y133" s="4">
        <v>2242696.4300000002</v>
      </c>
      <c r="Z133" s="4">
        <v>1896706.24</v>
      </c>
      <c r="AA133" s="4">
        <v>36306739.329999998</v>
      </c>
      <c r="AB133" s="4">
        <v>2184585.77</v>
      </c>
      <c r="AC133" s="4">
        <v>87010907.769999996</v>
      </c>
      <c r="AD133" s="4">
        <v>8942688.8200000003</v>
      </c>
      <c r="AE133" s="4">
        <v>10198646.24</v>
      </c>
      <c r="AF133" s="4">
        <v>26985432.789999999</v>
      </c>
      <c r="AG133" s="4">
        <v>6585449.3300000001</v>
      </c>
      <c r="AH133" s="4">
        <v>21200628.969999999</v>
      </c>
      <c r="AI133" s="4">
        <v>1134437.52</v>
      </c>
      <c r="AJ133" s="4">
        <v>3055260.95</v>
      </c>
      <c r="AK133" s="4">
        <v>2679720.69</v>
      </c>
      <c r="AL133" s="4">
        <v>4407709.28</v>
      </c>
      <c r="AM133" s="4">
        <v>6299441.1500000004</v>
      </c>
      <c r="AN133" s="4">
        <v>15683465</v>
      </c>
      <c r="AO133" s="4">
        <v>4189122.32</v>
      </c>
      <c r="AP133" s="4">
        <v>9238324.9800000004</v>
      </c>
      <c r="AQ133" s="4">
        <v>7212674.3300000001</v>
      </c>
      <c r="AR133" s="4">
        <v>1164990.5900000001</v>
      </c>
      <c r="AS133" s="4">
        <v>742265.29</v>
      </c>
      <c r="AT133" s="4">
        <v>1867946.16</v>
      </c>
      <c r="AU133" s="4">
        <v>4008936.85</v>
      </c>
      <c r="AV133" s="4">
        <v>99531748.370000005</v>
      </c>
      <c r="AW133" s="4">
        <v>2589421.5299999998</v>
      </c>
      <c r="AX133" s="4">
        <v>1455204.18</v>
      </c>
      <c r="AY133" s="4">
        <v>3806381.75</v>
      </c>
      <c r="AZ133" s="4">
        <v>8405684.0600000005</v>
      </c>
      <c r="BA133" s="4">
        <v>3991336.1</v>
      </c>
      <c r="BB133" s="4">
        <v>1477579.26</v>
      </c>
      <c r="BC133" s="4">
        <v>3080544.79</v>
      </c>
      <c r="BD133" s="4">
        <v>40041594.159999996</v>
      </c>
      <c r="BE133" s="4">
        <v>1183538.76</v>
      </c>
      <c r="BF133" s="4">
        <v>765733.69</v>
      </c>
      <c r="BG133" s="4">
        <v>0</v>
      </c>
      <c r="BH133" s="4">
        <f t="shared" si="17"/>
        <v>582377135.04000008</v>
      </c>
    </row>
    <row r="134" spans="1:60" x14ac:dyDescent="0.2">
      <c r="A134" s="3">
        <v>42705</v>
      </c>
      <c r="B134" s="4">
        <v>25158191.420000002</v>
      </c>
      <c r="C134" s="4">
        <v>2144474.37</v>
      </c>
      <c r="D134" s="4">
        <v>11481455.689999999</v>
      </c>
      <c r="E134" s="4">
        <v>3480944.1400000006</v>
      </c>
      <c r="F134" s="4">
        <v>3075522.76</v>
      </c>
      <c r="G134" s="4">
        <v>5995548.8899999997</v>
      </c>
      <c r="H134" s="4">
        <v>4819334.59</v>
      </c>
      <c r="I134" s="4">
        <v>2112189.15</v>
      </c>
      <c r="J134" s="4">
        <v>4980283.8600000003</v>
      </c>
      <c r="K134" s="4">
        <v>4036089.51</v>
      </c>
      <c r="L134" s="4">
        <v>2500236.23</v>
      </c>
      <c r="M134" s="4">
        <v>2240716.9</v>
      </c>
      <c r="N134" s="4">
        <v>17384504.899999999</v>
      </c>
      <c r="O134" s="4">
        <v>72323714.840000004</v>
      </c>
      <c r="P134" s="4">
        <v>2975773.38</v>
      </c>
      <c r="Q134" s="4">
        <v>2136554.09</v>
      </c>
      <c r="R134" s="4">
        <v>2038243.48</v>
      </c>
      <c r="S134" s="4">
        <v>3321704.26</v>
      </c>
      <c r="T134" s="4">
        <v>3240488.13</v>
      </c>
      <c r="U134" s="4">
        <v>348957.61</v>
      </c>
      <c r="V134" s="4">
        <v>2601021.13</v>
      </c>
      <c r="W134" s="4">
        <v>7301041.8700000001</v>
      </c>
      <c r="X134" s="4">
        <v>1115013.96</v>
      </c>
      <c r="Y134" s="4">
        <v>3160804.89</v>
      </c>
      <c r="Z134" s="4">
        <v>2750151.92</v>
      </c>
      <c r="AA134" s="4">
        <v>46996154.159999996</v>
      </c>
      <c r="AB134" s="4">
        <v>2520505.61</v>
      </c>
      <c r="AC134" s="4">
        <v>118550074.38</v>
      </c>
      <c r="AD134" s="4">
        <v>11510766.789999999</v>
      </c>
      <c r="AE134" s="4">
        <v>13408623.35</v>
      </c>
      <c r="AF134" s="4">
        <v>31712142.98</v>
      </c>
      <c r="AG134" s="4">
        <v>7364933.4199999999</v>
      </c>
      <c r="AH134" s="4">
        <v>27644542.940000005</v>
      </c>
      <c r="AI134" s="4">
        <v>1602127.9</v>
      </c>
      <c r="AJ134" s="4">
        <v>4286808.28</v>
      </c>
      <c r="AK134" s="4">
        <v>3386357.1999999997</v>
      </c>
      <c r="AL134" s="4">
        <v>6092242.0300000003</v>
      </c>
      <c r="AM134" s="4">
        <v>8227088.3099999996</v>
      </c>
      <c r="AN134" s="4">
        <v>20740963.559999999</v>
      </c>
      <c r="AO134" s="4">
        <v>4798193.5299999993</v>
      </c>
      <c r="AP134" s="4">
        <v>11157085.640000001</v>
      </c>
      <c r="AQ134" s="4">
        <v>9014235.4700000025</v>
      </c>
      <c r="AR134" s="4">
        <v>1700696.4099999997</v>
      </c>
      <c r="AS134" s="4">
        <v>1101436.71</v>
      </c>
      <c r="AT134" s="4">
        <v>2347425.58</v>
      </c>
      <c r="AU134" s="4">
        <v>5084019.6500000004</v>
      </c>
      <c r="AV134" s="4">
        <v>137860746.55000001</v>
      </c>
      <c r="AW134" s="4">
        <v>3929146.4799999995</v>
      </c>
      <c r="AX134" s="4">
        <v>1915436.58</v>
      </c>
      <c r="AY134" s="4">
        <v>4871874.33</v>
      </c>
      <c r="AZ134" s="4">
        <v>12466248.039999999</v>
      </c>
      <c r="BA134" s="4">
        <v>4365879.9800000004</v>
      </c>
      <c r="BB134" s="4">
        <v>1855837.4899999998</v>
      </c>
      <c r="BC134" s="4">
        <v>3906341.09</v>
      </c>
      <c r="BD134" s="4">
        <v>51355703.179999992</v>
      </c>
      <c r="BE134" s="4">
        <v>1933384.08</v>
      </c>
      <c r="BF134" s="4">
        <v>1476204.37</v>
      </c>
      <c r="BG134" s="4">
        <v>0</v>
      </c>
      <c r="BH134" s="4">
        <f t="shared" si="17"/>
        <v>757906188.04000008</v>
      </c>
    </row>
    <row r="135" spans="1:60" ht="15.75" thickBot="1" x14ac:dyDescent="0.25">
      <c r="A135" s="3" t="s">
        <v>171</v>
      </c>
      <c r="B135" s="5">
        <f>SUM(B123:B134)</f>
        <v>257584454.86000001</v>
      </c>
      <c r="C135" s="5">
        <f t="shared" ref="C135:BH135" si="18">SUM(C123:C134)</f>
        <v>19260102.520000003</v>
      </c>
      <c r="D135" s="5">
        <f t="shared" si="18"/>
        <v>121136385.23999999</v>
      </c>
      <c r="E135" s="5">
        <f t="shared" si="18"/>
        <v>35172742.039999999</v>
      </c>
      <c r="F135" s="5">
        <f t="shared" si="18"/>
        <v>33883827.029999994</v>
      </c>
      <c r="G135" s="5">
        <f t="shared" si="18"/>
        <v>61678461.939999998</v>
      </c>
      <c r="H135" s="5">
        <f t="shared" si="18"/>
        <v>55276035.290000007</v>
      </c>
      <c r="I135" s="5">
        <f t="shared" si="18"/>
        <v>21077374.009999998</v>
      </c>
      <c r="J135" s="5">
        <f t="shared" si="18"/>
        <v>51372011.82</v>
      </c>
      <c r="K135" s="5">
        <f t="shared" si="18"/>
        <v>37056951.419999994</v>
      </c>
      <c r="L135" s="5">
        <f t="shared" si="18"/>
        <v>27354924.650000002</v>
      </c>
      <c r="M135" s="5">
        <f t="shared" si="18"/>
        <v>21766272.689999998</v>
      </c>
      <c r="N135" s="5">
        <f t="shared" si="18"/>
        <v>178056623.69000003</v>
      </c>
      <c r="O135" s="5">
        <f t="shared" si="18"/>
        <v>740553552.18000019</v>
      </c>
      <c r="P135" s="5">
        <f t="shared" si="18"/>
        <v>28106943.299999997</v>
      </c>
      <c r="Q135" s="5">
        <f t="shared" si="18"/>
        <v>21287199.140000004</v>
      </c>
      <c r="R135" s="5">
        <f t="shared" si="18"/>
        <v>19942902.43</v>
      </c>
      <c r="S135" s="5">
        <f t="shared" si="18"/>
        <v>37040249.850000001</v>
      </c>
      <c r="T135" s="5">
        <f t="shared" si="18"/>
        <v>30096608.02</v>
      </c>
      <c r="U135" s="5">
        <f t="shared" si="18"/>
        <v>3594005.79</v>
      </c>
      <c r="V135" s="5">
        <f t="shared" si="18"/>
        <v>29354954.309999999</v>
      </c>
      <c r="W135" s="5">
        <f t="shared" si="18"/>
        <v>73630440.170000002</v>
      </c>
      <c r="X135" s="5">
        <f t="shared" si="18"/>
        <v>11409236.449999999</v>
      </c>
      <c r="Y135" s="5">
        <f t="shared" si="18"/>
        <v>30167805.82</v>
      </c>
      <c r="Z135" s="5">
        <f t="shared" si="18"/>
        <v>26128953.969999999</v>
      </c>
      <c r="AA135" s="5">
        <f t="shared" si="18"/>
        <v>469090254.25</v>
      </c>
      <c r="AB135" s="5">
        <f t="shared" si="18"/>
        <v>27806148.720000003</v>
      </c>
      <c r="AC135" s="5">
        <f t="shared" si="18"/>
        <v>1128090482</v>
      </c>
      <c r="AD135" s="5">
        <f t="shared" si="18"/>
        <v>116399679.37999997</v>
      </c>
      <c r="AE135" s="5">
        <f t="shared" si="18"/>
        <v>132157216.91999997</v>
      </c>
      <c r="AF135" s="5">
        <f t="shared" si="18"/>
        <v>332687294.41000003</v>
      </c>
      <c r="AG135" s="5">
        <f t="shared" si="18"/>
        <v>79142082.410000011</v>
      </c>
      <c r="AH135" s="5">
        <f t="shared" si="18"/>
        <v>265990693.28</v>
      </c>
      <c r="AI135" s="5">
        <f t="shared" si="18"/>
        <v>15287528.950000001</v>
      </c>
      <c r="AJ135" s="5">
        <f t="shared" si="18"/>
        <v>41139236.910000004</v>
      </c>
      <c r="AK135" s="5">
        <f t="shared" si="18"/>
        <v>35974103.32</v>
      </c>
      <c r="AL135" s="5">
        <f t="shared" si="18"/>
        <v>59055082.649999999</v>
      </c>
      <c r="AM135" s="5">
        <f t="shared" si="18"/>
        <v>80450326.299999997</v>
      </c>
      <c r="AN135" s="5">
        <f t="shared" si="18"/>
        <v>205084408.91000003</v>
      </c>
      <c r="AO135" s="5">
        <f t="shared" si="18"/>
        <v>53702359.610000007</v>
      </c>
      <c r="AP135" s="5">
        <f t="shared" si="18"/>
        <v>116962670.58</v>
      </c>
      <c r="AQ135" s="5">
        <f t="shared" si="18"/>
        <v>94296355.530000001</v>
      </c>
      <c r="AR135" s="5">
        <f t="shared" si="18"/>
        <v>14637914.640000001</v>
      </c>
      <c r="AS135" s="5">
        <f t="shared" si="18"/>
        <v>10322742.93</v>
      </c>
      <c r="AT135" s="5">
        <f t="shared" si="18"/>
        <v>23210683.880000003</v>
      </c>
      <c r="AU135" s="5">
        <f t="shared" si="18"/>
        <v>51927644.050000004</v>
      </c>
      <c r="AV135" s="5">
        <f t="shared" si="18"/>
        <v>1333699819.8900001</v>
      </c>
      <c r="AW135" s="5">
        <f t="shared" si="18"/>
        <v>39168924.669999994</v>
      </c>
      <c r="AX135" s="5">
        <f t="shared" si="18"/>
        <v>19409433.020000003</v>
      </c>
      <c r="AY135" s="5">
        <f t="shared" si="18"/>
        <v>48257267.409999996</v>
      </c>
      <c r="AZ135" s="5">
        <f t="shared" si="18"/>
        <v>111489262.98000002</v>
      </c>
      <c r="BA135" s="5">
        <f t="shared" si="18"/>
        <v>51024412.900000006</v>
      </c>
      <c r="BB135" s="5">
        <f t="shared" si="18"/>
        <v>19246144.949999999</v>
      </c>
      <c r="BC135" s="5">
        <f t="shared" si="18"/>
        <v>41142229.629999995</v>
      </c>
      <c r="BD135" s="5">
        <f t="shared" si="18"/>
        <v>505878099.60999995</v>
      </c>
      <c r="BE135" s="5">
        <f t="shared" si="18"/>
        <v>16695292</v>
      </c>
      <c r="BF135" s="5">
        <f t="shared" si="18"/>
        <v>11485327.969999999</v>
      </c>
      <c r="BG135" s="5">
        <f t="shared" si="18"/>
        <v>0</v>
      </c>
      <c r="BH135" s="5">
        <f t="shared" si="18"/>
        <v>7522900143.29</v>
      </c>
    </row>
    <row r="136" spans="1:60" ht="15.75" thickTop="1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</row>
    <row r="137" spans="1:60" x14ac:dyDescent="0.2">
      <c r="A137" s="3">
        <v>42005</v>
      </c>
      <c r="B137" s="4">
        <v>20855748.670000002</v>
      </c>
      <c r="C137" s="4">
        <v>1502063.72</v>
      </c>
      <c r="D137" s="4">
        <v>9957098.5199999996</v>
      </c>
      <c r="E137" s="4">
        <v>3017171.05</v>
      </c>
      <c r="F137" s="4">
        <v>2710467.53</v>
      </c>
      <c r="G137" s="4">
        <v>4080198.45</v>
      </c>
      <c r="H137" s="4">
        <v>5094596</v>
      </c>
      <c r="I137" s="4">
        <v>1612226.02</v>
      </c>
      <c r="J137" s="4">
        <v>4124223.14</v>
      </c>
      <c r="K137" s="4">
        <v>2464151.15</v>
      </c>
      <c r="L137" s="4">
        <v>2273686.5099999998</v>
      </c>
      <c r="M137" s="4">
        <v>1608002.96</v>
      </c>
      <c r="N137" s="4">
        <v>13115530.439999999</v>
      </c>
      <c r="O137" s="4">
        <v>60737232.649999999</v>
      </c>
      <c r="P137" s="4">
        <v>2004451.51</v>
      </c>
      <c r="Q137" s="4">
        <v>1691199.4</v>
      </c>
      <c r="R137" s="4">
        <v>1452311.59</v>
      </c>
      <c r="S137" s="4">
        <v>2645765.0699999998</v>
      </c>
      <c r="T137" s="4">
        <v>2074484.51</v>
      </c>
      <c r="U137" s="4">
        <v>202820.49</v>
      </c>
      <c r="V137" s="4">
        <v>2111328.37</v>
      </c>
      <c r="W137" s="4">
        <v>5255146.1100000003</v>
      </c>
      <c r="X137" s="4">
        <v>855292.04</v>
      </c>
      <c r="Y137" s="4">
        <v>2165853.9900000002</v>
      </c>
      <c r="Z137" s="4">
        <v>1870950.89</v>
      </c>
      <c r="AA137" s="4">
        <v>37073477.810000002</v>
      </c>
      <c r="AB137" s="4">
        <v>2086319.87</v>
      </c>
      <c r="AC137" s="4">
        <v>90639827.950000003</v>
      </c>
      <c r="AD137" s="4">
        <v>9321509.4900000002</v>
      </c>
      <c r="AE137" s="4">
        <v>10686159.880000001</v>
      </c>
      <c r="AF137" s="4">
        <v>27224997.23</v>
      </c>
      <c r="AG137" s="4">
        <v>6262389.0800000001</v>
      </c>
      <c r="AH137" s="4">
        <v>20863977.449999999</v>
      </c>
      <c r="AI137" s="4">
        <v>1211142.96</v>
      </c>
      <c r="AJ137" s="4">
        <v>3169488.66</v>
      </c>
      <c r="AK137" s="4">
        <v>2444559.5699999998</v>
      </c>
      <c r="AL137" s="4">
        <v>4117954.66</v>
      </c>
      <c r="AM137" s="4">
        <v>6177660.2800000003</v>
      </c>
      <c r="AN137" s="4">
        <v>16318797.109999999</v>
      </c>
      <c r="AO137" s="4">
        <v>4593143.6900000004</v>
      </c>
      <c r="AP137" s="4">
        <v>8799034.4299999997</v>
      </c>
      <c r="AQ137" s="4">
        <v>7961139.6600000001</v>
      </c>
      <c r="AR137" s="4">
        <v>1051654.1399999999</v>
      </c>
      <c r="AS137" s="4">
        <v>591710.31000000006</v>
      </c>
      <c r="AT137" s="4">
        <v>1595423.38</v>
      </c>
      <c r="AU137" s="4">
        <v>3366138.37</v>
      </c>
      <c r="AV137" s="4">
        <v>99584551.480000004</v>
      </c>
      <c r="AW137" s="4">
        <v>2273320.19</v>
      </c>
      <c r="AX137" s="4">
        <v>1452051.28</v>
      </c>
      <c r="AY137" s="4">
        <v>3834172.97</v>
      </c>
      <c r="AZ137" s="4">
        <v>7695638.7400000002</v>
      </c>
      <c r="BA137" s="4">
        <v>3540008.77</v>
      </c>
      <c r="BB137" s="4">
        <v>1476921.58</v>
      </c>
      <c r="BC137" s="4">
        <v>2874888.33</v>
      </c>
      <c r="BD137" s="4">
        <v>41627091.770000003</v>
      </c>
      <c r="BE137" s="4">
        <v>1127387.8899999999</v>
      </c>
      <c r="BF137" s="4">
        <v>645917.03</v>
      </c>
      <c r="BG137" s="4">
        <v>0</v>
      </c>
      <c r="BH137" s="4">
        <f t="shared" ref="BH137:BH149" si="19">SUM(B137:BG137)</f>
        <v>587170456.79000008</v>
      </c>
    </row>
    <row r="138" spans="1:60" x14ac:dyDescent="0.2">
      <c r="A138" s="3">
        <v>42036</v>
      </c>
      <c r="B138" s="4">
        <v>17263772.050000001</v>
      </c>
      <c r="C138" s="4">
        <v>1276530.94</v>
      </c>
      <c r="D138" s="4">
        <v>6825311.4500000002</v>
      </c>
      <c r="E138" s="4">
        <v>2550681.4</v>
      </c>
      <c r="F138" s="4">
        <v>2246905.71</v>
      </c>
      <c r="G138" s="4">
        <v>3354703.84</v>
      </c>
      <c r="H138" s="4">
        <v>3870876.14</v>
      </c>
      <c r="I138" s="4">
        <v>1214057.23</v>
      </c>
      <c r="J138" s="4">
        <v>3348251.54</v>
      </c>
      <c r="K138" s="4">
        <v>2061403.1</v>
      </c>
      <c r="L138" s="4">
        <v>1893244.19</v>
      </c>
      <c r="M138" s="4">
        <v>1267259.8899999999</v>
      </c>
      <c r="N138" s="4">
        <v>10830561.66</v>
      </c>
      <c r="O138" s="4">
        <v>52127088.299999997</v>
      </c>
      <c r="P138" s="4">
        <v>1637569.98</v>
      </c>
      <c r="Q138" s="4">
        <v>1397128.54</v>
      </c>
      <c r="R138" s="4">
        <v>1233482.48</v>
      </c>
      <c r="S138" s="4">
        <v>2311305.91</v>
      </c>
      <c r="T138" s="4">
        <v>1729667.21</v>
      </c>
      <c r="U138" s="4">
        <v>150076.01999999999</v>
      </c>
      <c r="V138" s="4">
        <v>1722091.42</v>
      </c>
      <c r="W138" s="4">
        <v>4413838.99</v>
      </c>
      <c r="X138" s="4">
        <v>741759.97</v>
      </c>
      <c r="Y138" s="4">
        <v>1810469.85</v>
      </c>
      <c r="Z138" s="4">
        <v>1497672</v>
      </c>
      <c r="AA138" s="4">
        <v>30644009.07</v>
      </c>
      <c r="AB138" s="4">
        <v>1875429.6</v>
      </c>
      <c r="AC138" s="4">
        <v>73496225.090000004</v>
      </c>
      <c r="AD138" s="4">
        <v>7827156.0499999998</v>
      </c>
      <c r="AE138" s="4">
        <v>8899046.9900000002</v>
      </c>
      <c r="AF138" s="4">
        <v>22456199.82</v>
      </c>
      <c r="AG138" s="4">
        <v>5181747.66</v>
      </c>
      <c r="AH138" s="4">
        <v>16992742.379999999</v>
      </c>
      <c r="AI138" s="4">
        <v>1015319.2</v>
      </c>
      <c r="AJ138" s="4">
        <v>2216238.2200000002</v>
      </c>
      <c r="AK138" s="4">
        <v>1974077.98</v>
      </c>
      <c r="AL138" s="4">
        <v>3234918.88</v>
      </c>
      <c r="AM138" s="4">
        <v>5168075.96</v>
      </c>
      <c r="AN138" s="4">
        <v>13232093.9</v>
      </c>
      <c r="AO138" s="4">
        <v>3771690.82</v>
      </c>
      <c r="AP138" s="4">
        <v>7413738.0300000003</v>
      </c>
      <c r="AQ138" s="4">
        <v>6552051.4299999997</v>
      </c>
      <c r="AR138" s="4">
        <v>875072.83</v>
      </c>
      <c r="AS138" s="4">
        <v>497656.36</v>
      </c>
      <c r="AT138" s="4">
        <v>1293479.99</v>
      </c>
      <c r="AU138" s="4">
        <v>2670210.52</v>
      </c>
      <c r="AV138" s="4">
        <v>82752240.319999993</v>
      </c>
      <c r="AW138" s="4">
        <v>1926375.16</v>
      </c>
      <c r="AX138" s="4">
        <v>1198205.1200000001</v>
      </c>
      <c r="AY138" s="4">
        <v>3032302.51</v>
      </c>
      <c r="AZ138" s="4">
        <v>6501598.1299999999</v>
      </c>
      <c r="BA138" s="4">
        <v>2882890.39</v>
      </c>
      <c r="BB138" s="4">
        <v>1191707.32</v>
      </c>
      <c r="BC138" s="4">
        <v>2514667.66</v>
      </c>
      <c r="BD138" s="4">
        <v>35927363.700000003</v>
      </c>
      <c r="BE138" s="4">
        <v>700888.6</v>
      </c>
      <c r="BF138" s="4">
        <v>541667.96</v>
      </c>
      <c r="BG138" s="4">
        <v>0</v>
      </c>
      <c r="BH138" s="4">
        <f t="shared" si="19"/>
        <v>485232797.45999998</v>
      </c>
    </row>
    <row r="139" spans="1:60" x14ac:dyDescent="0.2">
      <c r="A139" s="3">
        <v>42064</v>
      </c>
      <c r="B139" s="4">
        <v>23196012.370000001</v>
      </c>
      <c r="C139" s="4">
        <v>1899508.86</v>
      </c>
      <c r="D139" s="4">
        <v>10159405.699999999</v>
      </c>
      <c r="E139" s="4">
        <v>3337315.79</v>
      </c>
      <c r="F139" s="4">
        <v>2774722.37</v>
      </c>
      <c r="G139" s="4">
        <v>4627672.34</v>
      </c>
      <c r="H139" s="4">
        <v>5254585.75</v>
      </c>
      <c r="I139" s="4">
        <v>1912558.64</v>
      </c>
      <c r="J139" s="4">
        <v>4433328.46</v>
      </c>
      <c r="K139" s="4">
        <v>3497478.03</v>
      </c>
      <c r="L139" s="4">
        <v>2526559.2000000002</v>
      </c>
      <c r="M139" s="4">
        <v>1680417.62</v>
      </c>
      <c r="N139" s="4">
        <v>17243099.489999998</v>
      </c>
      <c r="O139" s="4">
        <v>64355625.409999996</v>
      </c>
      <c r="P139" s="4">
        <v>2225542.7599999998</v>
      </c>
      <c r="Q139" s="4">
        <v>1676324.11</v>
      </c>
      <c r="R139" s="4">
        <v>1613161.58</v>
      </c>
      <c r="S139" s="4">
        <v>3411042.81</v>
      </c>
      <c r="T139" s="4">
        <v>2922784.43</v>
      </c>
      <c r="U139" s="4">
        <v>290901.07</v>
      </c>
      <c r="V139" s="4">
        <v>2645071.7799999998</v>
      </c>
      <c r="W139" s="4">
        <v>5396140.75</v>
      </c>
      <c r="X139" s="4">
        <v>975823.53</v>
      </c>
      <c r="Y139" s="4">
        <v>2920990.59</v>
      </c>
      <c r="Z139" s="4">
        <v>2388317.46</v>
      </c>
      <c r="AA139" s="4">
        <v>38056096.670000002</v>
      </c>
      <c r="AB139" s="4">
        <v>2098514.5099999998</v>
      </c>
      <c r="AC139" s="4">
        <v>97057542.310000002</v>
      </c>
      <c r="AD139" s="4">
        <v>9852948.4000000004</v>
      </c>
      <c r="AE139" s="4">
        <v>10342422.15</v>
      </c>
      <c r="AF139" s="4">
        <v>30131150.140000001</v>
      </c>
      <c r="AG139" s="4">
        <v>6565482.0300000003</v>
      </c>
      <c r="AH139" s="4">
        <v>23310755.379999999</v>
      </c>
      <c r="AI139" s="4">
        <v>1388252.62</v>
      </c>
      <c r="AJ139" s="4">
        <v>3587621.87</v>
      </c>
      <c r="AK139" s="4">
        <v>3006463.51</v>
      </c>
      <c r="AL139" s="4">
        <v>4670040.95</v>
      </c>
      <c r="AM139" s="4">
        <v>6132935.5099999998</v>
      </c>
      <c r="AN139" s="4">
        <v>17767961.5</v>
      </c>
      <c r="AO139" s="4">
        <v>4612305.87</v>
      </c>
      <c r="AP139" s="4">
        <v>9384718.3300000001</v>
      </c>
      <c r="AQ139" s="4">
        <v>7985341.54</v>
      </c>
      <c r="AR139" s="4">
        <v>1137646.6100000001</v>
      </c>
      <c r="AS139" s="4">
        <v>922514.12</v>
      </c>
      <c r="AT139" s="4">
        <v>1950249.38</v>
      </c>
      <c r="AU139" s="4">
        <v>4959831.5599999996</v>
      </c>
      <c r="AV139" s="4">
        <v>113650903.14</v>
      </c>
      <c r="AW139" s="4">
        <v>3240459.42</v>
      </c>
      <c r="AX139" s="4">
        <v>2242790.89</v>
      </c>
      <c r="AY139" s="4">
        <v>4163379.2000000002</v>
      </c>
      <c r="AZ139" s="4">
        <v>10331156.939999999</v>
      </c>
      <c r="BA139" s="4">
        <v>3766738.53</v>
      </c>
      <c r="BB139" s="4">
        <v>2439451.87</v>
      </c>
      <c r="BC139" s="4">
        <v>3605283.02</v>
      </c>
      <c r="BD139" s="4">
        <v>42000235.850000001</v>
      </c>
      <c r="BE139" s="4">
        <v>1571722.82</v>
      </c>
      <c r="BF139" s="4">
        <v>976183.18</v>
      </c>
      <c r="BG139" s="4">
        <v>0</v>
      </c>
      <c r="BH139" s="4">
        <f t="shared" si="19"/>
        <v>646273490.71999991</v>
      </c>
    </row>
    <row r="140" spans="1:60" x14ac:dyDescent="0.2">
      <c r="A140" s="3">
        <v>42095</v>
      </c>
      <c r="B140" s="4">
        <v>19017988.960000001</v>
      </c>
      <c r="C140" s="4">
        <v>1369197.83</v>
      </c>
      <c r="D140" s="4">
        <v>9633433.4000000004</v>
      </c>
      <c r="E140" s="4">
        <v>2681016.4500000002</v>
      </c>
      <c r="F140" s="4">
        <v>2718184.99</v>
      </c>
      <c r="G140" s="4">
        <v>4196824.6500000004</v>
      </c>
      <c r="H140" s="4">
        <v>4387060.18</v>
      </c>
      <c r="I140" s="4">
        <v>1603111.88</v>
      </c>
      <c r="J140" s="4">
        <v>4028606.59</v>
      </c>
      <c r="K140" s="4">
        <v>2638706.89</v>
      </c>
      <c r="L140" s="4">
        <v>2263319.1800000002</v>
      </c>
      <c r="M140" s="4">
        <v>1659179.86</v>
      </c>
      <c r="N140" s="4">
        <v>13150302.85</v>
      </c>
      <c r="O140" s="4">
        <v>55097146.210000001</v>
      </c>
      <c r="P140" s="4">
        <v>1800744.57</v>
      </c>
      <c r="Q140" s="4">
        <v>1685008.81</v>
      </c>
      <c r="R140" s="4">
        <v>1412815.29</v>
      </c>
      <c r="S140" s="4">
        <v>2769772.18</v>
      </c>
      <c r="T140" s="4">
        <v>2057217.1</v>
      </c>
      <c r="U140" s="4">
        <v>214796.78</v>
      </c>
      <c r="V140" s="4">
        <v>2175545.09</v>
      </c>
      <c r="W140" s="4">
        <v>5359184.0199999996</v>
      </c>
      <c r="X140" s="4">
        <v>827305.56</v>
      </c>
      <c r="Y140" s="4">
        <v>2293200.02</v>
      </c>
      <c r="Z140" s="4">
        <v>1813014.32</v>
      </c>
      <c r="AA140" s="4">
        <v>35564169.740000002</v>
      </c>
      <c r="AB140" s="4">
        <v>2299020.9700000002</v>
      </c>
      <c r="AC140" s="4">
        <v>87825773.829999998</v>
      </c>
      <c r="AD140" s="4">
        <v>9215489.3499999996</v>
      </c>
      <c r="AE140" s="4">
        <v>10203557.130000001</v>
      </c>
      <c r="AF140" s="4">
        <v>25670340.890000001</v>
      </c>
      <c r="AG140" s="4">
        <v>5745995.3899999997</v>
      </c>
      <c r="AH140" s="4">
        <v>20259759.469999999</v>
      </c>
      <c r="AI140" s="4">
        <v>1252377.3400000001</v>
      </c>
      <c r="AJ140" s="4">
        <v>3193984.04</v>
      </c>
      <c r="AK140" s="4">
        <v>2605927.48</v>
      </c>
      <c r="AL140" s="4">
        <v>4248878.17</v>
      </c>
      <c r="AM140" s="4">
        <v>6745999.6799999997</v>
      </c>
      <c r="AN140" s="4">
        <v>15120000.85</v>
      </c>
      <c r="AO140" s="4">
        <v>4460517.99</v>
      </c>
      <c r="AP140" s="4">
        <v>8911593.2200000007</v>
      </c>
      <c r="AQ140" s="4">
        <v>7349351.8200000003</v>
      </c>
      <c r="AR140" s="4">
        <v>1061385.1499999999</v>
      </c>
      <c r="AS140" s="4">
        <v>623663.9</v>
      </c>
      <c r="AT140" s="4">
        <v>1801837.13</v>
      </c>
      <c r="AU140" s="4">
        <v>3929844.17</v>
      </c>
      <c r="AV140" s="4">
        <v>101574457.98999999</v>
      </c>
      <c r="AW140" s="4">
        <v>2577149.6800000002</v>
      </c>
      <c r="AX140" s="4">
        <v>1136861.33</v>
      </c>
      <c r="AY140" s="4">
        <v>3670426.89</v>
      </c>
      <c r="AZ140" s="4">
        <v>7750780.6500000004</v>
      </c>
      <c r="BA140" s="4">
        <v>3480929.47</v>
      </c>
      <c r="BB140" s="4">
        <v>1494036.82</v>
      </c>
      <c r="BC140" s="4">
        <v>3142948.25</v>
      </c>
      <c r="BD140" s="4">
        <v>40173371.810000002</v>
      </c>
      <c r="BE140" s="4">
        <v>1213456.01</v>
      </c>
      <c r="BF140" s="4">
        <v>686279.34</v>
      </c>
      <c r="BG140" s="4">
        <v>0</v>
      </c>
      <c r="BH140" s="4">
        <f t="shared" si="19"/>
        <v>571842849.61000001</v>
      </c>
    </row>
    <row r="141" spans="1:60" x14ac:dyDescent="0.2">
      <c r="A141" s="3">
        <v>42125</v>
      </c>
      <c r="B141" s="4">
        <v>19209533.890000001</v>
      </c>
      <c r="C141" s="4">
        <v>1528275.72</v>
      </c>
      <c r="D141" s="4">
        <v>9263865.4299999997</v>
      </c>
      <c r="E141" s="4">
        <v>2743436.03</v>
      </c>
      <c r="F141" s="4">
        <v>2699727.63</v>
      </c>
      <c r="G141" s="4">
        <v>3796568.55</v>
      </c>
      <c r="H141" s="4">
        <v>4325093.88</v>
      </c>
      <c r="I141" s="4">
        <v>1665919.14</v>
      </c>
      <c r="J141" s="4">
        <v>4057494.32</v>
      </c>
      <c r="K141" s="4">
        <v>2444985.7799999998</v>
      </c>
      <c r="L141" s="4">
        <v>2159544.27</v>
      </c>
      <c r="M141" s="4">
        <v>1555909.26</v>
      </c>
      <c r="N141" s="4">
        <v>12830155.960000001</v>
      </c>
      <c r="O141" s="4">
        <v>56170210.659999996</v>
      </c>
      <c r="P141" s="4">
        <v>1927887.02</v>
      </c>
      <c r="Q141" s="4">
        <v>1581173.3</v>
      </c>
      <c r="R141" s="4">
        <v>1375818.86</v>
      </c>
      <c r="S141" s="4">
        <v>2749545.8</v>
      </c>
      <c r="T141" s="4">
        <v>1990408.83</v>
      </c>
      <c r="U141" s="4">
        <v>180458.06</v>
      </c>
      <c r="V141" s="4">
        <v>2519500.21</v>
      </c>
      <c r="W141" s="4">
        <v>5368947.4299999997</v>
      </c>
      <c r="X141" s="4">
        <v>820778.93</v>
      </c>
      <c r="Y141" s="4">
        <v>2277536.0099999998</v>
      </c>
      <c r="Z141" s="4">
        <v>1854924.57</v>
      </c>
      <c r="AA141" s="4">
        <v>34727680.609999999</v>
      </c>
      <c r="AB141" s="4">
        <v>2096386.5</v>
      </c>
      <c r="AC141" s="4">
        <v>84357746.950000003</v>
      </c>
      <c r="AD141" s="4">
        <v>8989066.3699999992</v>
      </c>
      <c r="AE141" s="4">
        <v>9939878.9000000004</v>
      </c>
      <c r="AF141" s="4">
        <v>26115335.879999999</v>
      </c>
      <c r="AG141" s="4">
        <v>5717322.0800000001</v>
      </c>
      <c r="AH141" s="4">
        <v>19993690.300000001</v>
      </c>
      <c r="AI141" s="4">
        <v>1199392.93</v>
      </c>
      <c r="AJ141" s="4">
        <v>3176216.72</v>
      </c>
      <c r="AK141" s="4">
        <v>2557319.7400000002</v>
      </c>
      <c r="AL141" s="4">
        <v>4151841.01</v>
      </c>
      <c r="AM141" s="4">
        <v>6141962.4100000001</v>
      </c>
      <c r="AN141" s="4">
        <v>14752678.76</v>
      </c>
      <c r="AO141" s="4">
        <v>4363818.0599999996</v>
      </c>
      <c r="AP141" s="4">
        <v>8499243.7400000002</v>
      </c>
      <c r="AQ141" s="4">
        <v>7376392.8099999996</v>
      </c>
      <c r="AR141" s="4">
        <v>1082263.8700000001</v>
      </c>
      <c r="AS141" s="4">
        <v>680839.71</v>
      </c>
      <c r="AT141" s="4">
        <v>1669195.36</v>
      </c>
      <c r="AU141" s="4">
        <v>3849645.29</v>
      </c>
      <c r="AV141" s="4">
        <v>100761643.23999999</v>
      </c>
      <c r="AW141" s="4">
        <v>2454659.4300000002</v>
      </c>
      <c r="AX141" s="4">
        <v>1513238.24</v>
      </c>
      <c r="AY141" s="4">
        <v>3674338.96</v>
      </c>
      <c r="AZ141" s="4">
        <v>7658949.8700000001</v>
      </c>
      <c r="BA141" s="4">
        <v>3456273.77</v>
      </c>
      <c r="BB141" s="4">
        <v>1466587.18</v>
      </c>
      <c r="BC141" s="4">
        <v>3041809.26</v>
      </c>
      <c r="BD141" s="4">
        <v>39209921.5</v>
      </c>
      <c r="BE141" s="4">
        <v>1185848.3700000001</v>
      </c>
      <c r="BF141" s="4">
        <v>730574.41</v>
      </c>
      <c r="BG141" s="4">
        <v>0</v>
      </c>
      <c r="BH141" s="4">
        <f t="shared" si="19"/>
        <v>563689461.76999998</v>
      </c>
    </row>
    <row r="142" spans="1:60" x14ac:dyDescent="0.2">
      <c r="A142" s="3">
        <v>42156</v>
      </c>
      <c r="B142" s="4">
        <v>26511572.75</v>
      </c>
      <c r="C142" s="4">
        <v>1931330.1799999997</v>
      </c>
      <c r="D142" s="4">
        <v>11419874.099999998</v>
      </c>
      <c r="E142" s="4">
        <v>3893193.7</v>
      </c>
      <c r="F142" s="4">
        <v>3299124.99</v>
      </c>
      <c r="G142" s="4">
        <v>5964823.0899999999</v>
      </c>
      <c r="H142" s="4">
        <v>5420284.3399999999</v>
      </c>
      <c r="I142" s="4">
        <v>2071909.75</v>
      </c>
      <c r="J142" s="4">
        <v>4921860.71</v>
      </c>
      <c r="K142" s="4">
        <v>3633998.44</v>
      </c>
      <c r="L142" s="4">
        <v>2886777.47</v>
      </c>
      <c r="M142" s="4">
        <v>1962128.22</v>
      </c>
      <c r="N142" s="4">
        <v>16884996.870000001</v>
      </c>
      <c r="O142" s="4">
        <v>73975664.069999993</v>
      </c>
      <c r="P142" s="4">
        <v>2662803.2200000007</v>
      </c>
      <c r="Q142" s="4">
        <v>2030484.38</v>
      </c>
      <c r="R142" s="4">
        <v>2246860.42</v>
      </c>
      <c r="S142" s="4">
        <v>4000314.2</v>
      </c>
      <c r="T142" s="4">
        <v>3194979.65</v>
      </c>
      <c r="U142" s="4">
        <v>416949.74</v>
      </c>
      <c r="V142" s="4">
        <v>3399885.51</v>
      </c>
      <c r="W142" s="4">
        <v>7195677.8300000001</v>
      </c>
      <c r="X142" s="4">
        <v>1226661.05</v>
      </c>
      <c r="Y142" s="4">
        <v>3043745.46</v>
      </c>
      <c r="Z142" s="4">
        <v>2865929.32</v>
      </c>
      <c r="AA142" s="4">
        <v>44082539.840000004</v>
      </c>
      <c r="AB142" s="4">
        <v>2727010.16</v>
      </c>
      <c r="AC142" s="4">
        <v>107293052.20999998</v>
      </c>
      <c r="AD142" s="4">
        <v>11462305.120000001</v>
      </c>
      <c r="AE142" s="4">
        <v>13139378.289999999</v>
      </c>
      <c r="AF142" s="4">
        <v>33318613.590000004</v>
      </c>
      <c r="AG142" s="4">
        <v>8149414.6699999999</v>
      </c>
      <c r="AH142" s="4">
        <v>25002646.57</v>
      </c>
      <c r="AI142" s="4">
        <v>1561109.63</v>
      </c>
      <c r="AJ142" s="4">
        <v>4075798.26</v>
      </c>
      <c r="AK142" s="4">
        <v>3664519.3499999996</v>
      </c>
      <c r="AL142" s="4">
        <v>5544525.2300000004</v>
      </c>
      <c r="AM142" s="4">
        <v>8540901.0399999991</v>
      </c>
      <c r="AN142" s="4">
        <v>20511525.440000001</v>
      </c>
      <c r="AO142" s="4">
        <v>5208677.97</v>
      </c>
      <c r="AP142" s="4">
        <v>11697157.43</v>
      </c>
      <c r="AQ142" s="4">
        <v>10279070.210000001</v>
      </c>
      <c r="AR142" s="4">
        <v>1473278.92</v>
      </c>
      <c r="AS142" s="4">
        <v>1116749.3999999999</v>
      </c>
      <c r="AT142" s="4">
        <v>2500492.62</v>
      </c>
      <c r="AU142" s="4">
        <v>5557467.5800000001</v>
      </c>
      <c r="AV142" s="4">
        <v>131664642.83</v>
      </c>
      <c r="AW142" s="4">
        <v>4139725.0500000003</v>
      </c>
      <c r="AX142" s="4">
        <v>2178643.2200000002</v>
      </c>
      <c r="AY142" s="4">
        <v>4839489.28</v>
      </c>
      <c r="AZ142" s="4">
        <v>11314801.09</v>
      </c>
      <c r="BA142" s="4">
        <v>5028512.6900000004</v>
      </c>
      <c r="BB142" s="4">
        <v>1908878.21</v>
      </c>
      <c r="BC142" s="4">
        <v>4537620.88</v>
      </c>
      <c r="BD142" s="4">
        <v>46317086.18</v>
      </c>
      <c r="BE142" s="4">
        <v>1897328.3000000003</v>
      </c>
      <c r="BF142" s="4">
        <v>1302484.32</v>
      </c>
      <c r="BG142" s="4">
        <v>0</v>
      </c>
      <c r="BH142" s="4">
        <f t="shared" si="19"/>
        <v>739097275.04000008</v>
      </c>
    </row>
    <row r="143" spans="1:60" x14ac:dyDescent="0.2">
      <c r="A143" s="3">
        <v>42186</v>
      </c>
      <c r="B143" s="4">
        <v>20145279.510000002</v>
      </c>
      <c r="C143" s="4">
        <v>1345492.9</v>
      </c>
      <c r="D143" s="4">
        <v>9838415.4600000009</v>
      </c>
      <c r="E143" s="4">
        <v>2784267.75</v>
      </c>
      <c r="F143" s="4">
        <v>2901964.41</v>
      </c>
      <c r="G143" s="4">
        <v>4818537.3899999997</v>
      </c>
      <c r="H143" s="4">
        <v>4582106.8099999996</v>
      </c>
      <c r="I143" s="4">
        <v>1695649.46</v>
      </c>
      <c r="J143" s="4">
        <v>4556990.18</v>
      </c>
      <c r="K143" s="4">
        <v>2860211.91</v>
      </c>
      <c r="L143" s="4">
        <v>2086181.76</v>
      </c>
      <c r="M143" s="4">
        <v>1748460.3</v>
      </c>
      <c r="N143" s="4">
        <v>13729173.960000001</v>
      </c>
      <c r="O143" s="4">
        <v>58180510.729999997</v>
      </c>
      <c r="P143" s="4">
        <v>2746806.92</v>
      </c>
      <c r="Q143" s="4">
        <v>1775240.08</v>
      </c>
      <c r="R143" s="4">
        <v>1658529.47</v>
      </c>
      <c r="S143" s="4">
        <v>3269614.01</v>
      </c>
      <c r="T143" s="4">
        <v>2477197.0699999998</v>
      </c>
      <c r="U143" s="4">
        <v>380026.94</v>
      </c>
      <c r="V143" s="4">
        <v>2731298.45</v>
      </c>
      <c r="W143" s="4">
        <v>6288854.4100000001</v>
      </c>
      <c r="X143" s="4">
        <v>875653.59</v>
      </c>
      <c r="Y143" s="4">
        <v>2492918.38</v>
      </c>
      <c r="Z143" s="4">
        <v>2168653.06</v>
      </c>
      <c r="AA143" s="4">
        <v>36790947.659999996</v>
      </c>
      <c r="AB143" s="4">
        <v>2333488.09</v>
      </c>
      <c r="AC143" s="4">
        <v>89029480.409999996</v>
      </c>
      <c r="AD143" s="4">
        <v>9759268.3200000003</v>
      </c>
      <c r="AE143" s="4">
        <v>10527621.439999999</v>
      </c>
      <c r="AF143" s="4">
        <v>27819077.039999999</v>
      </c>
      <c r="AG143" s="4">
        <v>6447365.2699999996</v>
      </c>
      <c r="AH143" s="4">
        <v>21834625.210000001</v>
      </c>
      <c r="AI143" s="4">
        <v>1222987.67</v>
      </c>
      <c r="AJ143" s="4">
        <v>3510349.98</v>
      </c>
      <c r="AK143" s="4">
        <v>3347705.11</v>
      </c>
      <c r="AL143" s="4">
        <v>4558502.34</v>
      </c>
      <c r="AM143" s="4">
        <v>6387485.3899999997</v>
      </c>
      <c r="AN143" s="4">
        <v>15648376.539999999</v>
      </c>
      <c r="AO143" s="4">
        <v>4904134.12</v>
      </c>
      <c r="AP143" s="4">
        <v>9431637.7200000007</v>
      </c>
      <c r="AQ143" s="4">
        <v>7678868.0099999998</v>
      </c>
      <c r="AR143" s="4">
        <v>1251915.95</v>
      </c>
      <c r="AS143" s="4">
        <v>968162.5</v>
      </c>
      <c r="AT143" s="4">
        <v>2006441</v>
      </c>
      <c r="AU143" s="4">
        <v>4398882.0999999996</v>
      </c>
      <c r="AV143" s="4">
        <v>112533685.2</v>
      </c>
      <c r="AW143" s="4">
        <v>3343637.75</v>
      </c>
      <c r="AX143" s="4">
        <v>1570534.56</v>
      </c>
      <c r="AY143" s="4">
        <v>3846778.77</v>
      </c>
      <c r="AZ143" s="4">
        <v>8795132.75</v>
      </c>
      <c r="BA143" s="4">
        <v>5270370.83</v>
      </c>
      <c r="BB143" s="4">
        <v>1676781.56</v>
      </c>
      <c r="BC143" s="4">
        <v>3374136.45</v>
      </c>
      <c r="BD143" s="4">
        <v>38804655.100000001</v>
      </c>
      <c r="BE143" s="4">
        <v>1371681.09</v>
      </c>
      <c r="BF143" s="4">
        <v>918898.03</v>
      </c>
      <c r="BG143" s="4">
        <v>0</v>
      </c>
      <c r="BH143" s="4">
        <f t="shared" si="19"/>
        <v>609501648.87</v>
      </c>
    </row>
    <row r="144" spans="1:60" x14ac:dyDescent="0.2">
      <c r="A144" s="3">
        <v>42217</v>
      </c>
      <c r="B144" s="4">
        <v>19510382.559999999</v>
      </c>
      <c r="C144" s="4">
        <v>1458120.84</v>
      </c>
      <c r="D144" s="4">
        <v>9766543.2100000009</v>
      </c>
      <c r="E144" s="4">
        <v>2754975.44</v>
      </c>
      <c r="F144" s="4">
        <v>2858021.47</v>
      </c>
      <c r="G144" s="4">
        <v>5032312.46</v>
      </c>
      <c r="H144" s="4">
        <v>4425209.4000000004</v>
      </c>
      <c r="I144" s="4">
        <v>1638171.75</v>
      </c>
      <c r="J144" s="4">
        <v>4495908.16</v>
      </c>
      <c r="K144" s="4">
        <v>2725133.51</v>
      </c>
      <c r="L144" s="4">
        <v>2247402.4300000002</v>
      </c>
      <c r="M144" s="4">
        <v>1792289.98</v>
      </c>
      <c r="N144" s="4">
        <v>13231486.050000001</v>
      </c>
      <c r="O144" s="4">
        <v>57957999.659999996</v>
      </c>
      <c r="P144" s="4">
        <v>2708545.85</v>
      </c>
      <c r="Q144" s="4">
        <v>1682168.59</v>
      </c>
      <c r="R144" s="4">
        <v>1611945.2</v>
      </c>
      <c r="S144" s="4">
        <v>3357161.74</v>
      </c>
      <c r="T144" s="4">
        <v>2413365.86</v>
      </c>
      <c r="U144" s="4">
        <v>363239.07</v>
      </c>
      <c r="V144" s="4">
        <v>2464679.19</v>
      </c>
      <c r="W144" s="4">
        <v>6228281.9400000004</v>
      </c>
      <c r="X144" s="4">
        <v>896498.76</v>
      </c>
      <c r="Y144" s="4">
        <v>2404815.08</v>
      </c>
      <c r="Z144" s="4">
        <v>2083768.01</v>
      </c>
      <c r="AA144" s="4">
        <v>36357561.399999999</v>
      </c>
      <c r="AB144" s="4">
        <v>2378895.9500000002</v>
      </c>
      <c r="AC144" s="4">
        <v>86288261.010000005</v>
      </c>
      <c r="AD144" s="4">
        <v>9772494.75</v>
      </c>
      <c r="AE144" s="4">
        <v>10387900.43</v>
      </c>
      <c r="AF144" s="4">
        <v>27314473.329999998</v>
      </c>
      <c r="AG144" s="4">
        <v>6317148.9800000004</v>
      </c>
      <c r="AH144" s="4">
        <v>21289091.289999999</v>
      </c>
      <c r="AI144" s="4">
        <v>1176633.8600000001</v>
      </c>
      <c r="AJ144" s="4">
        <v>3397811.77</v>
      </c>
      <c r="AK144" s="4">
        <v>3122456.77</v>
      </c>
      <c r="AL144" s="4">
        <v>4312904.16</v>
      </c>
      <c r="AM144" s="4">
        <v>6381565.8600000003</v>
      </c>
      <c r="AN144" s="4">
        <v>15374935.710000001</v>
      </c>
      <c r="AO144" s="4">
        <v>4473490.3</v>
      </c>
      <c r="AP144" s="4">
        <v>9540678.4499999993</v>
      </c>
      <c r="AQ144" s="4">
        <v>7358191.6900000004</v>
      </c>
      <c r="AR144" s="4">
        <v>1110804.5</v>
      </c>
      <c r="AS144" s="4">
        <v>970145.73</v>
      </c>
      <c r="AT144" s="4">
        <v>1973306.9</v>
      </c>
      <c r="AU144" s="4">
        <v>4327441.28</v>
      </c>
      <c r="AV144" s="4">
        <v>109387583.62</v>
      </c>
      <c r="AW144" s="4">
        <v>3183840.6</v>
      </c>
      <c r="AX144" s="4">
        <v>1439536.87</v>
      </c>
      <c r="AY144" s="4">
        <v>3835907.23</v>
      </c>
      <c r="AZ144" s="4">
        <v>8550486.6300000008</v>
      </c>
      <c r="BA144" s="4">
        <v>5103739.7699999996</v>
      </c>
      <c r="BB144" s="4">
        <v>1650872.01</v>
      </c>
      <c r="BC144" s="4">
        <v>3221352.74</v>
      </c>
      <c r="BD144" s="4">
        <v>38164487.850000001</v>
      </c>
      <c r="BE144" s="4">
        <v>1389890.38</v>
      </c>
      <c r="BF144" s="4">
        <v>884129.84</v>
      </c>
      <c r="BG144" s="4">
        <v>0</v>
      </c>
      <c r="BH144" s="4">
        <f t="shared" si="19"/>
        <v>596546447.87</v>
      </c>
    </row>
    <row r="145" spans="1:60" x14ac:dyDescent="0.2">
      <c r="A145" s="3">
        <v>42248</v>
      </c>
      <c r="B145" s="4">
        <v>24587269.699999999</v>
      </c>
      <c r="C145" s="4">
        <v>2166078.5099999998</v>
      </c>
      <c r="D145" s="4">
        <v>10772133.630000001</v>
      </c>
      <c r="E145" s="4">
        <v>3910513.68</v>
      </c>
      <c r="F145" s="4">
        <v>3459381.73</v>
      </c>
      <c r="G145" s="4">
        <v>5124134.3499999996</v>
      </c>
      <c r="H145" s="4">
        <v>5295855.67</v>
      </c>
      <c r="I145" s="4">
        <v>2153139.62</v>
      </c>
      <c r="J145" s="4">
        <v>4630601.66</v>
      </c>
      <c r="K145" s="4">
        <v>4019327.33</v>
      </c>
      <c r="L145" s="4">
        <v>2687450.38</v>
      </c>
      <c r="M145" s="4">
        <v>2014848.22</v>
      </c>
      <c r="N145" s="4">
        <v>18487165.550000001</v>
      </c>
      <c r="O145" s="4">
        <v>72509161.519999996</v>
      </c>
      <c r="P145" s="4">
        <v>3369059.54</v>
      </c>
      <c r="Q145" s="4">
        <v>2301402.98</v>
      </c>
      <c r="R145" s="4">
        <v>2054117.74</v>
      </c>
      <c r="S145" s="4">
        <v>4011416.31</v>
      </c>
      <c r="T145" s="4">
        <v>3389542.78</v>
      </c>
      <c r="U145" s="4">
        <v>667802.89</v>
      </c>
      <c r="V145" s="4">
        <v>3584462.15</v>
      </c>
      <c r="W145" s="4">
        <v>7014525.0599999996</v>
      </c>
      <c r="X145" s="4">
        <v>1495422.05</v>
      </c>
      <c r="Y145" s="4">
        <v>3489631.9</v>
      </c>
      <c r="Z145" s="4">
        <v>2860069.19</v>
      </c>
      <c r="AA145" s="4">
        <v>46752753.590000004</v>
      </c>
      <c r="AB145" s="4">
        <v>2480902.88</v>
      </c>
      <c r="AC145" s="4">
        <v>107497556.84</v>
      </c>
      <c r="AD145" s="4">
        <v>11668992.9</v>
      </c>
      <c r="AE145" s="4">
        <v>12853731.789999999</v>
      </c>
      <c r="AF145" s="4">
        <v>32106322.329999998</v>
      </c>
      <c r="AG145" s="4">
        <v>8387638.1500000004</v>
      </c>
      <c r="AH145" s="4">
        <v>25138496.91</v>
      </c>
      <c r="AI145" s="4">
        <v>1634397.85</v>
      </c>
      <c r="AJ145" s="4">
        <v>4489960.18</v>
      </c>
      <c r="AK145" s="4">
        <v>4001029.58</v>
      </c>
      <c r="AL145" s="4">
        <v>5347272.8600000003</v>
      </c>
      <c r="AM145" s="4">
        <v>7440021.21</v>
      </c>
      <c r="AN145" s="4">
        <v>19187503.07</v>
      </c>
      <c r="AO145" s="4">
        <v>4721696.5999999996</v>
      </c>
      <c r="AP145" s="4">
        <v>11856028.949999999</v>
      </c>
      <c r="AQ145" s="4">
        <v>8819798.5800000001</v>
      </c>
      <c r="AR145" s="4">
        <v>1438931.42</v>
      </c>
      <c r="AS145" s="4">
        <v>1499489.98</v>
      </c>
      <c r="AT145" s="4">
        <v>2435817.1</v>
      </c>
      <c r="AU145" s="4">
        <v>5513897.3300000001</v>
      </c>
      <c r="AV145" s="4">
        <v>132271663.37</v>
      </c>
      <c r="AW145" s="4">
        <v>4438764.41</v>
      </c>
      <c r="AX145" s="4">
        <v>1919696.38</v>
      </c>
      <c r="AY145" s="4">
        <v>5027376.1500000004</v>
      </c>
      <c r="AZ145" s="4">
        <v>11487507.92</v>
      </c>
      <c r="BA145" s="4">
        <v>5639041.6299999999</v>
      </c>
      <c r="BB145" s="4">
        <v>1782422.86</v>
      </c>
      <c r="BC145" s="4">
        <v>4526175.6399999997</v>
      </c>
      <c r="BD145" s="4">
        <v>49346394.939999998</v>
      </c>
      <c r="BE145" s="4">
        <v>1793033.75</v>
      </c>
      <c r="BF145" s="4">
        <v>1486745.43</v>
      </c>
      <c r="BG145" s="4">
        <v>0</v>
      </c>
      <c r="BH145" s="4">
        <f t="shared" si="19"/>
        <v>741045576.71999991</v>
      </c>
    </row>
    <row r="146" spans="1:60" x14ac:dyDescent="0.2">
      <c r="A146" s="3">
        <v>42278</v>
      </c>
      <c r="B146" s="4">
        <v>20186980.210000001</v>
      </c>
      <c r="C146" s="4">
        <v>1364949.58</v>
      </c>
      <c r="D146" s="4">
        <v>10640096.970000001</v>
      </c>
      <c r="E146" s="4">
        <v>2528100.52</v>
      </c>
      <c r="F146" s="4">
        <v>2709229.89</v>
      </c>
      <c r="G146" s="4">
        <v>4226657.59</v>
      </c>
      <c r="H146" s="4">
        <v>4673803.05</v>
      </c>
      <c r="I146" s="4">
        <v>1709045.33</v>
      </c>
      <c r="J146" s="4">
        <v>4229324.8499999996</v>
      </c>
      <c r="K146" s="4">
        <v>2618384.0099999998</v>
      </c>
      <c r="L146" s="4">
        <v>2152271.36</v>
      </c>
      <c r="M146" s="4">
        <v>1586820.74</v>
      </c>
      <c r="N146" s="4">
        <v>13746810.890000001</v>
      </c>
      <c r="O146" s="4">
        <v>56815577.25</v>
      </c>
      <c r="P146" s="4">
        <v>1973037.4</v>
      </c>
      <c r="Q146" s="4">
        <v>1576716.88</v>
      </c>
      <c r="R146" s="4">
        <v>1595586.97</v>
      </c>
      <c r="S146" s="4">
        <v>2779713.77</v>
      </c>
      <c r="T146" s="4">
        <v>2293934.12</v>
      </c>
      <c r="U146" s="4">
        <v>234094.72</v>
      </c>
      <c r="V146" s="4">
        <v>2227890.5299999998</v>
      </c>
      <c r="W146" s="4">
        <v>5582214.1299999999</v>
      </c>
      <c r="X146" s="4">
        <v>882146.37</v>
      </c>
      <c r="Y146" s="4">
        <v>2352913.92</v>
      </c>
      <c r="Z146" s="4">
        <v>1864995.04</v>
      </c>
      <c r="AA146" s="4">
        <v>35468031.579999998</v>
      </c>
      <c r="AB146" s="4">
        <v>2242022.39</v>
      </c>
      <c r="AC146" s="4">
        <v>86312547.459999993</v>
      </c>
      <c r="AD146" s="4">
        <v>9476582.5</v>
      </c>
      <c r="AE146" s="4">
        <v>10244890.939999999</v>
      </c>
      <c r="AF146" s="4">
        <v>26536146.98</v>
      </c>
      <c r="AG146" s="4">
        <v>6350541.6200000001</v>
      </c>
      <c r="AH146" s="4">
        <v>21678892.23</v>
      </c>
      <c r="AI146" s="4">
        <v>1135610.3</v>
      </c>
      <c r="AJ146" s="4">
        <v>3214404.31</v>
      </c>
      <c r="AK146" s="4">
        <v>2684192.92</v>
      </c>
      <c r="AL146" s="4">
        <v>4311975.79</v>
      </c>
      <c r="AM146" s="4">
        <v>6091847.4299999997</v>
      </c>
      <c r="AN146" s="4">
        <v>15066790.18</v>
      </c>
      <c r="AO146" s="4">
        <v>4282908.32</v>
      </c>
      <c r="AP146" s="4">
        <v>8935185.9299999997</v>
      </c>
      <c r="AQ146" s="4">
        <v>7211713.3300000001</v>
      </c>
      <c r="AR146" s="4">
        <v>1131414.51</v>
      </c>
      <c r="AS146" s="4">
        <v>722956.38</v>
      </c>
      <c r="AT146" s="4">
        <v>1845320.13</v>
      </c>
      <c r="AU146" s="4">
        <v>3940671.57</v>
      </c>
      <c r="AV146" s="4">
        <v>98929268.019999996</v>
      </c>
      <c r="AW146" s="4">
        <v>2471109.9700000002</v>
      </c>
      <c r="AX146" s="4">
        <v>1554836.04</v>
      </c>
      <c r="AY146" s="4">
        <v>3947210.85</v>
      </c>
      <c r="AZ146" s="4">
        <v>8328633.6299999999</v>
      </c>
      <c r="BA146" s="4">
        <v>3707813.75</v>
      </c>
      <c r="BB146" s="4">
        <v>1516997.76</v>
      </c>
      <c r="BC146" s="4">
        <v>3052485.7</v>
      </c>
      <c r="BD146" s="4">
        <v>40579986.299999997</v>
      </c>
      <c r="BE146" s="4">
        <v>1259504.29</v>
      </c>
      <c r="BF146" s="4">
        <v>723384.04</v>
      </c>
      <c r="BG146" s="4">
        <v>0</v>
      </c>
      <c r="BH146" s="4">
        <f t="shared" si="19"/>
        <v>577507173.24000001</v>
      </c>
    </row>
    <row r="147" spans="1:60" x14ac:dyDescent="0.2">
      <c r="A147" s="3">
        <v>42309</v>
      </c>
      <c r="B147" s="4">
        <v>20048347.16</v>
      </c>
      <c r="C147" s="4">
        <v>1410791.31</v>
      </c>
      <c r="D147" s="4">
        <v>9628979.5399999991</v>
      </c>
      <c r="E147" s="4">
        <v>2718594.25</v>
      </c>
      <c r="F147" s="4">
        <v>2678529.9900000002</v>
      </c>
      <c r="G147" s="4">
        <v>3954928.49</v>
      </c>
      <c r="H147" s="4">
        <v>4577003.87</v>
      </c>
      <c r="I147" s="4">
        <v>1585351.75</v>
      </c>
      <c r="J147" s="4">
        <v>4214509.4000000004</v>
      </c>
      <c r="K147" s="4">
        <v>2722856.38</v>
      </c>
      <c r="L147" s="4">
        <v>2152725.0699999998</v>
      </c>
      <c r="M147" s="4">
        <v>1527240.2</v>
      </c>
      <c r="N147" s="4">
        <v>13392972.939999999</v>
      </c>
      <c r="O147" s="4">
        <v>56183318.210000001</v>
      </c>
      <c r="P147" s="4">
        <v>1951208.13</v>
      </c>
      <c r="Q147" s="4">
        <v>1613083.24</v>
      </c>
      <c r="R147" s="4">
        <v>1519264.01</v>
      </c>
      <c r="S147" s="4">
        <v>2930480.62</v>
      </c>
      <c r="T147" s="4">
        <v>2143823.2400000002</v>
      </c>
      <c r="U147" s="4">
        <v>227274.02</v>
      </c>
      <c r="V147" s="4">
        <v>2254675.0299999998</v>
      </c>
      <c r="W147" s="4">
        <v>5731744.3700000001</v>
      </c>
      <c r="X147" s="4">
        <v>858801.28</v>
      </c>
      <c r="Y147" s="4">
        <v>2360773.73</v>
      </c>
      <c r="Z147" s="4">
        <v>1903691.72</v>
      </c>
      <c r="AA147" s="4">
        <v>35510248.579999998</v>
      </c>
      <c r="AB147" s="4">
        <v>2234882.35</v>
      </c>
      <c r="AC147" s="4">
        <v>84094607.430000007</v>
      </c>
      <c r="AD147" s="4">
        <v>9579720.1099999994</v>
      </c>
      <c r="AE147" s="4">
        <v>10227185.34</v>
      </c>
      <c r="AF147" s="4">
        <v>26258538.469999999</v>
      </c>
      <c r="AG147" s="4">
        <v>6307183.25</v>
      </c>
      <c r="AH147" s="4">
        <v>21066786.120000001</v>
      </c>
      <c r="AI147" s="4">
        <v>1165061.58</v>
      </c>
      <c r="AJ147" s="4">
        <v>3261639.41</v>
      </c>
      <c r="AK147" s="4">
        <v>2619088.46</v>
      </c>
      <c r="AL147" s="4">
        <v>4190564.05</v>
      </c>
      <c r="AM147" s="4">
        <v>6164813.0999999996</v>
      </c>
      <c r="AN147" s="4">
        <v>14942426.869999999</v>
      </c>
      <c r="AO147" s="4">
        <v>4369182.54</v>
      </c>
      <c r="AP147" s="4">
        <v>8846086.2300000004</v>
      </c>
      <c r="AQ147" s="4">
        <v>7039537.96</v>
      </c>
      <c r="AR147" s="4">
        <v>1095930.49</v>
      </c>
      <c r="AS147" s="4">
        <v>718528.38</v>
      </c>
      <c r="AT147" s="4">
        <v>1809647.65</v>
      </c>
      <c r="AU147" s="4">
        <v>3974793.26</v>
      </c>
      <c r="AV147" s="4">
        <v>96667883.650000006</v>
      </c>
      <c r="AW147" s="4">
        <v>2511316.7999999998</v>
      </c>
      <c r="AX147" s="4">
        <v>1590717.8</v>
      </c>
      <c r="AY147" s="4">
        <v>3931544.76</v>
      </c>
      <c r="AZ147" s="4">
        <v>8297397.2000000002</v>
      </c>
      <c r="BA147" s="4">
        <v>3755177.29</v>
      </c>
      <c r="BB147" s="4">
        <v>1555925.89</v>
      </c>
      <c r="BC147" s="4">
        <v>3110298.17</v>
      </c>
      <c r="BD147" s="4">
        <v>38825842.780000001</v>
      </c>
      <c r="BE147" s="4">
        <v>1236618.5900000001</v>
      </c>
      <c r="BF147" s="4">
        <v>727380.3</v>
      </c>
      <c r="BG147" s="4">
        <v>0</v>
      </c>
      <c r="BH147" s="4">
        <f t="shared" si="19"/>
        <v>567977522.81000006</v>
      </c>
    </row>
    <row r="148" spans="1:60" x14ac:dyDescent="0.2">
      <c r="A148" s="3">
        <v>42339</v>
      </c>
      <c r="B148" s="4">
        <v>24864865.789999999</v>
      </c>
      <c r="C148" s="4">
        <v>1987966.19</v>
      </c>
      <c r="D148" s="4">
        <v>11497957.309999999</v>
      </c>
      <c r="E148" s="4">
        <v>3677224.1800000006</v>
      </c>
      <c r="F148" s="4">
        <v>3202569.55</v>
      </c>
      <c r="G148" s="4">
        <v>5543861.0099999998</v>
      </c>
      <c r="H148" s="4">
        <v>4872117.2699999996</v>
      </c>
      <c r="I148" s="4">
        <v>1932223.3</v>
      </c>
      <c r="J148" s="4">
        <v>4114456.52</v>
      </c>
      <c r="K148" s="4">
        <v>4044414.7</v>
      </c>
      <c r="L148" s="4">
        <v>2801546.72</v>
      </c>
      <c r="M148" s="4">
        <v>1947906.3899999997</v>
      </c>
      <c r="N148" s="4">
        <v>18892565.370000001</v>
      </c>
      <c r="O148" s="4">
        <v>77589746.359999985</v>
      </c>
      <c r="P148" s="4">
        <v>2655306.39</v>
      </c>
      <c r="Q148" s="4">
        <v>2084687.27</v>
      </c>
      <c r="R148" s="4">
        <v>1724345.54</v>
      </c>
      <c r="S148" s="4">
        <v>3711590.6299999994</v>
      </c>
      <c r="T148" s="4">
        <v>2952085.53</v>
      </c>
      <c r="U148" s="4">
        <v>395651.09</v>
      </c>
      <c r="V148" s="4">
        <v>3018805.14</v>
      </c>
      <c r="W148" s="4">
        <v>5631509.9800000004</v>
      </c>
      <c r="X148" s="4">
        <v>1151709.3999999999</v>
      </c>
      <c r="Y148" s="4">
        <v>2802117.98</v>
      </c>
      <c r="Z148" s="4">
        <v>2637824.7999999998</v>
      </c>
      <c r="AA148" s="4">
        <v>45423580.539999999</v>
      </c>
      <c r="AB148" s="4">
        <v>2358662.3199999998</v>
      </c>
      <c r="AC148" s="4">
        <v>111176231.64999999</v>
      </c>
      <c r="AD148" s="4">
        <v>10560363.99</v>
      </c>
      <c r="AE148" s="4">
        <v>12402237.199999999</v>
      </c>
      <c r="AF148" s="4">
        <v>31385591.280000001</v>
      </c>
      <c r="AG148" s="4">
        <v>7376283.0600000005</v>
      </c>
      <c r="AH148" s="4">
        <v>26124211.93</v>
      </c>
      <c r="AI148" s="4">
        <v>1507663.95</v>
      </c>
      <c r="AJ148" s="4">
        <v>3712048.36</v>
      </c>
      <c r="AK148" s="4">
        <v>3350549.9300000006</v>
      </c>
      <c r="AL148" s="4">
        <v>5264021.8600000013</v>
      </c>
      <c r="AM148" s="4">
        <v>7940823.2999999998</v>
      </c>
      <c r="AN148" s="4">
        <v>19916287.710000001</v>
      </c>
      <c r="AO148" s="4">
        <v>5178716.75</v>
      </c>
      <c r="AP148" s="4">
        <v>10955132.239999998</v>
      </c>
      <c r="AQ148" s="4">
        <v>8613963.1400000006</v>
      </c>
      <c r="AR148" s="4">
        <v>1394375.86</v>
      </c>
      <c r="AS148" s="4">
        <v>950369.23</v>
      </c>
      <c r="AT148" s="4">
        <v>2465934.14</v>
      </c>
      <c r="AU148" s="4">
        <v>4994056.8499999996</v>
      </c>
      <c r="AV148" s="4">
        <v>129962579.98999998</v>
      </c>
      <c r="AW148" s="4">
        <v>3884606.9300000006</v>
      </c>
      <c r="AX148" s="4">
        <v>1751918.17</v>
      </c>
      <c r="AY148" s="4">
        <v>4903416.4800000004</v>
      </c>
      <c r="AZ148" s="4">
        <v>11057936.689999999</v>
      </c>
      <c r="BA148" s="4">
        <v>4492723.8600000003</v>
      </c>
      <c r="BB148" s="4">
        <v>1804258.14</v>
      </c>
      <c r="BC148" s="4">
        <v>4115534.41</v>
      </c>
      <c r="BD148" s="4">
        <v>48551543.280000001</v>
      </c>
      <c r="BE148" s="4">
        <v>1843777.77</v>
      </c>
      <c r="BF148" s="4">
        <v>1309855.17</v>
      </c>
      <c r="BG148" s="4">
        <v>0</v>
      </c>
      <c r="BH148" s="4">
        <f t="shared" si="19"/>
        <v>732464310.58999991</v>
      </c>
    </row>
    <row r="149" spans="1:60" ht="15.75" thickBot="1" x14ac:dyDescent="0.25">
      <c r="A149" s="3" t="s">
        <v>170</v>
      </c>
      <c r="B149" s="5">
        <f t="shared" ref="B149:BF149" si="20">SUM(B137:B148)</f>
        <v>255397753.62</v>
      </c>
      <c r="C149" s="5">
        <f t="shared" si="20"/>
        <v>19240306.580000002</v>
      </c>
      <c r="D149" s="5">
        <f t="shared" si="20"/>
        <v>119403114.72</v>
      </c>
      <c r="E149" s="5">
        <f t="shared" si="20"/>
        <v>36596490.240000002</v>
      </c>
      <c r="F149" s="5">
        <f t="shared" si="20"/>
        <v>34258830.259999998</v>
      </c>
      <c r="G149" s="5">
        <f t="shared" si="20"/>
        <v>54721222.209999993</v>
      </c>
      <c r="H149" s="5">
        <f t="shared" si="20"/>
        <v>56778592.359999999</v>
      </c>
      <c r="I149" s="5">
        <f t="shared" si="20"/>
        <v>20793363.870000001</v>
      </c>
      <c r="J149" s="5">
        <f t="shared" si="20"/>
        <v>51155555.530000009</v>
      </c>
      <c r="K149" s="5">
        <f t="shared" si="20"/>
        <v>35731051.229999989</v>
      </c>
      <c r="L149" s="5">
        <f t="shared" si="20"/>
        <v>28130708.539999999</v>
      </c>
      <c r="M149" s="5">
        <f t="shared" si="20"/>
        <v>20350463.640000001</v>
      </c>
      <c r="N149" s="5">
        <f t="shared" si="20"/>
        <v>175534822.03000003</v>
      </c>
      <c r="O149" s="5">
        <f t="shared" si="20"/>
        <v>741699281.03000009</v>
      </c>
      <c r="P149" s="5">
        <f t="shared" si="20"/>
        <v>27662963.289999999</v>
      </c>
      <c r="Q149" s="5">
        <f t="shared" si="20"/>
        <v>21094617.579999998</v>
      </c>
      <c r="R149" s="5">
        <f t="shared" si="20"/>
        <v>19498239.150000002</v>
      </c>
      <c r="S149" s="5">
        <f t="shared" si="20"/>
        <v>37947723.049999997</v>
      </c>
      <c r="T149" s="5">
        <f t="shared" si="20"/>
        <v>29639490.330000006</v>
      </c>
      <c r="U149" s="5">
        <f t="shared" si="20"/>
        <v>3724090.89</v>
      </c>
      <c r="V149" s="5">
        <f t="shared" si="20"/>
        <v>30855232.870000005</v>
      </c>
      <c r="W149" s="5">
        <f t="shared" si="20"/>
        <v>69466065.020000011</v>
      </c>
      <c r="X149" s="5">
        <f t="shared" si="20"/>
        <v>11607852.529999999</v>
      </c>
      <c r="Y149" s="5">
        <f t="shared" si="20"/>
        <v>30414966.909999996</v>
      </c>
      <c r="Z149" s="5">
        <f t="shared" si="20"/>
        <v>25809810.379999999</v>
      </c>
      <c r="AA149" s="5">
        <f t="shared" si="20"/>
        <v>456451097.08999997</v>
      </c>
      <c r="AB149" s="5">
        <f t="shared" si="20"/>
        <v>27211535.590000004</v>
      </c>
      <c r="AC149" s="5">
        <f t="shared" si="20"/>
        <v>1105068853.1400001</v>
      </c>
      <c r="AD149" s="5">
        <f t="shared" si="20"/>
        <v>117485897.34999999</v>
      </c>
      <c r="AE149" s="5">
        <f t="shared" si="20"/>
        <v>129854010.48</v>
      </c>
      <c r="AF149" s="5">
        <f t="shared" si="20"/>
        <v>336336786.98000002</v>
      </c>
      <c r="AG149" s="5">
        <f t="shared" si="20"/>
        <v>78808511.24000001</v>
      </c>
      <c r="AH149" s="5">
        <f t="shared" si="20"/>
        <v>263555675.23999998</v>
      </c>
      <c r="AI149" s="5">
        <f t="shared" si="20"/>
        <v>15469949.889999999</v>
      </c>
      <c r="AJ149" s="5">
        <f t="shared" si="20"/>
        <v>41005561.780000001</v>
      </c>
      <c r="AK149" s="5">
        <f t="shared" si="20"/>
        <v>35377890.399999999</v>
      </c>
      <c r="AL149" s="5">
        <f t="shared" si="20"/>
        <v>53953399.960000001</v>
      </c>
      <c r="AM149" s="5">
        <f t="shared" si="20"/>
        <v>79314091.169999987</v>
      </c>
      <c r="AN149" s="5">
        <f t="shared" si="20"/>
        <v>197839377.64000002</v>
      </c>
      <c r="AO149" s="5">
        <f t="shared" si="20"/>
        <v>54940283.029999994</v>
      </c>
      <c r="AP149" s="5">
        <f t="shared" si="20"/>
        <v>114270234.69999999</v>
      </c>
      <c r="AQ149" s="5">
        <f t="shared" si="20"/>
        <v>94225420.179999992</v>
      </c>
      <c r="AR149" s="5">
        <f t="shared" si="20"/>
        <v>14104674.249999998</v>
      </c>
      <c r="AS149" s="5">
        <f t="shared" si="20"/>
        <v>10262786.000000002</v>
      </c>
      <c r="AT149" s="5">
        <f t="shared" si="20"/>
        <v>23347144.779999997</v>
      </c>
      <c r="AU149" s="5">
        <f t="shared" si="20"/>
        <v>51482879.880000003</v>
      </c>
      <c r="AV149" s="5">
        <f t="shared" si="20"/>
        <v>1309741102.8500001</v>
      </c>
      <c r="AW149" s="5">
        <f t="shared" si="20"/>
        <v>36444965.390000001</v>
      </c>
      <c r="AX149" s="5">
        <f t="shared" si="20"/>
        <v>19549029.899999999</v>
      </c>
      <c r="AY149" s="5">
        <f t="shared" si="20"/>
        <v>48706344.049999997</v>
      </c>
      <c r="AZ149" s="5">
        <f t="shared" si="20"/>
        <v>107770020.23999999</v>
      </c>
      <c r="BA149" s="5">
        <f t="shared" si="20"/>
        <v>50124220.75</v>
      </c>
      <c r="BB149" s="5">
        <f t="shared" si="20"/>
        <v>19964841.199999999</v>
      </c>
      <c r="BC149" s="5">
        <f t="shared" si="20"/>
        <v>41117200.510000005</v>
      </c>
      <c r="BD149" s="5">
        <f t="shared" si="20"/>
        <v>499527981.06000006</v>
      </c>
      <c r="BE149" s="5">
        <f t="shared" si="20"/>
        <v>16591137.859999999</v>
      </c>
      <c r="BF149" s="5">
        <f t="shared" si="20"/>
        <v>10933499.050000001</v>
      </c>
      <c r="BG149" s="5">
        <v>0</v>
      </c>
      <c r="BH149" s="5">
        <f t="shared" si="19"/>
        <v>7418349011.4900007</v>
      </c>
    </row>
    <row r="150" spans="1:60" ht="15.75" thickTop="1" x14ac:dyDescent="0.2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</row>
    <row r="151" spans="1:60" x14ac:dyDescent="0.2">
      <c r="A151" s="3">
        <v>41640</v>
      </c>
      <c r="B151" s="4">
        <v>19535724.57</v>
      </c>
      <c r="C151" s="4">
        <v>1455283.42</v>
      </c>
      <c r="D151" s="4">
        <v>10021090.960000001</v>
      </c>
      <c r="E151" s="4">
        <v>2678099.69</v>
      </c>
      <c r="F151" s="4">
        <v>2593577.2999999998</v>
      </c>
      <c r="G151" s="4">
        <v>3489897.46</v>
      </c>
      <c r="H151" s="4">
        <v>4651473.22</v>
      </c>
      <c r="I151" s="4">
        <v>1408504.69</v>
      </c>
      <c r="J151" s="4">
        <v>3881752.83</v>
      </c>
      <c r="K151" s="4">
        <v>2231045.1200000001</v>
      </c>
      <c r="L151" s="4">
        <v>2057136.08</v>
      </c>
      <c r="M151" s="4">
        <v>1348906.42</v>
      </c>
      <c r="N151" s="4">
        <v>12693163.609999999</v>
      </c>
      <c r="O151" s="4">
        <v>55621812.18</v>
      </c>
      <c r="P151" s="4">
        <v>1721984.74</v>
      </c>
      <c r="Q151" s="4">
        <v>1487020.82</v>
      </c>
      <c r="R151" s="4">
        <v>1292268.48</v>
      </c>
      <c r="S151" s="4">
        <v>2444421.27</v>
      </c>
      <c r="T151" s="4">
        <v>1983303.82</v>
      </c>
      <c r="U151" s="4">
        <v>176249.74</v>
      </c>
      <c r="V151" s="4">
        <v>1980861.89</v>
      </c>
      <c r="W151" s="4">
        <v>5160283.26</v>
      </c>
      <c r="X151" s="4">
        <v>696270.59</v>
      </c>
      <c r="Y151" s="4">
        <v>1963440.74</v>
      </c>
      <c r="Z151" s="4">
        <v>1670370.1</v>
      </c>
      <c r="AA151" s="4">
        <v>34392813.960000001</v>
      </c>
      <c r="AB151" s="4">
        <v>1993053.15</v>
      </c>
      <c r="AC151" s="4">
        <v>94430435.120000005</v>
      </c>
      <c r="AD151" s="4">
        <v>8725626.4499999993</v>
      </c>
      <c r="AE151" s="4">
        <v>9870330.5099999998</v>
      </c>
      <c r="AF151" s="4">
        <v>24793119.949999999</v>
      </c>
      <c r="AG151" s="4">
        <v>5964943.7800000003</v>
      </c>
      <c r="AH151" s="4">
        <v>19952346.02</v>
      </c>
      <c r="AI151" s="4">
        <v>1078447.77</v>
      </c>
      <c r="AJ151" s="4">
        <v>2883214.52</v>
      </c>
      <c r="AK151" s="4">
        <v>2315635.8199999998</v>
      </c>
      <c r="AL151" s="4">
        <v>3910112.52</v>
      </c>
      <c r="AM151" s="4">
        <v>5651523.4100000001</v>
      </c>
      <c r="AN151" s="4">
        <v>15259473.939999999</v>
      </c>
      <c r="AO151" s="4">
        <v>4248112.42</v>
      </c>
      <c r="AP151" s="4">
        <v>8123246.1900000004</v>
      </c>
      <c r="AQ151" s="4">
        <v>7272841</v>
      </c>
      <c r="AR151" s="4">
        <v>945059.61</v>
      </c>
      <c r="AS151" s="4">
        <v>547407.65</v>
      </c>
      <c r="AT151" s="4">
        <v>1526345.32</v>
      </c>
      <c r="AU151" s="4">
        <v>3079623.26</v>
      </c>
      <c r="AV151" s="4">
        <v>98050573.599999994</v>
      </c>
      <c r="AW151" s="4">
        <v>2104698.04</v>
      </c>
      <c r="AX151" s="4">
        <v>1387714.7</v>
      </c>
      <c r="AY151" s="4">
        <v>3461890.84</v>
      </c>
      <c r="AZ151" s="4">
        <v>5713616.5</v>
      </c>
      <c r="BA151" s="4">
        <v>3332101.69</v>
      </c>
      <c r="BB151" s="4">
        <v>1317884.8799999999</v>
      </c>
      <c r="BC151" s="4">
        <v>2678935.75</v>
      </c>
      <c r="BD151" s="4">
        <v>41822854.07</v>
      </c>
      <c r="BE151" s="4">
        <v>1014542.64</v>
      </c>
      <c r="BF151" s="4">
        <v>595674.1</v>
      </c>
      <c r="BG151" s="4">
        <v>0</v>
      </c>
      <c r="BH151" s="4">
        <f t="shared" ref="BH151:BH162" si="21">SUM(B151:BG151)</f>
        <v>562688142.17999983</v>
      </c>
    </row>
    <row r="152" spans="1:60" x14ac:dyDescent="0.2">
      <c r="A152" s="3">
        <v>41671</v>
      </c>
      <c r="B152" s="4">
        <v>16948114.25</v>
      </c>
      <c r="C152" s="4">
        <v>1193417.21</v>
      </c>
      <c r="D152" s="4">
        <v>8711420.6600000001</v>
      </c>
      <c r="E152" s="4">
        <v>2329400.58</v>
      </c>
      <c r="F152" s="4">
        <v>2145945.16</v>
      </c>
      <c r="G152" s="4">
        <v>2999927.96</v>
      </c>
      <c r="H152" s="4">
        <v>4005989.63</v>
      </c>
      <c r="I152" s="4">
        <v>1195670.78</v>
      </c>
      <c r="J152" s="4">
        <v>3399409.59</v>
      </c>
      <c r="K152" s="4">
        <v>1944512.19</v>
      </c>
      <c r="L152" s="4">
        <v>1816353.03</v>
      </c>
      <c r="M152" s="4">
        <v>1114505.96</v>
      </c>
      <c r="N152" s="4">
        <v>10709656.1</v>
      </c>
      <c r="O152" s="4">
        <v>48734704.920000002</v>
      </c>
      <c r="P152" s="4">
        <v>1506298.23</v>
      </c>
      <c r="Q152" s="4">
        <v>1282765.01</v>
      </c>
      <c r="R152" s="4">
        <v>1096088.33</v>
      </c>
      <c r="S152" s="4">
        <v>2236926.5</v>
      </c>
      <c r="T152" s="4">
        <v>1705807.54</v>
      </c>
      <c r="U152" s="4">
        <v>151270.93</v>
      </c>
      <c r="V152" s="4">
        <v>1710981.73</v>
      </c>
      <c r="W152" s="4">
        <v>4493354.83</v>
      </c>
      <c r="X152" s="4">
        <v>599790.21</v>
      </c>
      <c r="Y152" s="4">
        <v>1739382.26</v>
      </c>
      <c r="Z152" s="4">
        <v>1429090.3</v>
      </c>
      <c r="AA152" s="4">
        <v>29957718.32</v>
      </c>
      <c r="AB152" s="4">
        <v>1719669.43</v>
      </c>
      <c r="AC152" s="4">
        <v>83994576.180000007</v>
      </c>
      <c r="AD152" s="4">
        <v>7486173.3799999999</v>
      </c>
      <c r="AE152" s="4">
        <v>8538254.8300000001</v>
      </c>
      <c r="AF152" s="4">
        <v>21400204.43</v>
      </c>
      <c r="AG152" s="4">
        <v>5135796.1500000004</v>
      </c>
      <c r="AH152" s="4">
        <v>17344133.52</v>
      </c>
      <c r="AI152" s="4">
        <v>973425.19</v>
      </c>
      <c r="AJ152" s="4">
        <v>2414653.13</v>
      </c>
      <c r="AK152" s="4">
        <v>1883575.77</v>
      </c>
      <c r="AL152" s="4">
        <v>3270383.07</v>
      </c>
      <c r="AM152" s="4">
        <v>4869495.1900000004</v>
      </c>
      <c r="AN152" s="4">
        <v>12930794.960000001</v>
      </c>
      <c r="AO152" s="4">
        <v>3686866.01</v>
      </c>
      <c r="AP152" s="4">
        <v>6883091.5700000003</v>
      </c>
      <c r="AQ152" s="4">
        <v>6160479.3899999997</v>
      </c>
      <c r="AR152" s="4">
        <v>818038.43</v>
      </c>
      <c r="AS152" s="4">
        <v>478036.21</v>
      </c>
      <c r="AT152" s="4">
        <v>1357726.88</v>
      </c>
      <c r="AU152" s="4">
        <v>2640669.4700000002</v>
      </c>
      <c r="AV152" s="4">
        <v>84648569.269999996</v>
      </c>
      <c r="AW152" s="4">
        <v>1833062.86</v>
      </c>
      <c r="AX152" s="4">
        <v>1239137.26</v>
      </c>
      <c r="AY152" s="4">
        <v>2938644.03</v>
      </c>
      <c r="AZ152" s="4">
        <v>4955318.37</v>
      </c>
      <c r="BA152" s="4">
        <v>2775044.03</v>
      </c>
      <c r="BB152" s="4">
        <v>1107950.02</v>
      </c>
      <c r="BC152" s="4">
        <v>2303922.61</v>
      </c>
      <c r="BD152" s="4">
        <v>35402453.840000004</v>
      </c>
      <c r="BE152" s="4">
        <v>879282.38</v>
      </c>
      <c r="BF152" s="4">
        <v>497119.84</v>
      </c>
      <c r="BG152" s="4">
        <v>0</v>
      </c>
      <c r="BH152" s="4">
        <f t="shared" si="21"/>
        <v>487725049.90999979</v>
      </c>
    </row>
    <row r="153" spans="1:60" x14ac:dyDescent="0.2">
      <c r="A153" s="3">
        <v>41699</v>
      </c>
      <c r="B153" s="4">
        <v>23513315.199999999</v>
      </c>
      <c r="C153" s="4">
        <v>2294948.02</v>
      </c>
      <c r="D153" s="4">
        <v>9778269.8000000007</v>
      </c>
      <c r="E153" s="4">
        <v>4084688.37</v>
      </c>
      <c r="F153" s="4">
        <v>3284867.52</v>
      </c>
      <c r="G153" s="4">
        <v>5673982.3499999996</v>
      </c>
      <c r="H153" s="4">
        <v>5452946.0800000001</v>
      </c>
      <c r="I153" s="4">
        <v>2098251.13</v>
      </c>
      <c r="J153" s="4">
        <v>4791169.17</v>
      </c>
      <c r="K153" s="4">
        <v>3790033.79</v>
      </c>
      <c r="L153" s="4">
        <v>3012473.53</v>
      </c>
      <c r="M153" s="4">
        <v>2389896.98</v>
      </c>
      <c r="N153" s="4">
        <v>16215020.640000001</v>
      </c>
      <c r="O153" s="4">
        <v>68922418.129999995</v>
      </c>
      <c r="P153" s="4">
        <v>2740694.86</v>
      </c>
      <c r="Q153" s="4">
        <v>2271187.14</v>
      </c>
      <c r="R153" s="4">
        <v>1894270.85</v>
      </c>
      <c r="S153" s="4">
        <v>3668254.15</v>
      </c>
      <c r="T153" s="4">
        <v>2866842.91</v>
      </c>
      <c r="U153" s="4">
        <v>298876.52</v>
      </c>
      <c r="V153" s="4">
        <v>3161157.94</v>
      </c>
      <c r="W153" s="4">
        <v>6123184.7699999996</v>
      </c>
      <c r="X153" s="4">
        <v>1480449.32</v>
      </c>
      <c r="Y153" s="4">
        <v>3139677.27</v>
      </c>
      <c r="Z153" s="4">
        <v>2642609.4900000002</v>
      </c>
      <c r="AA153" s="4">
        <v>42945978.060000002</v>
      </c>
      <c r="AB153" s="4">
        <v>2896609.43</v>
      </c>
      <c r="AC153" s="4">
        <v>75811981.430000007</v>
      </c>
      <c r="AD153" s="4">
        <v>10880929.35</v>
      </c>
      <c r="AE153" s="4">
        <v>13144417.5</v>
      </c>
      <c r="AF153" s="4">
        <v>32161601.890000001</v>
      </c>
      <c r="AG153" s="4">
        <v>7206929.5199999996</v>
      </c>
      <c r="AH153" s="4">
        <v>23805436.030000001</v>
      </c>
      <c r="AI153" s="4">
        <v>1565283.68</v>
      </c>
      <c r="AJ153" s="4">
        <v>3907948.8</v>
      </c>
      <c r="AK153" s="4">
        <v>3358853.96</v>
      </c>
      <c r="AL153" s="4">
        <v>5708091.0499999998</v>
      </c>
      <c r="AM153" s="4">
        <v>8092982</v>
      </c>
      <c r="AN153" s="4">
        <v>20935020.079999998</v>
      </c>
      <c r="AO153" s="4">
        <v>5381341.71</v>
      </c>
      <c r="AP153" s="4">
        <v>10376566.039999999</v>
      </c>
      <c r="AQ153" s="4">
        <v>9463576.25</v>
      </c>
      <c r="AR153" s="4">
        <v>1666082.57</v>
      </c>
      <c r="AS153" s="4">
        <v>905391.3</v>
      </c>
      <c r="AT153" s="4">
        <v>1984574.04</v>
      </c>
      <c r="AU153" s="4">
        <v>4690507.97</v>
      </c>
      <c r="AV153" s="4">
        <v>111587905.8</v>
      </c>
      <c r="AW153" s="4">
        <v>3407243.21</v>
      </c>
      <c r="AX153" s="4">
        <v>2153537.67</v>
      </c>
      <c r="AY153" s="4">
        <v>5028413.09</v>
      </c>
      <c r="AZ153" s="4">
        <v>10141944.550000001</v>
      </c>
      <c r="BA153" s="4">
        <v>4068824.58</v>
      </c>
      <c r="BB153" s="4">
        <v>1882739.76</v>
      </c>
      <c r="BC153" s="4">
        <v>4290121.03</v>
      </c>
      <c r="BD153" s="4">
        <v>46602115.009999998</v>
      </c>
      <c r="BE153" s="4">
        <v>1808084.9</v>
      </c>
      <c r="BF153" s="4">
        <v>1103616.99</v>
      </c>
      <c r="BG153" s="4">
        <v>0</v>
      </c>
      <c r="BH153" s="4">
        <f t="shared" si="21"/>
        <v>664554135.17999995</v>
      </c>
    </row>
    <row r="154" spans="1:60" x14ac:dyDescent="0.2">
      <c r="A154" s="3">
        <v>41730</v>
      </c>
      <c r="B154" s="4">
        <v>18323190.760000002</v>
      </c>
      <c r="C154" s="4">
        <v>1383143.04</v>
      </c>
      <c r="D154" s="4">
        <v>9464297.4700000007</v>
      </c>
      <c r="E154" s="4">
        <v>2474754.87</v>
      </c>
      <c r="F154" s="4">
        <v>2565166.83</v>
      </c>
      <c r="G154" s="4">
        <v>3903906.71</v>
      </c>
      <c r="H154" s="4">
        <v>4422371.4800000004</v>
      </c>
      <c r="I154" s="4">
        <v>1537412.03</v>
      </c>
      <c r="J154" s="4">
        <v>4201664.47</v>
      </c>
      <c r="K154" s="4">
        <v>2462780.58</v>
      </c>
      <c r="L154" s="4">
        <v>2065322.52</v>
      </c>
      <c r="M154" s="4">
        <v>1461551.61</v>
      </c>
      <c r="N154" s="4">
        <v>13748084.9</v>
      </c>
      <c r="O154" s="4">
        <v>54962158.359999999</v>
      </c>
      <c r="P154" s="4">
        <v>1691520.59</v>
      </c>
      <c r="Q154" s="4">
        <v>1484691.31</v>
      </c>
      <c r="R154" s="4">
        <v>1384443.02</v>
      </c>
      <c r="S154" s="4">
        <v>2643104.41</v>
      </c>
      <c r="T154" s="4">
        <v>1929148.06</v>
      </c>
      <c r="U154" s="4">
        <v>165811.81</v>
      </c>
      <c r="V154" s="4">
        <v>2038843.81</v>
      </c>
      <c r="W154" s="4">
        <v>5299021.53</v>
      </c>
      <c r="X154" s="4">
        <v>778983.6</v>
      </c>
      <c r="Y154" s="4">
        <v>2078026.67</v>
      </c>
      <c r="Z154" s="4">
        <v>1818012.64</v>
      </c>
      <c r="AA154" s="4">
        <v>33180900.66</v>
      </c>
      <c r="AB154" s="4">
        <v>2026458.18</v>
      </c>
      <c r="AC154" s="4">
        <v>89475997.530000001</v>
      </c>
      <c r="AD154" s="4">
        <v>8928790.5500000007</v>
      </c>
      <c r="AE154" s="4">
        <v>9643052.9100000001</v>
      </c>
      <c r="AF154" s="4">
        <v>25104600.039999999</v>
      </c>
      <c r="AG154" s="4">
        <v>5663319.1500000004</v>
      </c>
      <c r="AH154" s="4">
        <v>19991113.489999998</v>
      </c>
      <c r="AI154" s="4">
        <v>1131091.6200000001</v>
      </c>
      <c r="AJ154" s="4">
        <v>3129766.36</v>
      </c>
      <c r="AK154" s="4">
        <v>2523412.04</v>
      </c>
      <c r="AL154" s="4">
        <v>4077701</v>
      </c>
      <c r="AM154" s="4">
        <v>6006469.4400000004</v>
      </c>
      <c r="AN154" s="4">
        <v>14795560.66</v>
      </c>
      <c r="AO154" s="4">
        <v>4203405.63</v>
      </c>
      <c r="AP154" s="4">
        <v>8171636.1200000001</v>
      </c>
      <c r="AQ154" s="4">
        <v>6989832.6799999997</v>
      </c>
      <c r="AR154" s="4">
        <v>981593.51</v>
      </c>
      <c r="AS154" s="4">
        <v>653779.26</v>
      </c>
      <c r="AT154" s="4">
        <v>1778992.56</v>
      </c>
      <c r="AU154" s="4">
        <v>3698245.34</v>
      </c>
      <c r="AV154" s="4">
        <v>100270699.68000001</v>
      </c>
      <c r="AW154" s="4">
        <v>2365621.09</v>
      </c>
      <c r="AX154" s="4">
        <v>1431532.45</v>
      </c>
      <c r="AY154" s="4">
        <v>3522751.02</v>
      </c>
      <c r="AZ154" s="4">
        <v>7612431.5700000003</v>
      </c>
      <c r="BA154" s="4">
        <v>3382830.99</v>
      </c>
      <c r="BB154" s="4">
        <v>1518562.37</v>
      </c>
      <c r="BC154" s="4">
        <v>3121560.46</v>
      </c>
      <c r="BD154" s="4">
        <v>38348515.840000004</v>
      </c>
      <c r="BE154" s="4">
        <v>1163806.21</v>
      </c>
      <c r="BF154" s="4">
        <v>694214.1</v>
      </c>
      <c r="BG154" s="4">
        <v>0</v>
      </c>
      <c r="BH154" s="4">
        <f t="shared" si="21"/>
        <v>559875657.59000003</v>
      </c>
    </row>
    <row r="155" spans="1:60" x14ac:dyDescent="0.2">
      <c r="A155" s="3">
        <v>41760</v>
      </c>
      <c r="B155" s="4">
        <v>17678384.920000002</v>
      </c>
      <c r="C155" s="4">
        <v>1434510.53</v>
      </c>
      <c r="D155" s="4">
        <v>8903499.7599999998</v>
      </c>
      <c r="E155" s="4">
        <v>2565086.4500000002</v>
      </c>
      <c r="F155" s="4">
        <v>2507997.7799999998</v>
      </c>
      <c r="G155" s="4">
        <v>3877602.69</v>
      </c>
      <c r="H155" s="4">
        <v>4409219.8099999996</v>
      </c>
      <c r="I155" s="4">
        <v>1483648.16</v>
      </c>
      <c r="J155" s="4">
        <v>4278646.0999999996</v>
      </c>
      <c r="K155" s="4">
        <v>2329434.94</v>
      </c>
      <c r="L155" s="4">
        <v>2036979.12</v>
      </c>
      <c r="M155" s="4">
        <v>1472940.01</v>
      </c>
      <c r="N155" s="4">
        <v>13310234.98</v>
      </c>
      <c r="O155" s="4">
        <v>53264690.520000003</v>
      </c>
      <c r="P155" s="4">
        <v>1661505.1</v>
      </c>
      <c r="Q155" s="4">
        <v>1444169.18</v>
      </c>
      <c r="R155" s="4">
        <v>1367321.79</v>
      </c>
      <c r="S155" s="4">
        <v>2649713.91</v>
      </c>
      <c r="T155" s="4">
        <v>1935032.23</v>
      </c>
      <c r="U155" s="4">
        <v>180595.9</v>
      </c>
      <c r="V155" s="4">
        <v>2045444.29</v>
      </c>
      <c r="W155" s="4">
        <v>5411055.0499999998</v>
      </c>
      <c r="X155" s="4">
        <v>759936.78</v>
      </c>
      <c r="Y155" s="4">
        <v>2183820.73</v>
      </c>
      <c r="Z155" s="4">
        <v>1817486.96</v>
      </c>
      <c r="AA155" s="4">
        <v>34182963.259999998</v>
      </c>
      <c r="AB155" s="4">
        <v>2014467.69</v>
      </c>
      <c r="AC155" s="4">
        <v>89798180.760000005</v>
      </c>
      <c r="AD155" s="4">
        <v>8745283.4399999995</v>
      </c>
      <c r="AE155" s="4">
        <v>9984109.2599999998</v>
      </c>
      <c r="AF155" s="4">
        <v>24923229.989999998</v>
      </c>
      <c r="AG155" s="4">
        <v>5560279.4199999999</v>
      </c>
      <c r="AH155" s="4">
        <v>20497390.5</v>
      </c>
      <c r="AI155" s="4">
        <v>1191417.93</v>
      </c>
      <c r="AJ155" s="4">
        <v>3055795.89</v>
      </c>
      <c r="AK155" s="4">
        <v>2526242.64</v>
      </c>
      <c r="AL155" s="4">
        <v>3877358.5</v>
      </c>
      <c r="AM155" s="4">
        <v>5911757.9400000004</v>
      </c>
      <c r="AN155" s="4">
        <v>14529344.84</v>
      </c>
      <c r="AO155" s="4">
        <v>4131337.81</v>
      </c>
      <c r="AP155" s="4">
        <v>8222048.8799999999</v>
      </c>
      <c r="AQ155" s="4">
        <v>6926821.9800000004</v>
      </c>
      <c r="AR155" s="4">
        <v>965635.65</v>
      </c>
      <c r="AS155" s="4">
        <v>638138.89</v>
      </c>
      <c r="AT155" s="4">
        <v>1752569.69</v>
      </c>
      <c r="AU155" s="4">
        <v>3364455.77</v>
      </c>
      <c r="AV155" s="4">
        <v>98763198.680000007</v>
      </c>
      <c r="AW155" s="4">
        <v>2382718.73</v>
      </c>
      <c r="AX155" s="4">
        <v>1353476.71</v>
      </c>
      <c r="AY155" s="4">
        <v>3493045.14</v>
      </c>
      <c r="AZ155" s="4">
        <v>7753545.96</v>
      </c>
      <c r="BA155" s="4">
        <v>3355793.92</v>
      </c>
      <c r="BB155" s="4">
        <v>1348158.35</v>
      </c>
      <c r="BC155" s="4">
        <v>3019499.79</v>
      </c>
      <c r="BD155" s="4">
        <v>39025891.020000003</v>
      </c>
      <c r="BE155" s="4">
        <v>1181910.2</v>
      </c>
      <c r="BF155" s="4">
        <v>1000311.88</v>
      </c>
      <c r="BG155" s="4">
        <v>0</v>
      </c>
      <c r="BH155" s="4">
        <f t="shared" si="21"/>
        <v>556485338.80000007</v>
      </c>
    </row>
    <row r="156" spans="1:60" x14ac:dyDescent="0.2">
      <c r="A156" s="3">
        <v>41791</v>
      </c>
      <c r="B156" s="4">
        <v>26175438.130000003</v>
      </c>
      <c r="C156" s="4">
        <v>2355525.46</v>
      </c>
      <c r="D156" s="4">
        <v>11472816.640000001</v>
      </c>
      <c r="E156" s="4">
        <v>4023086.2400000007</v>
      </c>
      <c r="F156" s="4">
        <v>3791490.7399999998</v>
      </c>
      <c r="G156" s="4">
        <v>5738553.8099999996</v>
      </c>
      <c r="H156" s="4">
        <v>5514416.2300000004</v>
      </c>
      <c r="I156" s="4">
        <v>2179541.5299999998</v>
      </c>
      <c r="J156" s="4">
        <v>5078073.0499999989</v>
      </c>
      <c r="K156" s="4">
        <v>4214559.93</v>
      </c>
      <c r="L156" s="4">
        <v>3385252.03</v>
      </c>
      <c r="M156" s="4">
        <v>2489239.64</v>
      </c>
      <c r="N156" s="4">
        <v>19143297.25</v>
      </c>
      <c r="O156" s="4">
        <v>73484146.349999994</v>
      </c>
      <c r="P156" s="4">
        <v>3118065.98</v>
      </c>
      <c r="Q156" s="4">
        <v>2483174.1800000002</v>
      </c>
      <c r="R156" s="4">
        <v>2034405.7800000003</v>
      </c>
      <c r="S156" s="4">
        <v>4249013.38</v>
      </c>
      <c r="T156" s="4">
        <v>3208398.61</v>
      </c>
      <c r="U156" s="4">
        <v>400247.18</v>
      </c>
      <c r="V156" s="4">
        <v>3103072.15</v>
      </c>
      <c r="W156" s="4">
        <v>7079382.8899999987</v>
      </c>
      <c r="X156" s="4">
        <v>1456882.63</v>
      </c>
      <c r="Y156" s="4">
        <v>3642314.8999999994</v>
      </c>
      <c r="Z156" s="4">
        <v>2783030.91</v>
      </c>
      <c r="AA156" s="4">
        <v>46575030.609999999</v>
      </c>
      <c r="AB156" s="4">
        <v>3267983.0999999996</v>
      </c>
      <c r="AC156" s="4">
        <v>99593862.420000002</v>
      </c>
      <c r="AD156" s="4">
        <v>12113887.529999999</v>
      </c>
      <c r="AE156" s="4">
        <v>12607438.23</v>
      </c>
      <c r="AF156" s="4">
        <v>33502830.239999998</v>
      </c>
      <c r="AG156" s="4">
        <v>7487200.3300000001</v>
      </c>
      <c r="AH156" s="4">
        <v>23942071.829999998</v>
      </c>
      <c r="AI156" s="4">
        <v>1801926.44</v>
      </c>
      <c r="AJ156" s="4">
        <v>4440959.75</v>
      </c>
      <c r="AK156" s="4">
        <v>4026939.89</v>
      </c>
      <c r="AL156" s="4">
        <v>5970490.0899999999</v>
      </c>
      <c r="AM156" s="4">
        <v>8518766.7300000004</v>
      </c>
      <c r="AN156" s="4">
        <v>19283718.239999998</v>
      </c>
      <c r="AO156" s="4">
        <v>6014306.4500000002</v>
      </c>
      <c r="AP156" s="4">
        <v>11438156.1</v>
      </c>
      <c r="AQ156" s="4">
        <v>10558425.460000001</v>
      </c>
      <c r="AR156" s="4">
        <v>1739557.9100000001</v>
      </c>
      <c r="AS156" s="4">
        <v>1155794.08</v>
      </c>
      <c r="AT156" s="4">
        <v>2221818.1500000004</v>
      </c>
      <c r="AU156" s="4">
        <v>4897085.95</v>
      </c>
      <c r="AV156" s="4">
        <v>131064690.13</v>
      </c>
      <c r="AW156" s="4">
        <v>4116294.2699999996</v>
      </c>
      <c r="AX156" s="4">
        <v>2225851.2200000002</v>
      </c>
      <c r="AY156" s="4">
        <v>5452066.4800000004</v>
      </c>
      <c r="AZ156" s="4">
        <v>11125668.92</v>
      </c>
      <c r="BA156" s="4">
        <v>5035755.13</v>
      </c>
      <c r="BB156" s="4">
        <v>2212177.85</v>
      </c>
      <c r="BC156" s="4">
        <v>4682403.67</v>
      </c>
      <c r="BD156" s="4">
        <v>50562949.520000011</v>
      </c>
      <c r="BE156" s="4">
        <v>1940253.37</v>
      </c>
      <c r="BF156" s="4">
        <v>1005833.9100000001</v>
      </c>
      <c r="BG156" s="4">
        <v>0</v>
      </c>
      <c r="BH156" s="4">
        <f t="shared" si="21"/>
        <v>743185619.61999989</v>
      </c>
    </row>
    <row r="157" spans="1:60" x14ac:dyDescent="0.2">
      <c r="A157" s="3">
        <v>41821</v>
      </c>
      <c r="B157" s="4">
        <v>18952782.93</v>
      </c>
      <c r="C157" s="4">
        <v>1433971.91</v>
      </c>
      <c r="D157" s="4">
        <v>9690830.1600000001</v>
      </c>
      <c r="E157" s="4">
        <v>2738864.69</v>
      </c>
      <c r="F157" s="4">
        <v>2844966.41</v>
      </c>
      <c r="G157" s="4">
        <v>4348295.75</v>
      </c>
      <c r="H157" s="4">
        <v>4439944.91</v>
      </c>
      <c r="I157" s="4">
        <v>1652709.87</v>
      </c>
      <c r="J157" s="4">
        <v>4376152.07</v>
      </c>
      <c r="K157" s="4">
        <v>2641474.66</v>
      </c>
      <c r="L157" s="4">
        <v>2102299.81</v>
      </c>
      <c r="M157" s="4">
        <v>1583409.21</v>
      </c>
      <c r="N157" s="4">
        <v>12998908.42</v>
      </c>
      <c r="O157" s="4">
        <v>58064710.299999997</v>
      </c>
      <c r="P157" s="4">
        <v>2610563.04</v>
      </c>
      <c r="Q157" s="4">
        <v>1672202.39</v>
      </c>
      <c r="R157" s="4">
        <v>1423431.32</v>
      </c>
      <c r="S157" s="4">
        <v>3345816.01</v>
      </c>
      <c r="T157" s="4">
        <v>2232101.13</v>
      </c>
      <c r="U157" s="4">
        <v>340410.73</v>
      </c>
      <c r="V157" s="4">
        <v>2533356.7000000002</v>
      </c>
      <c r="W157" s="4">
        <v>5886788.0700000003</v>
      </c>
      <c r="X157" s="4">
        <v>817705.42</v>
      </c>
      <c r="Y157" s="4">
        <v>2348579.46</v>
      </c>
      <c r="Z157" s="4">
        <v>1963025.52</v>
      </c>
      <c r="AA157" s="4">
        <v>36477784.07</v>
      </c>
      <c r="AB157" s="4">
        <v>2196921.09</v>
      </c>
      <c r="AC157" s="4">
        <v>89190077.890000001</v>
      </c>
      <c r="AD157" s="4">
        <v>9671117.4499999993</v>
      </c>
      <c r="AE157" s="4">
        <v>10712451.630000001</v>
      </c>
      <c r="AF157" s="4">
        <v>26567633.93</v>
      </c>
      <c r="AG157" s="4">
        <v>6314971.3099999996</v>
      </c>
      <c r="AH157" s="4">
        <v>20211683.609999999</v>
      </c>
      <c r="AI157" s="4">
        <v>1180560.24</v>
      </c>
      <c r="AJ157" s="4">
        <v>3339397.35</v>
      </c>
      <c r="AK157" s="4">
        <v>3178040.94</v>
      </c>
      <c r="AL157" s="4">
        <v>4320542.01</v>
      </c>
      <c r="AM157" s="4">
        <v>6161663.2300000004</v>
      </c>
      <c r="AN157" s="4">
        <v>15180587.880000001</v>
      </c>
      <c r="AO157" s="4">
        <v>4396644.26</v>
      </c>
      <c r="AP157" s="4">
        <v>9110693.3399999999</v>
      </c>
      <c r="AQ157" s="4">
        <v>6858129.8899999997</v>
      </c>
      <c r="AR157" s="4">
        <v>1109812.1200000001</v>
      </c>
      <c r="AS157" s="4">
        <v>948256.22</v>
      </c>
      <c r="AT157" s="4">
        <v>1866458.09</v>
      </c>
      <c r="AU157" s="4">
        <v>3815533.67</v>
      </c>
      <c r="AV157" s="4">
        <v>110942745.13</v>
      </c>
      <c r="AW157" s="4">
        <v>3136504.9</v>
      </c>
      <c r="AX157" s="4">
        <v>1437366.99</v>
      </c>
      <c r="AY157" s="4">
        <v>3652246.84</v>
      </c>
      <c r="AZ157" s="4">
        <v>8284860.4299999997</v>
      </c>
      <c r="BA157" s="4">
        <v>4987668.2300000004</v>
      </c>
      <c r="BB157" s="4">
        <v>1566268.41</v>
      </c>
      <c r="BC157" s="4">
        <v>3160232.99</v>
      </c>
      <c r="BD157" s="4">
        <v>38664736.490000002</v>
      </c>
      <c r="BE157" s="4">
        <v>1290466.19</v>
      </c>
      <c r="BF157" s="4">
        <v>842015.6</v>
      </c>
      <c r="BG157" s="4">
        <v>0</v>
      </c>
      <c r="BH157" s="4">
        <f t="shared" si="21"/>
        <v>593817373.30999994</v>
      </c>
    </row>
    <row r="158" spans="1:60" x14ac:dyDescent="0.2">
      <c r="A158" s="3">
        <v>41852</v>
      </c>
      <c r="B158" s="4">
        <v>19534321.5</v>
      </c>
      <c r="C158" s="4">
        <v>1419222.86</v>
      </c>
      <c r="D158" s="4">
        <v>9690211.6300000008</v>
      </c>
      <c r="E158" s="4">
        <v>2683408.11</v>
      </c>
      <c r="F158" s="4">
        <v>2791622.4</v>
      </c>
      <c r="G158" s="4">
        <v>4670137.74</v>
      </c>
      <c r="H158" s="4">
        <v>4503330.3499999996</v>
      </c>
      <c r="I158" s="4">
        <v>1705903.18</v>
      </c>
      <c r="J158" s="4">
        <v>4618971.0199999996</v>
      </c>
      <c r="K158" s="4">
        <v>2636205.48</v>
      </c>
      <c r="L158" s="4">
        <v>2147324.7799999998</v>
      </c>
      <c r="M158" s="4">
        <v>1596074.3</v>
      </c>
      <c r="N158" s="4">
        <v>12969408.539999999</v>
      </c>
      <c r="O158" s="4">
        <v>56345884.439999998</v>
      </c>
      <c r="P158" s="4">
        <v>2658215.52</v>
      </c>
      <c r="Q158" s="4">
        <v>1742201.67</v>
      </c>
      <c r="R158" s="4">
        <v>1475118.4</v>
      </c>
      <c r="S158" s="4">
        <v>3288597.46</v>
      </c>
      <c r="T158" s="4">
        <v>2217177.9300000002</v>
      </c>
      <c r="U158" s="4">
        <v>325185.39</v>
      </c>
      <c r="V158" s="4">
        <v>2695126.15</v>
      </c>
      <c r="W158" s="4">
        <v>6127852.3899999997</v>
      </c>
      <c r="X158" s="4">
        <v>846085.11</v>
      </c>
      <c r="Y158" s="4">
        <v>2364629.0699999998</v>
      </c>
      <c r="Z158" s="4">
        <v>2057245.3</v>
      </c>
      <c r="AA158" s="4">
        <v>36545548.640000001</v>
      </c>
      <c r="AB158" s="4">
        <v>2207920.83</v>
      </c>
      <c r="AC158" s="4">
        <v>87459630.010000005</v>
      </c>
      <c r="AD158" s="4">
        <v>9599305.1799999997</v>
      </c>
      <c r="AE158" s="4">
        <v>11854322.859999999</v>
      </c>
      <c r="AF158" s="4">
        <v>27087911.41</v>
      </c>
      <c r="AG158" s="4">
        <v>6306609.4900000002</v>
      </c>
      <c r="AH158" s="4">
        <v>20661728.120000001</v>
      </c>
      <c r="AI158" s="4">
        <v>1154842.45</v>
      </c>
      <c r="AJ158" s="4">
        <v>3380429.94</v>
      </c>
      <c r="AK158" s="4">
        <v>3126419.18</v>
      </c>
      <c r="AL158" s="4">
        <v>4179097.95</v>
      </c>
      <c r="AM158" s="4">
        <v>6173238.75</v>
      </c>
      <c r="AN158" s="4">
        <v>14584513.119999999</v>
      </c>
      <c r="AO158" s="4">
        <v>4365564.58</v>
      </c>
      <c r="AP158" s="4">
        <v>9212510.9499999993</v>
      </c>
      <c r="AQ158" s="4">
        <v>7253910.25</v>
      </c>
      <c r="AR158" s="4">
        <v>1102688.28</v>
      </c>
      <c r="AS158" s="4">
        <v>917098.41</v>
      </c>
      <c r="AT158" s="4">
        <v>2052816.22</v>
      </c>
      <c r="AU158" s="4">
        <v>3777108.45</v>
      </c>
      <c r="AV158" s="4">
        <v>108265094.56</v>
      </c>
      <c r="AW158" s="4">
        <v>3068269.81</v>
      </c>
      <c r="AX158" s="4">
        <v>1404794.59</v>
      </c>
      <c r="AY158" s="4">
        <v>3805093.03</v>
      </c>
      <c r="AZ158" s="4">
        <v>8238201.4900000002</v>
      </c>
      <c r="BA158" s="4">
        <v>5042509.74</v>
      </c>
      <c r="BB158" s="4">
        <v>1621527.71</v>
      </c>
      <c r="BC158" s="4">
        <v>3109542.13</v>
      </c>
      <c r="BD158" s="4">
        <v>38081329.210000001</v>
      </c>
      <c r="BE158" s="4">
        <v>1341965.68</v>
      </c>
      <c r="BF158" s="4">
        <v>802434.14</v>
      </c>
      <c r="BG158" s="4">
        <v>0</v>
      </c>
      <c r="BH158" s="4">
        <f t="shared" si="21"/>
        <v>590893437.88</v>
      </c>
    </row>
    <row r="159" spans="1:60" x14ac:dyDescent="0.2">
      <c r="A159" s="3">
        <v>41883</v>
      </c>
      <c r="B159" s="4">
        <v>25266283.57</v>
      </c>
      <c r="C159" s="4">
        <v>2124719.04</v>
      </c>
      <c r="D159" s="4">
        <v>12825869.890000001</v>
      </c>
      <c r="E159" s="4">
        <v>3733294.44</v>
      </c>
      <c r="F159" s="4">
        <v>3607966.24</v>
      </c>
      <c r="G159" s="4">
        <v>6560722.1200000001</v>
      </c>
      <c r="H159" s="4">
        <v>5771446.21</v>
      </c>
      <c r="I159" s="4">
        <v>2161192.04</v>
      </c>
      <c r="J159" s="4">
        <v>5340577.4800000004</v>
      </c>
      <c r="K159" s="4">
        <v>4534659.83</v>
      </c>
      <c r="L159" s="4">
        <v>2817705.64</v>
      </c>
      <c r="M159" s="4">
        <v>2921263.41</v>
      </c>
      <c r="N159" s="4">
        <v>18277806.140000001</v>
      </c>
      <c r="O159" s="4">
        <v>74413587.260000005</v>
      </c>
      <c r="P159" s="4">
        <v>3584646.68</v>
      </c>
      <c r="Q159" s="4">
        <v>2550128.6800000002</v>
      </c>
      <c r="R159" s="4">
        <v>2361813.29</v>
      </c>
      <c r="S159" s="4">
        <v>4165518.19</v>
      </c>
      <c r="T159" s="4">
        <v>3679193.9</v>
      </c>
      <c r="U159" s="4">
        <v>647509.48</v>
      </c>
      <c r="V159" s="4">
        <v>3428703.36</v>
      </c>
      <c r="W159" s="4">
        <v>8266350.9900000002</v>
      </c>
      <c r="X159" s="4">
        <v>1381852.24</v>
      </c>
      <c r="Y159" s="4">
        <v>3572855.92</v>
      </c>
      <c r="Z159" s="4">
        <v>2953785.84</v>
      </c>
      <c r="AA159" s="4">
        <v>43636360.789999999</v>
      </c>
      <c r="AB159" s="4">
        <v>3395327.38</v>
      </c>
      <c r="AC159" s="4">
        <v>106100659.34999999</v>
      </c>
      <c r="AD159" s="4">
        <v>11848834</v>
      </c>
      <c r="AE159" s="4">
        <v>12591694.57</v>
      </c>
      <c r="AF159" s="4">
        <v>34204550.75</v>
      </c>
      <c r="AG159" s="4">
        <v>8188367.5599999996</v>
      </c>
      <c r="AH159" s="4">
        <v>26668165.66</v>
      </c>
      <c r="AI159" s="4">
        <v>1635901.97</v>
      </c>
      <c r="AJ159" s="4">
        <v>4590928.2699999996</v>
      </c>
      <c r="AK159" s="4">
        <v>4315493.6100000003</v>
      </c>
      <c r="AL159" s="4">
        <v>5997982.79</v>
      </c>
      <c r="AM159" s="4">
        <v>8152363.3200000003</v>
      </c>
      <c r="AN159" s="4">
        <v>19351307.550000001</v>
      </c>
      <c r="AO159" s="4">
        <v>5958828.3799999999</v>
      </c>
      <c r="AP159" s="4">
        <v>11492680.609999999</v>
      </c>
      <c r="AQ159" s="4">
        <v>9289500.0199999996</v>
      </c>
      <c r="AR159" s="4">
        <v>1903469.38</v>
      </c>
      <c r="AS159" s="4">
        <v>1328617.92</v>
      </c>
      <c r="AT159" s="4">
        <v>2432469.63</v>
      </c>
      <c r="AU159" s="4">
        <v>5242997.09</v>
      </c>
      <c r="AV159" s="4">
        <v>139569405.65000001</v>
      </c>
      <c r="AW159" s="4">
        <v>4881050.24</v>
      </c>
      <c r="AX159" s="4">
        <v>2417769.44</v>
      </c>
      <c r="AY159" s="4">
        <v>5141048.4000000004</v>
      </c>
      <c r="AZ159" s="4">
        <v>11956006.9</v>
      </c>
      <c r="BA159" s="4">
        <v>5955490.3399999999</v>
      </c>
      <c r="BB159" s="4">
        <v>2215894.87</v>
      </c>
      <c r="BC159" s="4">
        <v>4717246.3499999996</v>
      </c>
      <c r="BD159" s="4">
        <v>47311727.380000003</v>
      </c>
      <c r="BE159" s="4">
        <v>2174232.09</v>
      </c>
      <c r="BF159" s="4">
        <v>1624701.68</v>
      </c>
      <c r="BG159" s="4">
        <v>0</v>
      </c>
      <c r="BH159" s="4">
        <f t="shared" si="21"/>
        <v>763240525.82000005</v>
      </c>
    </row>
    <row r="160" spans="1:60" x14ac:dyDescent="0.2">
      <c r="A160" s="3">
        <v>41913</v>
      </c>
      <c r="B160" s="4">
        <v>19539185.579999998</v>
      </c>
      <c r="C160" s="4">
        <v>1246433.8500000001</v>
      </c>
      <c r="D160" s="4">
        <v>9525331.8200000003</v>
      </c>
      <c r="E160" s="4">
        <v>2599070.94</v>
      </c>
      <c r="F160" s="4">
        <v>2469877.64</v>
      </c>
      <c r="G160" s="4">
        <v>4032430.85</v>
      </c>
      <c r="H160" s="4">
        <v>4271741.0599999996</v>
      </c>
      <c r="I160" s="4">
        <v>1541535.77</v>
      </c>
      <c r="J160" s="4">
        <v>4229906.75</v>
      </c>
      <c r="K160" s="4">
        <v>2615235.87</v>
      </c>
      <c r="L160" s="4">
        <v>2158649.75</v>
      </c>
      <c r="M160" s="4">
        <v>1631199.03</v>
      </c>
      <c r="N160" s="4">
        <v>13570629.880000001</v>
      </c>
      <c r="O160" s="4">
        <v>56069468.57</v>
      </c>
      <c r="P160" s="4">
        <v>2090259.91</v>
      </c>
      <c r="Q160" s="4">
        <v>1590801.08</v>
      </c>
      <c r="R160" s="4">
        <v>1365646.27</v>
      </c>
      <c r="S160" s="4">
        <v>2818625.04</v>
      </c>
      <c r="T160" s="4">
        <v>2152254.17</v>
      </c>
      <c r="U160" s="4">
        <v>221613.21</v>
      </c>
      <c r="V160" s="4">
        <v>2223639.06</v>
      </c>
      <c r="W160" s="4">
        <v>5857393.0199999996</v>
      </c>
      <c r="X160" s="4">
        <v>827874.32</v>
      </c>
      <c r="Y160" s="4">
        <v>2214419.44</v>
      </c>
      <c r="Z160" s="4">
        <v>1986875.1</v>
      </c>
      <c r="AA160" s="4">
        <v>33365893.649999999</v>
      </c>
      <c r="AB160" s="4">
        <v>2259894.5299999998</v>
      </c>
      <c r="AC160" s="4">
        <v>84641006.170000002</v>
      </c>
      <c r="AD160" s="4">
        <v>9245152.6699999999</v>
      </c>
      <c r="AE160" s="4">
        <v>10323029.48</v>
      </c>
      <c r="AF160" s="4">
        <v>26915162.77</v>
      </c>
      <c r="AG160" s="4">
        <v>6083196.3300000001</v>
      </c>
      <c r="AH160" s="4">
        <v>20528703.239999998</v>
      </c>
      <c r="AI160" s="4">
        <v>1132843.8799999999</v>
      </c>
      <c r="AJ160" s="4">
        <v>3224102.23</v>
      </c>
      <c r="AK160" s="4">
        <v>2606779.63</v>
      </c>
      <c r="AL160" s="4">
        <v>4179344.19</v>
      </c>
      <c r="AM160" s="4">
        <v>6079290.7599999998</v>
      </c>
      <c r="AN160" s="4">
        <v>14657440.460000001</v>
      </c>
      <c r="AO160" s="4">
        <v>4439050.93</v>
      </c>
      <c r="AP160" s="4">
        <v>8472183.8800000008</v>
      </c>
      <c r="AQ160" s="4">
        <v>7325081.5800000001</v>
      </c>
      <c r="AR160" s="4">
        <v>1052326.18</v>
      </c>
      <c r="AS160" s="4">
        <v>715924.72</v>
      </c>
      <c r="AT160" s="4">
        <v>1875739.8</v>
      </c>
      <c r="AU160" s="4">
        <v>3462439.3</v>
      </c>
      <c r="AV160" s="4">
        <v>95444731.950000003</v>
      </c>
      <c r="AW160" s="4">
        <v>2369851.46</v>
      </c>
      <c r="AX160" s="4">
        <v>1434147.62</v>
      </c>
      <c r="AY160" s="4">
        <v>3811535.72</v>
      </c>
      <c r="AZ160" s="4">
        <v>8123753.3700000001</v>
      </c>
      <c r="BA160" s="4">
        <v>3563846.14</v>
      </c>
      <c r="BB160" s="4">
        <v>1475997.13</v>
      </c>
      <c r="BC160" s="4">
        <v>3070850.85</v>
      </c>
      <c r="BD160" s="4">
        <v>38048751.359999999</v>
      </c>
      <c r="BE160" s="4">
        <v>1195880.21</v>
      </c>
      <c r="BF160" s="4">
        <v>730514.43</v>
      </c>
      <c r="BG160" s="4">
        <v>0</v>
      </c>
      <c r="BH160" s="4">
        <f t="shared" si="21"/>
        <v>560704544.60000002</v>
      </c>
    </row>
    <row r="161" spans="1:60" x14ac:dyDescent="0.2">
      <c r="A161" s="3">
        <v>41944</v>
      </c>
      <c r="B161" s="4">
        <v>19400268.5</v>
      </c>
      <c r="C161" s="4">
        <v>1418550.32</v>
      </c>
      <c r="D161" s="4">
        <v>9064146.5399999991</v>
      </c>
      <c r="E161" s="4">
        <v>2684415</v>
      </c>
      <c r="F161" s="4">
        <v>2885187.55</v>
      </c>
      <c r="G161" s="4">
        <v>3886071.22</v>
      </c>
      <c r="H161" s="4">
        <v>5127439.45</v>
      </c>
      <c r="I161" s="4">
        <v>1768574.65</v>
      </c>
      <c r="J161" s="4">
        <v>4052010.79</v>
      </c>
      <c r="K161" s="4">
        <v>2580447.08</v>
      </c>
      <c r="L161" s="4">
        <v>2304639.4</v>
      </c>
      <c r="M161" s="4">
        <v>1643740.13</v>
      </c>
      <c r="N161" s="4">
        <v>13299770.9</v>
      </c>
      <c r="O161" s="4">
        <v>59610028</v>
      </c>
      <c r="P161" s="4">
        <v>2125356.62</v>
      </c>
      <c r="Q161" s="4">
        <v>1610154.99</v>
      </c>
      <c r="R161" s="4">
        <v>1442594.43</v>
      </c>
      <c r="S161" s="4">
        <v>2855389.56</v>
      </c>
      <c r="T161" s="4">
        <v>2174277.5099999998</v>
      </c>
      <c r="U161" s="4">
        <v>202597.78</v>
      </c>
      <c r="V161" s="4">
        <v>2321143.15</v>
      </c>
      <c r="W161" s="4">
        <v>5826673.7800000003</v>
      </c>
      <c r="X161" s="4">
        <v>875785.55</v>
      </c>
      <c r="Y161" s="4">
        <v>2310461.42</v>
      </c>
      <c r="Z161" s="4">
        <v>1975466.89</v>
      </c>
      <c r="AA161" s="4">
        <v>34706877.149999999</v>
      </c>
      <c r="AB161" s="4">
        <v>2394532.14</v>
      </c>
      <c r="AC161" s="4">
        <v>86254854.060000002</v>
      </c>
      <c r="AD161" s="4">
        <v>9423997.5</v>
      </c>
      <c r="AE161" s="4">
        <v>10827170.449999999</v>
      </c>
      <c r="AF161" s="4">
        <v>26699794.850000001</v>
      </c>
      <c r="AG161" s="4">
        <v>6278097.3499999996</v>
      </c>
      <c r="AH161" s="4">
        <v>21271846.75</v>
      </c>
      <c r="AI161" s="4">
        <v>1181448.53</v>
      </c>
      <c r="AJ161" s="4">
        <v>3123906.71</v>
      </c>
      <c r="AK161" s="4">
        <v>2445780.12</v>
      </c>
      <c r="AL161" s="4">
        <v>4513878.24</v>
      </c>
      <c r="AM161" s="4">
        <v>6085434.2599999998</v>
      </c>
      <c r="AN161" s="4">
        <v>14531187.52</v>
      </c>
      <c r="AO161" s="4">
        <v>4281295.3600000003</v>
      </c>
      <c r="AP161" s="4">
        <v>8684137.0099999998</v>
      </c>
      <c r="AQ161" s="4">
        <v>7073741.7599999998</v>
      </c>
      <c r="AR161" s="4">
        <v>1054561.77</v>
      </c>
      <c r="AS161" s="4">
        <v>720491.92</v>
      </c>
      <c r="AT161" s="4">
        <v>1961803.89</v>
      </c>
      <c r="AU161" s="4">
        <v>3537282.51</v>
      </c>
      <c r="AV161" s="4">
        <v>97947579.489999995</v>
      </c>
      <c r="AW161" s="4">
        <v>2577153.7200000002</v>
      </c>
      <c r="AX161" s="4">
        <v>1491826.29</v>
      </c>
      <c r="AY161" s="4">
        <v>3914315.82</v>
      </c>
      <c r="AZ161" s="4">
        <v>8046367.5199999996</v>
      </c>
      <c r="BA161" s="4">
        <v>3855511.76</v>
      </c>
      <c r="BB161" s="4">
        <v>1545784.51</v>
      </c>
      <c r="BC161" s="4">
        <v>3085913.03</v>
      </c>
      <c r="BD161" s="4">
        <v>39649702.140000001</v>
      </c>
      <c r="BE161" s="4">
        <v>1263941.8</v>
      </c>
      <c r="BF161" s="4">
        <v>755754</v>
      </c>
      <c r="BG161" s="4">
        <v>0</v>
      </c>
      <c r="BH161" s="4">
        <f t="shared" si="21"/>
        <v>574631161.13999987</v>
      </c>
    </row>
    <row r="162" spans="1:60" x14ac:dyDescent="0.2">
      <c r="A162" s="3">
        <v>41974</v>
      </c>
      <c r="B162" s="4">
        <v>26176058.619999997</v>
      </c>
      <c r="C162" s="4">
        <v>2178698.02</v>
      </c>
      <c r="D162" s="4">
        <v>12737482.720000001</v>
      </c>
      <c r="E162" s="4">
        <v>3729971.6</v>
      </c>
      <c r="F162" s="4">
        <v>3480868.55</v>
      </c>
      <c r="G162" s="4">
        <v>5557989.3600000013</v>
      </c>
      <c r="H162" s="4">
        <v>6268960.5899999999</v>
      </c>
      <c r="I162" s="4">
        <v>2231955.7599999998</v>
      </c>
      <c r="J162" s="4">
        <v>5005513.17</v>
      </c>
      <c r="K162" s="4">
        <v>3709691.16</v>
      </c>
      <c r="L162" s="4">
        <v>3029849.48</v>
      </c>
      <c r="M162" s="4">
        <v>2003645.08</v>
      </c>
      <c r="N162" s="4">
        <v>17218375.879999999</v>
      </c>
      <c r="O162" s="4">
        <v>65364560.700000003</v>
      </c>
      <c r="P162" s="4">
        <v>2249132.89</v>
      </c>
      <c r="Q162" s="4">
        <v>2175852.34</v>
      </c>
      <c r="R162" s="4">
        <v>2192087.21</v>
      </c>
      <c r="S162" s="4">
        <v>3629549.17</v>
      </c>
      <c r="T162" s="4">
        <v>2857975.42</v>
      </c>
      <c r="U162" s="4">
        <v>356201.57</v>
      </c>
      <c r="V162" s="4">
        <v>2775666.45</v>
      </c>
      <c r="W162" s="4">
        <v>6419694.1900000013</v>
      </c>
      <c r="X162" s="4">
        <v>1302665.58</v>
      </c>
      <c r="Y162" s="4">
        <v>3570881.26</v>
      </c>
      <c r="Z162" s="4">
        <v>2556812.58</v>
      </c>
      <c r="AA162" s="4">
        <v>43874147.43</v>
      </c>
      <c r="AB162" s="4">
        <v>2800311.04</v>
      </c>
      <c r="AC162" s="4">
        <v>103139085.01000001</v>
      </c>
      <c r="AD162" s="4">
        <v>11676092.449999999</v>
      </c>
      <c r="AE162" s="4">
        <v>11834683.529999999</v>
      </c>
      <c r="AF162" s="4">
        <v>32172699.43</v>
      </c>
      <c r="AG162" s="4">
        <v>8263126.8499999996</v>
      </c>
      <c r="AH162" s="4">
        <v>25897911</v>
      </c>
      <c r="AI162" s="4">
        <v>1676172.9699999997</v>
      </c>
      <c r="AJ162" s="4">
        <v>4233397.1100000013</v>
      </c>
      <c r="AK162" s="4">
        <v>3489119.19</v>
      </c>
      <c r="AL162" s="4">
        <v>5881014.2999999998</v>
      </c>
      <c r="AM162" s="4">
        <v>7237501.8899999987</v>
      </c>
      <c r="AN162" s="4">
        <v>18595442.379999999</v>
      </c>
      <c r="AO162" s="4">
        <v>5370225.7400000002</v>
      </c>
      <c r="AP162" s="4">
        <v>10604296.16</v>
      </c>
      <c r="AQ162" s="4">
        <v>9103402.1199999992</v>
      </c>
      <c r="AR162" s="4">
        <v>1635705.7799999998</v>
      </c>
      <c r="AS162" s="4">
        <v>1097480.69</v>
      </c>
      <c r="AT162" s="4">
        <v>2102782.1499999994</v>
      </c>
      <c r="AU162" s="4">
        <v>4803960.6100000003</v>
      </c>
      <c r="AV162" s="4">
        <v>121468204.14</v>
      </c>
      <c r="AW162" s="4">
        <v>3604461.17</v>
      </c>
      <c r="AX162" s="4">
        <v>2267610.5299999998</v>
      </c>
      <c r="AY162" s="4">
        <v>5427398.2400000002</v>
      </c>
      <c r="AZ162" s="4">
        <v>11537472.08</v>
      </c>
      <c r="BA162" s="4">
        <v>4048661.74</v>
      </c>
      <c r="BB162" s="4">
        <v>1876146.24</v>
      </c>
      <c r="BC162" s="4">
        <v>3990704.8</v>
      </c>
      <c r="BD162" s="4">
        <v>50281246.229999997</v>
      </c>
      <c r="BE162" s="4">
        <v>1599081.23</v>
      </c>
      <c r="BF162" s="4">
        <v>1273752.45</v>
      </c>
      <c r="BG162" s="4">
        <v>0</v>
      </c>
      <c r="BH162" s="4">
        <f t="shared" si="21"/>
        <v>711643436.03000009</v>
      </c>
    </row>
    <row r="163" spans="1:60" ht="15.75" thickBot="1" x14ac:dyDescent="0.25">
      <c r="A163" s="3" t="s">
        <v>168</v>
      </c>
      <c r="B163" s="5">
        <f t="shared" ref="B163:BG163" si="22">SUM(B151:B162)</f>
        <v>251043068.53000003</v>
      </c>
      <c r="C163" s="5">
        <f t="shared" si="22"/>
        <v>19938423.679999996</v>
      </c>
      <c r="D163" s="5">
        <f t="shared" si="22"/>
        <v>121885268.04999998</v>
      </c>
      <c r="E163" s="5">
        <f t="shared" si="22"/>
        <v>36324140.980000004</v>
      </c>
      <c r="F163" s="5">
        <f t="shared" si="22"/>
        <v>34969534.119999997</v>
      </c>
      <c r="G163" s="5">
        <f t="shared" si="22"/>
        <v>54739518.019999996</v>
      </c>
      <c r="H163" s="5">
        <f t="shared" si="22"/>
        <v>58839279.020000011</v>
      </c>
      <c r="I163" s="5">
        <f t="shared" si="22"/>
        <v>20964899.589999996</v>
      </c>
      <c r="J163" s="5">
        <f t="shared" si="22"/>
        <v>53253846.490000002</v>
      </c>
      <c r="K163" s="5">
        <f t="shared" si="22"/>
        <v>35690080.629999995</v>
      </c>
      <c r="L163" s="5">
        <f t="shared" si="22"/>
        <v>28933985.170000002</v>
      </c>
      <c r="M163" s="5">
        <f t="shared" si="22"/>
        <v>21656371.780000001</v>
      </c>
      <c r="N163" s="5">
        <f t="shared" si="22"/>
        <v>174154357.24000001</v>
      </c>
      <c r="O163" s="5">
        <f t="shared" si="22"/>
        <v>724858169.73000002</v>
      </c>
      <c r="P163" s="5">
        <f t="shared" si="22"/>
        <v>27758244.16</v>
      </c>
      <c r="Q163" s="5">
        <f t="shared" si="22"/>
        <v>21794348.789999999</v>
      </c>
      <c r="R163" s="5">
        <f t="shared" si="22"/>
        <v>19329489.170000002</v>
      </c>
      <c r="S163" s="5">
        <f t="shared" si="22"/>
        <v>37994929.050000004</v>
      </c>
      <c r="T163" s="5">
        <f t="shared" si="22"/>
        <v>28941513.229999997</v>
      </c>
      <c r="U163" s="5">
        <f t="shared" si="22"/>
        <v>3466570.2399999998</v>
      </c>
      <c r="V163" s="5">
        <f t="shared" si="22"/>
        <v>30017996.679999996</v>
      </c>
      <c r="W163" s="5">
        <f t="shared" si="22"/>
        <v>71951034.769999996</v>
      </c>
      <c r="X163" s="5">
        <f t="shared" si="22"/>
        <v>11824281.350000001</v>
      </c>
      <c r="Y163" s="5">
        <f t="shared" si="22"/>
        <v>31128489.140000001</v>
      </c>
      <c r="Z163" s="5">
        <f t="shared" si="22"/>
        <v>25653811.630000003</v>
      </c>
      <c r="AA163" s="5">
        <f t="shared" si="22"/>
        <v>449842016.59999996</v>
      </c>
      <c r="AB163" s="5">
        <f t="shared" si="22"/>
        <v>29173147.989999998</v>
      </c>
      <c r="AC163" s="5">
        <f t="shared" si="22"/>
        <v>1089890345.9300001</v>
      </c>
      <c r="AD163" s="5">
        <f t="shared" si="22"/>
        <v>118345189.95000002</v>
      </c>
      <c r="AE163" s="5">
        <f t="shared" si="22"/>
        <v>131930955.75999999</v>
      </c>
      <c r="AF163" s="5">
        <f t="shared" si="22"/>
        <v>335533339.68000001</v>
      </c>
      <c r="AG163" s="5">
        <f t="shared" si="22"/>
        <v>78452837.239999995</v>
      </c>
      <c r="AH163" s="5">
        <f t="shared" si="22"/>
        <v>260772529.77000001</v>
      </c>
      <c r="AI163" s="5">
        <f t="shared" si="22"/>
        <v>15703362.669999998</v>
      </c>
      <c r="AJ163" s="5">
        <f t="shared" si="22"/>
        <v>41724500.060000002</v>
      </c>
      <c r="AK163" s="5">
        <f t="shared" si="22"/>
        <v>35796292.789999999</v>
      </c>
      <c r="AL163" s="5">
        <f t="shared" si="22"/>
        <v>55885995.710000001</v>
      </c>
      <c r="AM163" s="5">
        <f t="shared" si="22"/>
        <v>78940486.920000017</v>
      </c>
      <c r="AN163" s="5">
        <f t="shared" si="22"/>
        <v>194634391.63000003</v>
      </c>
      <c r="AO163" s="5">
        <f t="shared" si="22"/>
        <v>56476979.280000001</v>
      </c>
      <c r="AP163" s="5">
        <f t="shared" si="22"/>
        <v>110791246.85000001</v>
      </c>
      <c r="AQ163" s="5">
        <f t="shared" si="22"/>
        <v>94275742.38000001</v>
      </c>
      <c r="AR163" s="5">
        <f t="shared" si="22"/>
        <v>14974531.189999999</v>
      </c>
      <c r="AS163" s="5">
        <f t="shared" si="22"/>
        <v>10106417.27</v>
      </c>
      <c r="AT163" s="5">
        <f t="shared" si="22"/>
        <v>22914096.420000002</v>
      </c>
      <c r="AU163" s="5">
        <f t="shared" si="22"/>
        <v>47009909.389999993</v>
      </c>
      <c r="AV163" s="5">
        <f t="shared" si="22"/>
        <v>1298023398.0800002</v>
      </c>
      <c r="AW163" s="5">
        <f t="shared" si="22"/>
        <v>35846929.5</v>
      </c>
      <c r="AX163" s="5">
        <f t="shared" si="22"/>
        <v>20244765.469999999</v>
      </c>
      <c r="AY163" s="5">
        <f t="shared" si="22"/>
        <v>49648448.649999999</v>
      </c>
      <c r="AZ163" s="5">
        <f t="shared" si="22"/>
        <v>103489187.66000001</v>
      </c>
      <c r="BA163" s="5">
        <f t="shared" si="22"/>
        <v>49404038.290000007</v>
      </c>
      <c r="BB163" s="5">
        <f t="shared" si="22"/>
        <v>19689092.100000001</v>
      </c>
      <c r="BC163" s="5">
        <f t="shared" si="22"/>
        <v>41230933.460000001</v>
      </c>
      <c r="BD163" s="5">
        <f t="shared" si="22"/>
        <v>503802272.11000001</v>
      </c>
      <c r="BE163" s="5">
        <f t="shared" si="22"/>
        <v>16853446.900000002</v>
      </c>
      <c r="BF163" s="5">
        <f t="shared" si="22"/>
        <v>10925943.119999999</v>
      </c>
      <c r="BG163" s="5">
        <f t="shared" si="22"/>
        <v>0</v>
      </c>
      <c r="BH163" s="5">
        <f>SUM(BH151:BH162)</f>
        <v>7369444422.0599985</v>
      </c>
    </row>
    <row r="164" spans="1:60" ht="15.75" thickTop="1" x14ac:dyDescent="0.2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</row>
    <row r="165" spans="1:60" x14ac:dyDescent="0.2">
      <c r="A165" s="3">
        <v>41275</v>
      </c>
      <c r="B165" s="4">
        <v>20365399.82</v>
      </c>
      <c r="C165" s="4">
        <v>1425823.46</v>
      </c>
      <c r="D165" s="4">
        <v>10614846.17</v>
      </c>
      <c r="E165" s="4">
        <v>2776247.25</v>
      </c>
      <c r="F165" s="4">
        <v>2647435.04</v>
      </c>
      <c r="G165" s="4">
        <v>3796095</v>
      </c>
      <c r="H165" s="4">
        <v>5308877.08</v>
      </c>
      <c r="I165" s="4">
        <v>1484011.33</v>
      </c>
      <c r="J165" s="4">
        <v>4113762.62</v>
      </c>
      <c r="K165" s="4">
        <v>2295605.4</v>
      </c>
      <c r="L165" s="4">
        <v>2337639.2599999998</v>
      </c>
      <c r="M165" s="4">
        <v>1359193.82</v>
      </c>
      <c r="N165" s="4">
        <v>13412504.470000001</v>
      </c>
      <c r="O165" s="4">
        <v>59017066.439999998</v>
      </c>
      <c r="P165" s="4">
        <v>1677228.38</v>
      </c>
      <c r="Q165" s="4">
        <v>1514001.24</v>
      </c>
      <c r="R165" s="4">
        <v>1274522.95</v>
      </c>
      <c r="S165" s="4">
        <v>2647723.73</v>
      </c>
      <c r="T165" s="4">
        <v>2039136.53</v>
      </c>
      <c r="U165" s="4">
        <v>130406.77</v>
      </c>
      <c r="V165" s="4">
        <v>2130049.35</v>
      </c>
      <c r="W165" s="4">
        <v>5318677.22</v>
      </c>
      <c r="X165" s="4">
        <v>678593.04</v>
      </c>
      <c r="Y165" s="4">
        <v>2113911.08</v>
      </c>
      <c r="Z165" s="4">
        <v>1642524.81</v>
      </c>
      <c r="AA165" s="4">
        <v>37713736.399999999</v>
      </c>
      <c r="AB165" s="4">
        <v>2037976.85</v>
      </c>
      <c r="AC165" s="4">
        <v>91508091.819999993</v>
      </c>
      <c r="AD165" s="4">
        <v>8961640.8100000005</v>
      </c>
      <c r="AE165" s="4">
        <v>10486980.189999999</v>
      </c>
      <c r="AF165" s="4">
        <v>26191527.280000001</v>
      </c>
      <c r="AG165" s="4">
        <v>6345299.7699999996</v>
      </c>
      <c r="AH165" s="4">
        <v>19547425.719999999</v>
      </c>
      <c r="AI165" s="4">
        <v>1169447.8700000001</v>
      </c>
      <c r="AJ165" s="4">
        <v>2847526.77</v>
      </c>
      <c r="AK165" s="4">
        <v>2339062.2799999998</v>
      </c>
      <c r="AL165" s="4">
        <v>4030891.61</v>
      </c>
      <c r="AM165" s="4">
        <v>5895763.1699999999</v>
      </c>
      <c r="AN165" s="4">
        <v>15630889.310000001</v>
      </c>
      <c r="AO165" s="4">
        <v>3310208.52</v>
      </c>
      <c r="AP165" s="4">
        <v>8432911.9000000004</v>
      </c>
      <c r="AQ165" s="4">
        <v>7682910.9400000004</v>
      </c>
      <c r="AR165" s="4">
        <v>960716.66</v>
      </c>
      <c r="AS165" s="4">
        <v>638951.93999999994</v>
      </c>
      <c r="AT165" s="4">
        <v>1546410.03</v>
      </c>
      <c r="AU165" s="4">
        <v>3321767.02</v>
      </c>
      <c r="AV165" s="4">
        <v>97745875.769999996</v>
      </c>
      <c r="AW165" s="4">
        <v>2167478.4500000002</v>
      </c>
      <c r="AX165" s="4">
        <v>1462237.19</v>
      </c>
      <c r="AY165" s="4">
        <v>3887518.73</v>
      </c>
      <c r="AZ165" s="4">
        <v>7998872.7699999996</v>
      </c>
      <c r="BA165" s="4">
        <v>3338233.36</v>
      </c>
      <c r="BB165" s="4">
        <v>1241682.8799999999</v>
      </c>
      <c r="BC165" s="4">
        <v>2835929.14</v>
      </c>
      <c r="BD165" s="4">
        <v>41064102.539999999</v>
      </c>
      <c r="BE165" s="4">
        <v>1112921.04</v>
      </c>
      <c r="BF165" s="4">
        <v>606535.41</v>
      </c>
      <c r="BG165" s="4">
        <v>0</v>
      </c>
      <c r="BH165" s="4">
        <f t="shared" ref="BH165:BH176" si="23">SUM(B165:BG165)</f>
        <v>576182806.39999986</v>
      </c>
    </row>
    <row r="166" spans="1:60" x14ac:dyDescent="0.2">
      <c r="A166" s="3">
        <v>41306</v>
      </c>
      <c r="B166" s="4">
        <v>17734150.02</v>
      </c>
      <c r="C166" s="4">
        <v>1181950.1000000001</v>
      </c>
      <c r="D166" s="4">
        <v>8925013.0600000005</v>
      </c>
      <c r="E166" s="4">
        <v>2453398.2200000002</v>
      </c>
      <c r="F166" s="4">
        <v>2272736.5</v>
      </c>
      <c r="G166" s="4">
        <v>3378685.13</v>
      </c>
      <c r="H166" s="4">
        <v>4622847.74</v>
      </c>
      <c r="I166" s="4">
        <v>1226255.6299999999</v>
      </c>
      <c r="J166" s="4">
        <v>3644701.1</v>
      </c>
      <c r="K166" s="4">
        <v>1977523.25</v>
      </c>
      <c r="L166" s="4">
        <v>1863404.61</v>
      </c>
      <c r="M166" s="4">
        <v>1147815.07</v>
      </c>
      <c r="N166" s="4">
        <v>11413168.02</v>
      </c>
      <c r="O166" s="4">
        <v>51414485.460000001</v>
      </c>
      <c r="P166" s="4">
        <v>1485310.74</v>
      </c>
      <c r="Q166" s="4">
        <v>1324639.33</v>
      </c>
      <c r="R166" s="4">
        <v>1177700.69</v>
      </c>
      <c r="S166" s="4">
        <v>2307539.5499999998</v>
      </c>
      <c r="T166" s="4">
        <v>1798069.04</v>
      </c>
      <c r="U166" s="4">
        <v>101546</v>
      </c>
      <c r="V166" s="4">
        <v>1691511.86</v>
      </c>
      <c r="W166" s="4">
        <v>4836094.72</v>
      </c>
      <c r="X166" s="4">
        <v>562224.1</v>
      </c>
      <c r="Y166" s="4">
        <v>1838730.44</v>
      </c>
      <c r="Z166" s="4">
        <v>1475945.49</v>
      </c>
      <c r="AA166" s="4">
        <v>31584795.190000001</v>
      </c>
      <c r="AB166" s="4">
        <v>1722436.61</v>
      </c>
      <c r="AC166" s="4">
        <v>77290306.040000007</v>
      </c>
      <c r="AD166" s="4">
        <v>7682084.0700000003</v>
      </c>
      <c r="AE166" s="4">
        <v>9162754.6099999994</v>
      </c>
      <c r="AF166" s="4">
        <v>22686157.93</v>
      </c>
      <c r="AG166" s="4">
        <v>5388793.1299999999</v>
      </c>
      <c r="AH166" s="4">
        <v>17254631.77</v>
      </c>
      <c r="AI166" s="4">
        <v>1023781.77</v>
      </c>
      <c r="AJ166" s="4">
        <v>2918155.58</v>
      </c>
      <c r="AK166" s="4">
        <v>2100999.8199999998</v>
      </c>
      <c r="AL166" s="4">
        <v>3391571.63</v>
      </c>
      <c r="AM166" s="4">
        <v>5257016.84</v>
      </c>
      <c r="AN166" s="4">
        <v>13250757.73</v>
      </c>
      <c r="AO166" s="4">
        <v>2817017.85</v>
      </c>
      <c r="AP166" s="4">
        <v>7308405.1600000001</v>
      </c>
      <c r="AQ166" s="4">
        <v>6681397.79</v>
      </c>
      <c r="AR166" s="4">
        <v>845097.17</v>
      </c>
      <c r="AS166" s="4">
        <v>556179.07999999996</v>
      </c>
      <c r="AT166" s="4">
        <v>1331372.05</v>
      </c>
      <c r="AU166" s="4">
        <v>2925647.55</v>
      </c>
      <c r="AV166" s="4">
        <v>84725099.260000005</v>
      </c>
      <c r="AW166" s="4">
        <v>1922620.04</v>
      </c>
      <c r="AX166" s="4">
        <v>1286289.07</v>
      </c>
      <c r="AY166" s="4">
        <v>3182665.68</v>
      </c>
      <c r="AZ166" s="4">
        <v>6910508.6600000001</v>
      </c>
      <c r="BA166" s="4">
        <v>2891684.7</v>
      </c>
      <c r="BB166" s="4">
        <v>1068332.49</v>
      </c>
      <c r="BC166" s="4">
        <v>2412922.89</v>
      </c>
      <c r="BD166" s="4">
        <v>34755262.039999999</v>
      </c>
      <c r="BE166" s="4">
        <v>929914.32</v>
      </c>
      <c r="BF166" s="4">
        <v>527061.06000000006</v>
      </c>
      <c r="BG166" s="4">
        <v>0</v>
      </c>
      <c r="BH166" s="4">
        <f t="shared" si="23"/>
        <v>495647165.45000005</v>
      </c>
    </row>
    <row r="167" spans="1:60" x14ac:dyDescent="0.2">
      <c r="A167" s="3">
        <v>41334</v>
      </c>
      <c r="B167" s="4">
        <v>20441115.460000001</v>
      </c>
      <c r="C167" s="4">
        <v>2131023.64</v>
      </c>
      <c r="D167" s="4">
        <v>11527259.1</v>
      </c>
      <c r="E167" s="4">
        <v>3262729.26</v>
      </c>
      <c r="F167" s="4">
        <v>2815539</v>
      </c>
      <c r="G167" s="4">
        <v>5171091.6399999997</v>
      </c>
      <c r="H167" s="4">
        <v>4301840.59</v>
      </c>
      <c r="I167" s="4">
        <v>2202714.2799999998</v>
      </c>
      <c r="J167" s="4">
        <v>4667508.5</v>
      </c>
      <c r="K167" s="4">
        <v>3479178.67</v>
      </c>
      <c r="L167" s="4">
        <v>2722459.98</v>
      </c>
      <c r="M167" s="4">
        <v>2139711.63</v>
      </c>
      <c r="N167" s="4">
        <v>13991958.33</v>
      </c>
      <c r="O167" s="4">
        <v>59382199.469999999</v>
      </c>
      <c r="P167" s="4">
        <v>2357426.7200000002</v>
      </c>
      <c r="Q167" s="4">
        <v>1967093.11</v>
      </c>
      <c r="R167" s="4">
        <v>1696571.99</v>
      </c>
      <c r="S167" s="4">
        <v>3863851.06</v>
      </c>
      <c r="T167" s="4">
        <v>2923546.47</v>
      </c>
      <c r="U167" s="4">
        <v>283738.88</v>
      </c>
      <c r="V167" s="4">
        <v>2832134.41</v>
      </c>
      <c r="W167" s="4">
        <v>6056057.7199999997</v>
      </c>
      <c r="X167" s="4">
        <v>1155798.1499999999</v>
      </c>
      <c r="Y167" s="4">
        <v>3237185.8</v>
      </c>
      <c r="Z167" s="4">
        <v>2656718.7000000002</v>
      </c>
      <c r="AA167" s="4">
        <v>35603412.68</v>
      </c>
      <c r="AB167" s="4">
        <v>2978687.17</v>
      </c>
      <c r="AC167" s="4">
        <v>121422556.11</v>
      </c>
      <c r="AD167" s="4">
        <v>11790421.73</v>
      </c>
      <c r="AE167" s="4">
        <v>11772517.960000001</v>
      </c>
      <c r="AF167" s="4">
        <v>29268677.399999999</v>
      </c>
      <c r="AG167" s="4">
        <v>6799746.21</v>
      </c>
      <c r="AH167" s="4">
        <v>25282375.710000001</v>
      </c>
      <c r="AI167" s="4">
        <v>1367979.41</v>
      </c>
      <c r="AJ167" s="4">
        <v>4124758.9300000006</v>
      </c>
      <c r="AK167" s="4">
        <v>3137468.17</v>
      </c>
      <c r="AL167" s="4">
        <v>5283121.18</v>
      </c>
      <c r="AM167" s="4">
        <v>6674836.8799999999</v>
      </c>
      <c r="AN167" s="4">
        <v>15952221.91</v>
      </c>
      <c r="AO167" s="4">
        <v>4154814.69</v>
      </c>
      <c r="AP167" s="4">
        <v>9463328.6400000006</v>
      </c>
      <c r="AQ167" s="4">
        <v>8045361.46</v>
      </c>
      <c r="AR167" s="4">
        <v>1386205.52</v>
      </c>
      <c r="AS167" s="4">
        <v>770857.25</v>
      </c>
      <c r="AT167" s="4">
        <v>2121313.4900000002</v>
      </c>
      <c r="AU167" s="4">
        <v>4303788.24</v>
      </c>
      <c r="AV167" s="4">
        <v>115965673.08</v>
      </c>
      <c r="AW167" s="4">
        <v>3013992.39</v>
      </c>
      <c r="AX167" s="4">
        <v>1905394.2599999998</v>
      </c>
      <c r="AY167" s="4">
        <v>4218980.41</v>
      </c>
      <c r="AZ167" s="4">
        <v>9163950.8000000007</v>
      </c>
      <c r="BA167" s="4">
        <v>4310149.22</v>
      </c>
      <c r="BB167" s="4">
        <v>2222195.0699999998</v>
      </c>
      <c r="BC167" s="4">
        <v>3876358.71</v>
      </c>
      <c r="BD167" s="4">
        <v>46556460.219999999</v>
      </c>
      <c r="BE167" s="4">
        <v>1867177.04</v>
      </c>
      <c r="BF167" s="4">
        <v>1210894.27</v>
      </c>
      <c r="BG167" s="4">
        <v>0</v>
      </c>
      <c r="BH167" s="4">
        <f t="shared" si="23"/>
        <v>673282128.76999998</v>
      </c>
    </row>
    <row r="168" spans="1:60" x14ac:dyDescent="0.2">
      <c r="A168" s="3">
        <v>41365</v>
      </c>
      <c r="B168" s="4">
        <v>17315480.710000001</v>
      </c>
      <c r="C168" s="4">
        <v>1347304.24</v>
      </c>
      <c r="D168" s="4">
        <v>9043227.7100000009</v>
      </c>
      <c r="E168" s="4">
        <v>2341212.14</v>
      </c>
      <c r="F168" s="4">
        <v>2443021.7400000002</v>
      </c>
      <c r="G168" s="4">
        <v>3690388.36</v>
      </c>
      <c r="H168" s="4">
        <v>4437840.76</v>
      </c>
      <c r="I168" s="4">
        <v>1492996.81</v>
      </c>
      <c r="J168" s="4">
        <v>4073617</v>
      </c>
      <c r="K168" s="4">
        <v>2274839.41</v>
      </c>
      <c r="L168" s="4">
        <v>1994218.03</v>
      </c>
      <c r="M168" s="4">
        <v>1375299.31</v>
      </c>
      <c r="N168" s="4">
        <v>12074376.460000001</v>
      </c>
      <c r="O168" s="4">
        <v>52187486.340000004</v>
      </c>
      <c r="P168" s="4">
        <v>1489410.49</v>
      </c>
      <c r="Q168" s="4">
        <v>1400562.2</v>
      </c>
      <c r="R168" s="4">
        <v>1268413.82</v>
      </c>
      <c r="S168" s="4">
        <v>2574252.41</v>
      </c>
      <c r="T168" s="4">
        <v>1818318.07</v>
      </c>
      <c r="U168" s="4">
        <v>156722.51</v>
      </c>
      <c r="V168" s="4">
        <v>1944797.29</v>
      </c>
      <c r="W168" s="4">
        <v>5389553</v>
      </c>
      <c r="X168" s="4">
        <v>679253.39</v>
      </c>
      <c r="Y168" s="4">
        <v>2157070.94</v>
      </c>
      <c r="Z168" s="4">
        <v>1759548.72</v>
      </c>
      <c r="AA168" s="4">
        <v>33729844.490000002</v>
      </c>
      <c r="AB168" s="4">
        <v>1943970.05</v>
      </c>
      <c r="AC168" s="4">
        <v>79365125.090000004</v>
      </c>
      <c r="AD168" s="4">
        <v>8339022.9900000002</v>
      </c>
      <c r="AE168" s="4">
        <v>9484175.1999999993</v>
      </c>
      <c r="AF168" s="4">
        <v>23771003.030000001</v>
      </c>
      <c r="AG168" s="4">
        <v>5347016.2300000004</v>
      </c>
      <c r="AH168" s="4">
        <v>18733884.710000001</v>
      </c>
      <c r="AI168" s="4">
        <v>1105958.1100000001</v>
      </c>
      <c r="AJ168" s="4">
        <v>2905947.15</v>
      </c>
      <c r="AK168" s="4">
        <v>2441543.37</v>
      </c>
      <c r="AL168" s="4">
        <v>3676438.74</v>
      </c>
      <c r="AM168" s="4">
        <v>5591165.0300000003</v>
      </c>
      <c r="AN168" s="4">
        <v>13201852.050000001</v>
      </c>
      <c r="AO168" s="4">
        <v>3061453.03</v>
      </c>
      <c r="AP168" s="4">
        <v>7888386.0499999998</v>
      </c>
      <c r="AQ168" s="4">
        <v>6699936.7400000002</v>
      </c>
      <c r="AR168" s="4">
        <v>1149425.93</v>
      </c>
      <c r="AS168" s="4">
        <v>634795.09</v>
      </c>
      <c r="AT168" s="4">
        <v>1582490.28</v>
      </c>
      <c r="AU168" s="4">
        <v>3236958.79</v>
      </c>
      <c r="AV168" s="4">
        <v>90745333.920000002</v>
      </c>
      <c r="AW168" s="4">
        <v>2310957.35</v>
      </c>
      <c r="AX168" s="4">
        <v>1399919.18</v>
      </c>
      <c r="AY168" s="4">
        <v>3347049.78</v>
      </c>
      <c r="AZ168" s="4">
        <v>7236449.3099999996</v>
      </c>
      <c r="BA168" s="4">
        <v>3249800.92</v>
      </c>
      <c r="BB168" s="4">
        <v>1269169.1200000001</v>
      </c>
      <c r="BC168" s="4">
        <v>2896779.85</v>
      </c>
      <c r="BD168" s="4">
        <v>35067990.270000003</v>
      </c>
      <c r="BE168" s="4">
        <v>1199806.99</v>
      </c>
      <c r="BF168" s="4">
        <v>646397.39</v>
      </c>
      <c r="BG168" s="4">
        <v>0</v>
      </c>
      <c r="BH168" s="4">
        <f t="shared" si="23"/>
        <v>519989258.09000003</v>
      </c>
    </row>
    <row r="169" spans="1:60" x14ac:dyDescent="0.2">
      <c r="A169" s="3">
        <v>41395</v>
      </c>
      <c r="B169" s="4">
        <v>18691390.390000001</v>
      </c>
      <c r="C169" s="4">
        <v>1308581.67</v>
      </c>
      <c r="D169" s="4">
        <v>9676280.7799999993</v>
      </c>
      <c r="E169" s="4">
        <v>2425114.7599999998</v>
      </c>
      <c r="F169" s="4">
        <v>2501059.61</v>
      </c>
      <c r="G169" s="4">
        <v>3680278.02</v>
      </c>
      <c r="H169" s="4">
        <v>4681427.5599999996</v>
      </c>
      <c r="I169" s="4">
        <v>1372498.19</v>
      </c>
      <c r="J169" s="4">
        <v>4285362.1900000004</v>
      </c>
      <c r="K169" s="4">
        <v>2224297.4700000002</v>
      </c>
      <c r="L169" s="4">
        <v>1965125.08</v>
      </c>
      <c r="M169" s="4">
        <v>1370050.44</v>
      </c>
      <c r="N169" s="4">
        <v>12374613.15</v>
      </c>
      <c r="O169" s="4">
        <v>53135541.619999997</v>
      </c>
      <c r="P169" s="4">
        <v>1502381.9</v>
      </c>
      <c r="Q169" s="4">
        <v>1419336.02</v>
      </c>
      <c r="R169" s="4">
        <v>1310767.29</v>
      </c>
      <c r="S169" s="4">
        <v>2581801.69</v>
      </c>
      <c r="T169" s="4">
        <v>1800482.57</v>
      </c>
      <c r="U169" s="4">
        <v>122712.52</v>
      </c>
      <c r="V169" s="4">
        <v>2024029.73</v>
      </c>
      <c r="W169" s="4">
        <v>5722970.3399999999</v>
      </c>
      <c r="X169" s="4">
        <v>644575.57999999996</v>
      </c>
      <c r="Y169" s="4">
        <v>2132604.29</v>
      </c>
      <c r="Z169" s="4">
        <v>1771808.24</v>
      </c>
      <c r="AA169" s="4">
        <v>34005438.539999999</v>
      </c>
      <c r="AB169" s="4">
        <v>1856751.85</v>
      </c>
      <c r="AC169" s="4">
        <v>81295222.090000004</v>
      </c>
      <c r="AD169" s="4">
        <v>8507059.4399999995</v>
      </c>
      <c r="AE169" s="4">
        <v>9700841.5800000001</v>
      </c>
      <c r="AF169" s="4">
        <v>25025077.16</v>
      </c>
      <c r="AG169" s="4">
        <v>5655935.54</v>
      </c>
      <c r="AH169" s="4">
        <v>18938427.32</v>
      </c>
      <c r="AI169" s="4">
        <v>1150464.8600000001</v>
      </c>
      <c r="AJ169" s="4">
        <v>3040426.37</v>
      </c>
      <c r="AK169" s="4">
        <v>2407649.67</v>
      </c>
      <c r="AL169" s="4">
        <v>3760019.76</v>
      </c>
      <c r="AM169" s="4">
        <v>5564826.3700000001</v>
      </c>
      <c r="AN169" s="4">
        <v>13228149.710000001</v>
      </c>
      <c r="AO169" s="4">
        <v>3165585.11</v>
      </c>
      <c r="AP169" s="4">
        <v>7974829.6500000004</v>
      </c>
      <c r="AQ169" s="4">
        <v>6765752.8499999996</v>
      </c>
      <c r="AR169" s="4">
        <v>1075138.1599999999</v>
      </c>
      <c r="AS169" s="4">
        <v>622556.89</v>
      </c>
      <c r="AT169" s="4">
        <v>1582441.72</v>
      </c>
      <c r="AU169" s="4">
        <v>3289386.96</v>
      </c>
      <c r="AV169" s="4">
        <v>92394258.719999999</v>
      </c>
      <c r="AW169" s="4">
        <v>2207565.52</v>
      </c>
      <c r="AX169" s="4">
        <v>1399901.6</v>
      </c>
      <c r="AY169" s="4">
        <v>3416569.32</v>
      </c>
      <c r="AZ169" s="4">
        <v>7522281.1100000003</v>
      </c>
      <c r="BA169" s="4">
        <v>3220734.09</v>
      </c>
      <c r="BB169" s="4">
        <v>1248139.8899999999</v>
      </c>
      <c r="BC169" s="4">
        <v>2952740.28</v>
      </c>
      <c r="BD169" s="4">
        <v>34975229.780000001</v>
      </c>
      <c r="BE169" s="4">
        <v>1224783.94</v>
      </c>
      <c r="BF169" s="4">
        <v>642985.32999999996</v>
      </c>
      <c r="BG169" s="4">
        <v>0</v>
      </c>
      <c r="BH169" s="4">
        <f t="shared" si="23"/>
        <v>530542262.27999997</v>
      </c>
    </row>
    <row r="170" spans="1:60" x14ac:dyDescent="0.2">
      <c r="A170" s="3">
        <v>41426</v>
      </c>
      <c r="B170" s="4">
        <v>23020624.07</v>
      </c>
      <c r="C170" s="4">
        <v>2136098.67</v>
      </c>
      <c r="D170" s="4">
        <v>12002790.91</v>
      </c>
      <c r="E170" s="4">
        <v>3923062.51</v>
      </c>
      <c r="F170" s="4">
        <v>3643909.9</v>
      </c>
      <c r="G170" s="4">
        <v>5754340.7999999998</v>
      </c>
      <c r="H170" s="4">
        <v>4925521.46</v>
      </c>
      <c r="I170" s="4">
        <v>2240765.9500000002</v>
      </c>
      <c r="J170" s="4">
        <v>5212844.55</v>
      </c>
      <c r="K170" s="4">
        <v>3747825.4300000006</v>
      </c>
      <c r="L170" s="4">
        <v>2865740.89</v>
      </c>
      <c r="M170" s="4">
        <v>2353241.48</v>
      </c>
      <c r="N170" s="4">
        <v>16968954.940000001</v>
      </c>
      <c r="O170" s="4">
        <v>73090582.930000007</v>
      </c>
      <c r="P170" s="4">
        <v>2871799.58</v>
      </c>
      <c r="Q170" s="4">
        <v>2202824.7999999998</v>
      </c>
      <c r="R170" s="4">
        <v>2183472.5699999998</v>
      </c>
      <c r="S170" s="4">
        <v>4683604.0999999996</v>
      </c>
      <c r="T170" s="4">
        <v>3176220.01</v>
      </c>
      <c r="U170" s="4">
        <v>308903.2</v>
      </c>
      <c r="V170" s="4">
        <v>3222615.59</v>
      </c>
      <c r="W170" s="4">
        <v>6704298.9500000002</v>
      </c>
      <c r="X170" s="4">
        <v>1274103.3999999999</v>
      </c>
      <c r="Y170" s="4">
        <v>3369758.9</v>
      </c>
      <c r="Z170" s="4">
        <v>2749933.25</v>
      </c>
      <c r="AA170" s="4">
        <v>44935111.020000003</v>
      </c>
      <c r="AB170" s="4">
        <v>3180066.75</v>
      </c>
      <c r="AC170" s="4">
        <v>130552843.27</v>
      </c>
      <c r="AD170" s="4">
        <v>12316378.119999999</v>
      </c>
      <c r="AE170" s="4">
        <v>13290804.800000001</v>
      </c>
      <c r="AF170" s="4">
        <v>32541090.370000001</v>
      </c>
      <c r="AG170" s="4">
        <v>7974596.5700000003</v>
      </c>
      <c r="AH170" s="4">
        <v>27796957.289999999</v>
      </c>
      <c r="AI170" s="4">
        <v>1537363.15</v>
      </c>
      <c r="AJ170" s="4">
        <v>4320373.13</v>
      </c>
      <c r="AK170" s="4">
        <v>3874925.3200000003</v>
      </c>
      <c r="AL170" s="4">
        <v>5807282.4400000004</v>
      </c>
      <c r="AM170" s="4">
        <v>8586260.4600000009</v>
      </c>
      <c r="AN170" s="4">
        <v>20579560.710000001</v>
      </c>
      <c r="AO170" s="4">
        <v>4608784</v>
      </c>
      <c r="AP170" s="4">
        <v>10943467.41</v>
      </c>
      <c r="AQ170" s="4">
        <v>9250615.2300000004</v>
      </c>
      <c r="AR170" s="4">
        <v>1389931.69</v>
      </c>
      <c r="AS170" s="4">
        <v>1026506.3</v>
      </c>
      <c r="AT170" s="4">
        <v>2698710.25</v>
      </c>
      <c r="AU170" s="4">
        <v>4768291.5999999996</v>
      </c>
      <c r="AV170" s="4">
        <v>139847675.46000001</v>
      </c>
      <c r="AW170" s="4">
        <v>3777026.29</v>
      </c>
      <c r="AX170" s="4">
        <v>1999362.46</v>
      </c>
      <c r="AY170" s="4">
        <v>4918882.33</v>
      </c>
      <c r="AZ170" s="4">
        <v>11347179.890000001</v>
      </c>
      <c r="BA170" s="4">
        <v>4684543.16</v>
      </c>
      <c r="BB170" s="4">
        <v>2282209.15</v>
      </c>
      <c r="BC170" s="4">
        <v>4333215.38</v>
      </c>
      <c r="BD170" s="4">
        <v>51067630.280000001</v>
      </c>
      <c r="BE170" s="4">
        <v>1720708.13</v>
      </c>
      <c r="BF170" s="4">
        <v>1305881.6399999999</v>
      </c>
      <c r="BG170" s="4">
        <v>0</v>
      </c>
      <c r="BH170" s="4">
        <f t="shared" si="23"/>
        <v>773898072.88999999</v>
      </c>
    </row>
    <row r="171" spans="1:60" x14ac:dyDescent="0.2">
      <c r="A171" s="3">
        <v>41456</v>
      </c>
      <c r="B171" s="4">
        <v>18058740.710000001</v>
      </c>
      <c r="C171" s="4">
        <v>1361934.66</v>
      </c>
      <c r="D171" s="4">
        <v>9543452.8699999992</v>
      </c>
      <c r="E171" s="4">
        <v>2615908.21</v>
      </c>
      <c r="F171" s="4">
        <v>2695040.66</v>
      </c>
      <c r="G171" s="4">
        <v>4306758.54</v>
      </c>
      <c r="H171" s="4">
        <v>4511796.92</v>
      </c>
      <c r="I171" s="4">
        <v>1616304.8</v>
      </c>
      <c r="J171" s="4">
        <v>4441298.13</v>
      </c>
      <c r="K171" s="4">
        <v>2450642.02</v>
      </c>
      <c r="L171" s="4">
        <v>2035069.4</v>
      </c>
      <c r="M171" s="4">
        <v>1506483.02</v>
      </c>
      <c r="N171" s="4">
        <v>13219984.51</v>
      </c>
      <c r="O171" s="4">
        <v>55833911.079999998</v>
      </c>
      <c r="P171" s="4">
        <v>2343207.62</v>
      </c>
      <c r="Q171" s="4">
        <v>1613853.54</v>
      </c>
      <c r="R171" s="4">
        <v>1404759.16</v>
      </c>
      <c r="S171" s="4">
        <v>2993535.15</v>
      </c>
      <c r="T171" s="4">
        <v>2146465.96</v>
      </c>
      <c r="U171" s="4">
        <v>268701.84000000003</v>
      </c>
      <c r="V171" s="4">
        <v>2300094.5699999998</v>
      </c>
      <c r="W171" s="4">
        <v>6219080.8300000001</v>
      </c>
      <c r="X171" s="4">
        <v>737079.88</v>
      </c>
      <c r="Y171" s="4">
        <v>2283756.87</v>
      </c>
      <c r="Z171" s="4">
        <v>1871414.97</v>
      </c>
      <c r="AA171" s="4">
        <v>34683188.869999997</v>
      </c>
      <c r="AB171" s="4">
        <v>2071353.01</v>
      </c>
      <c r="AC171" s="4">
        <v>84504742.840000004</v>
      </c>
      <c r="AD171" s="4">
        <v>9387613.1300000008</v>
      </c>
      <c r="AE171" s="4">
        <v>10258000.26</v>
      </c>
      <c r="AF171" s="4">
        <v>25628741.27</v>
      </c>
      <c r="AG171" s="4">
        <v>6032417.7800000003</v>
      </c>
      <c r="AH171" s="4">
        <v>20210401.050000001</v>
      </c>
      <c r="AI171" s="4">
        <v>1136397.25</v>
      </c>
      <c r="AJ171" s="4">
        <v>3169419.26</v>
      </c>
      <c r="AK171" s="4">
        <v>3076200.84</v>
      </c>
      <c r="AL171" s="4">
        <v>4001258.53</v>
      </c>
      <c r="AM171" s="4">
        <v>6136781.3300000001</v>
      </c>
      <c r="AN171" s="4">
        <v>14143022.26</v>
      </c>
      <c r="AO171" s="4">
        <v>3314409.57</v>
      </c>
      <c r="AP171" s="4">
        <v>8833080.8000000007</v>
      </c>
      <c r="AQ171" s="4">
        <v>6944196.3499999996</v>
      </c>
      <c r="AR171" s="4">
        <v>1190747.8700000001</v>
      </c>
      <c r="AS171" s="4">
        <v>865433.79</v>
      </c>
      <c r="AT171" s="4">
        <v>2025362.12</v>
      </c>
      <c r="AU171" s="4">
        <v>3686008.09</v>
      </c>
      <c r="AV171" s="4">
        <v>100966780.7</v>
      </c>
      <c r="AW171" s="4">
        <v>2919851.04</v>
      </c>
      <c r="AX171" s="4">
        <v>1488206.4</v>
      </c>
      <c r="AY171" s="4">
        <v>3571714.8</v>
      </c>
      <c r="AZ171" s="4">
        <v>8044140.1299999999</v>
      </c>
      <c r="BA171" s="4">
        <v>5003825.0199999996</v>
      </c>
      <c r="BB171" s="4">
        <v>1467919.08</v>
      </c>
      <c r="BC171" s="4">
        <v>3064195.8</v>
      </c>
      <c r="BD171" s="4">
        <v>36856333.710000001</v>
      </c>
      <c r="BE171" s="4">
        <v>1246435.1299999999</v>
      </c>
      <c r="BF171" s="4">
        <v>776045.74</v>
      </c>
      <c r="BG171" s="4">
        <v>0</v>
      </c>
      <c r="BH171" s="4">
        <f t="shared" si="23"/>
        <v>565083499.73999989</v>
      </c>
    </row>
    <row r="172" spans="1:60" x14ac:dyDescent="0.2">
      <c r="A172" s="3">
        <v>41487</v>
      </c>
      <c r="B172" s="4">
        <v>18309034.780000001</v>
      </c>
      <c r="C172" s="4">
        <v>1319357.6200000001</v>
      </c>
      <c r="D172" s="4">
        <v>8940229.1799999997</v>
      </c>
      <c r="E172" s="4">
        <v>2585122.31</v>
      </c>
      <c r="F172" s="4">
        <v>2594893.83</v>
      </c>
      <c r="G172" s="4">
        <v>4228852.05</v>
      </c>
      <c r="H172" s="4">
        <v>4425680.09</v>
      </c>
      <c r="I172" s="4">
        <v>1513847.05</v>
      </c>
      <c r="J172" s="4">
        <v>4344428.1399999997</v>
      </c>
      <c r="K172" s="4">
        <v>2489168.25</v>
      </c>
      <c r="L172" s="4">
        <v>2036856.12</v>
      </c>
      <c r="M172" s="4">
        <v>1460194.48</v>
      </c>
      <c r="N172" s="4">
        <v>12518367.52</v>
      </c>
      <c r="O172" s="4">
        <v>55247217.259999998</v>
      </c>
      <c r="P172" s="4">
        <v>2200456.66</v>
      </c>
      <c r="Q172" s="4">
        <v>1540468.46</v>
      </c>
      <c r="R172" s="4">
        <v>1378716.1</v>
      </c>
      <c r="S172" s="4">
        <v>3028157.23</v>
      </c>
      <c r="T172" s="4">
        <v>2099761.4700000002</v>
      </c>
      <c r="U172" s="4">
        <v>228023.22</v>
      </c>
      <c r="V172" s="4">
        <v>2259525.7799999998</v>
      </c>
      <c r="W172" s="4">
        <v>6099486.8099999996</v>
      </c>
      <c r="X172" s="4">
        <v>716649.21</v>
      </c>
      <c r="Y172" s="4">
        <v>2256740.15</v>
      </c>
      <c r="Z172" s="4">
        <v>1906080.62</v>
      </c>
      <c r="AA172" s="4">
        <v>35587107.93</v>
      </c>
      <c r="AB172" s="4">
        <v>2020126.69</v>
      </c>
      <c r="AC172" s="4">
        <v>83608098.879999995</v>
      </c>
      <c r="AD172" s="4">
        <v>9419079.75</v>
      </c>
      <c r="AE172" s="4">
        <v>10208567.199999999</v>
      </c>
      <c r="AF172" s="4">
        <v>25530972.050000001</v>
      </c>
      <c r="AG172" s="4">
        <v>6084467.0700000003</v>
      </c>
      <c r="AH172" s="4">
        <v>19110765.68</v>
      </c>
      <c r="AI172" s="4">
        <v>1133961.53</v>
      </c>
      <c r="AJ172" s="4">
        <v>3124164.46</v>
      </c>
      <c r="AK172" s="4">
        <v>2998551.99</v>
      </c>
      <c r="AL172" s="4">
        <v>3946087.41</v>
      </c>
      <c r="AM172" s="4">
        <v>6004184.8499999996</v>
      </c>
      <c r="AN172" s="4">
        <v>13941426.300000001</v>
      </c>
      <c r="AO172" s="4">
        <v>3224232.55</v>
      </c>
      <c r="AP172" s="4">
        <v>8806452.0399999991</v>
      </c>
      <c r="AQ172" s="4">
        <v>7091967.4299999997</v>
      </c>
      <c r="AR172" s="4">
        <v>1144599.53</v>
      </c>
      <c r="AS172" s="4">
        <v>863672.35</v>
      </c>
      <c r="AT172" s="4">
        <v>1931840.65</v>
      </c>
      <c r="AU172" s="4">
        <v>3628504.33</v>
      </c>
      <c r="AV172" s="4">
        <v>99863064.849999994</v>
      </c>
      <c r="AW172" s="4">
        <v>2813002.63</v>
      </c>
      <c r="AX172" s="4">
        <v>1437540</v>
      </c>
      <c r="AY172" s="4">
        <v>3544887.2</v>
      </c>
      <c r="AZ172" s="4">
        <v>7921086.1399999997</v>
      </c>
      <c r="BA172" s="4">
        <v>4974725.22</v>
      </c>
      <c r="BB172" s="4">
        <v>1500436</v>
      </c>
      <c r="BC172" s="4">
        <v>3521384.43</v>
      </c>
      <c r="BD172" s="4">
        <v>35840741.719999999</v>
      </c>
      <c r="BE172" s="4">
        <v>1223935.3400000001</v>
      </c>
      <c r="BF172" s="4">
        <v>765900.11</v>
      </c>
      <c r="BG172" s="4">
        <v>0</v>
      </c>
      <c r="BH172" s="4">
        <f t="shared" si="23"/>
        <v>558542848.70000005</v>
      </c>
    </row>
    <row r="173" spans="1:60" x14ac:dyDescent="0.2">
      <c r="A173" s="3">
        <v>41518</v>
      </c>
      <c r="B173" s="4">
        <v>25831793.09</v>
      </c>
      <c r="C173" s="4">
        <v>2135339.6</v>
      </c>
      <c r="D173" s="4">
        <v>11798595.66</v>
      </c>
      <c r="E173" s="4">
        <v>3711011.66</v>
      </c>
      <c r="F173" s="4">
        <v>3696314.51</v>
      </c>
      <c r="G173" s="4">
        <v>6147076.8200000003</v>
      </c>
      <c r="H173" s="4">
        <v>5482578.1500000004</v>
      </c>
      <c r="I173" s="4">
        <v>2378652.2000000002</v>
      </c>
      <c r="J173" s="4">
        <v>5558962.4199999999</v>
      </c>
      <c r="K173" s="4">
        <v>4324595.08</v>
      </c>
      <c r="L173" s="4">
        <v>2966884.88</v>
      </c>
      <c r="M173" s="4">
        <v>2664676.52</v>
      </c>
      <c r="N173" s="4">
        <v>18426761.039999999</v>
      </c>
      <c r="O173" s="4">
        <v>69257326.560000002</v>
      </c>
      <c r="P173" s="4">
        <v>3751804.44</v>
      </c>
      <c r="Q173" s="4">
        <v>2609692.9500000002</v>
      </c>
      <c r="R173" s="4">
        <v>2263641.34</v>
      </c>
      <c r="S173" s="4">
        <v>4228020.3499999996</v>
      </c>
      <c r="T173" s="4">
        <v>3694287.12</v>
      </c>
      <c r="U173" s="4">
        <v>513085.12</v>
      </c>
      <c r="V173" s="4">
        <v>3906633.2</v>
      </c>
      <c r="W173" s="4">
        <v>7334389.9100000001</v>
      </c>
      <c r="X173" s="4">
        <v>1351115.32</v>
      </c>
      <c r="Y173" s="4">
        <v>3464179.86</v>
      </c>
      <c r="Z173" s="4">
        <v>3030435.15</v>
      </c>
      <c r="AA173" s="4">
        <v>47788320.140000001</v>
      </c>
      <c r="AB173" s="4">
        <v>3310603.51</v>
      </c>
      <c r="AC173" s="4">
        <v>114429583.34999999</v>
      </c>
      <c r="AD173" s="4">
        <v>11587819.050000001</v>
      </c>
      <c r="AE173" s="4">
        <v>14118592.699999999</v>
      </c>
      <c r="AF173" s="4">
        <v>33644015.039999999</v>
      </c>
      <c r="AG173" s="4">
        <v>8072078.6200000001</v>
      </c>
      <c r="AH173" s="4">
        <v>27332222.780000001</v>
      </c>
      <c r="AI173" s="4">
        <v>1486060.56</v>
      </c>
      <c r="AJ173" s="4">
        <v>4677120.2</v>
      </c>
      <c r="AK173" s="4">
        <v>4102707.98</v>
      </c>
      <c r="AL173" s="4">
        <v>6010697.1200000001</v>
      </c>
      <c r="AM173" s="4">
        <v>8090613.0700000003</v>
      </c>
      <c r="AN173" s="4">
        <v>19283517.760000002</v>
      </c>
      <c r="AO173" s="4">
        <v>4672853.32</v>
      </c>
      <c r="AP173" s="4">
        <v>11586032.52</v>
      </c>
      <c r="AQ173" s="4">
        <v>9365047.9399999995</v>
      </c>
      <c r="AR173" s="4">
        <v>1435089.68</v>
      </c>
      <c r="AS173" s="4">
        <v>1303564.02</v>
      </c>
      <c r="AT173" s="4">
        <v>2531527.87</v>
      </c>
      <c r="AU173" s="4">
        <v>4872426.6900000004</v>
      </c>
      <c r="AV173" s="4">
        <v>143414595.08000001</v>
      </c>
      <c r="AW173" s="4">
        <v>4650274.8499999996</v>
      </c>
      <c r="AX173" s="4">
        <v>2126228.4700000002</v>
      </c>
      <c r="AY173" s="4">
        <v>5263753.8499999996</v>
      </c>
      <c r="AZ173" s="4">
        <v>12133514</v>
      </c>
      <c r="BA173" s="4">
        <v>5736032.6799999997</v>
      </c>
      <c r="BB173" s="4">
        <v>2021861.66</v>
      </c>
      <c r="BC173" s="4">
        <v>4489022.12</v>
      </c>
      <c r="BD173" s="4">
        <v>48343087.240000002</v>
      </c>
      <c r="BE173" s="4">
        <v>2130234.33</v>
      </c>
      <c r="BF173" s="4">
        <v>1494901.31</v>
      </c>
      <c r="BG173" s="4">
        <v>0</v>
      </c>
      <c r="BH173" s="4">
        <f t="shared" si="23"/>
        <v>772031852.46000004</v>
      </c>
    </row>
    <row r="174" spans="1:60" x14ac:dyDescent="0.2">
      <c r="A174" s="3">
        <v>41548</v>
      </c>
      <c r="B174" s="4">
        <v>18955236.629999999</v>
      </c>
      <c r="C174" s="4">
        <v>1359323.04</v>
      </c>
      <c r="D174" s="4">
        <v>9116081.5</v>
      </c>
      <c r="E174" s="4">
        <v>2626054.15</v>
      </c>
      <c r="F174" s="4">
        <v>2453214.1</v>
      </c>
      <c r="G174" s="4">
        <v>4006480.92</v>
      </c>
      <c r="H174" s="4">
        <v>4306337.74</v>
      </c>
      <c r="I174" s="4">
        <v>1409984.15</v>
      </c>
      <c r="J174" s="4">
        <v>4159869.16</v>
      </c>
      <c r="K174" s="4">
        <v>2240011.2400000002</v>
      </c>
      <c r="L174" s="4">
        <v>2057465.71</v>
      </c>
      <c r="M174" s="4">
        <v>1461589.9</v>
      </c>
      <c r="N174" s="4">
        <v>12262561.42</v>
      </c>
      <c r="O174" s="4">
        <v>57129143.960000001</v>
      </c>
      <c r="P174" s="4">
        <v>1751637.45</v>
      </c>
      <c r="Q174" s="4">
        <v>1493940.35</v>
      </c>
      <c r="R174" s="4">
        <v>1255476.81</v>
      </c>
      <c r="S174" s="4">
        <v>2630456.06</v>
      </c>
      <c r="T174" s="4">
        <v>1890856.24</v>
      </c>
      <c r="U174" s="4">
        <v>160735.37</v>
      </c>
      <c r="V174" s="4">
        <v>2059778.07</v>
      </c>
      <c r="W174" s="4">
        <v>5630081.8499999996</v>
      </c>
      <c r="X174" s="4">
        <v>695894.69</v>
      </c>
      <c r="Y174" s="4">
        <v>2074749.02</v>
      </c>
      <c r="Z174" s="4">
        <v>1741890.1</v>
      </c>
      <c r="AA174" s="4">
        <v>34552078.270000003</v>
      </c>
      <c r="AB174" s="4">
        <v>2004986.18</v>
      </c>
      <c r="AC174" s="4">
        <v>84400990.739999995</v>
      </c>
      <c r="AD174" s="4">
        <v>9122417.1699999999</v>
      </c>
      <c r="AE174" s="4">
        <v>9893438.3100000005</v>
      </c>
      <c r="AF174" s="4">
        <v>25109748.359999999</v>
      </c>
      <c r="AG174" s="4">
        <v>5877950.7599999998</v>
      </c>
      <c r="AH174" s="4">
        <v>19367067.629999999</v>
      </c>
      <c r="AI174" s="4">
        <v>1092918.6200000001</v>
      </c>
      <c r="AJ174" s="4">
        <v>2997215.69</v>
      </c>
      <c r="AK174" s="4">
        <v>2266519.7000000002</v>
      </c>
      <c r="AL174" s="4">
        <v>3879547.31</v>
      </c>
      <c r="AM174" s="4">
        <v>5535098.6500000004</v>
      </c>
      <c r="AN174" s="4">
        <v>13135473.09</v>
      </c>
      <c r="AO174" s="4">
        <v>3137038.83</v>
      </c>
      <c r="AP174" s="4">
        <v>7932061.0499999998</v>
      </c>
      <c r="AQ174" s="4">
        <v>6808240.0700000003</v>
      </c>
      <c r="AR174" s="4">
        <v>1027864.52</v>
      </c>
      <c r="AS174" s="4">
        <v>647810.11</v>
      </c>
      <c r="AT174" s="4">
        <v>1833103.9</v>
      </c>
      <c r="AU174" s="4">
        <v>3276743.67</v>
      </c>
      <c r="AV174" s="4">
        <v>90866176.859999999</v>
      </c>
      <c r="AW174" s="4">
        <v>2244968.13</v>
      </c>
      <c r="AX174" s="4">
        <v>1421989.38</v>
      </c>
      <c r="AY174" s="4">
        <v>3538565.52</v>
      </c>
      <c r="AZ174" s="4">
        <v>7508905.5199999996</v>
      </c>
      <c r="BA174" s="4">
        <v>3680091.14</v>
      </c>
      <c r="BB174" s="4">
        <v>1337027.01</v>
      </c>
      <c r="BC174" s="4">
        <v>2862346.82</v>
      </c>
      <c r="BD174" s="4">
        <v>35728414.060000002</v>
      </c>
      <c r="BE174" s="4">
        <v>1166946.3799999999</v>
      </c>
      <c r="BF174" s="4">
        <v>683274.64</v>
      </c>
      <c r="BG174" s="4">
        <v>0</v>
      </c>
      <c r="BH174" s="4">
        <f t="shared" si="23"/>
        <v>539865867.71999979</v>
      </c>
    </row>
    <row r="175" spans="1:60" x14ac:dyDescent="0.2">
      <c r="A175" s="3">
        <v>41579</v>
      </c>
      <c r="B175" s="4">
        <v>18784447.41</v>
      </c>
      <c r="C175" s="4">
        <v>1286723.52</v>
      </c>
      <c r="D175" s="4">
        <v>9555560.8399999999</v>
      </c>
      <c r="E175" s="4">
        <v>2519254.23</v>
      </c>
      <c r="F175" s="4">
        <v>2468932.9900000002</v>
      </c>
      <c r="G175" s="4">
        <v>3715675.33</v>
      </c>
      <c r="H175" s="4">
        <v>4434784.2300000004</v>
      </c>
      <c r="I175" s="4">
        <v>1486109.69</v>
      </c>
      <c r="J175" s="4">
        <v>4157004.37</v>
      </c>
      <c r="K175" s="4">
        <v>2321963.0499999998</v>
      </c>
      <c r="L175" s="4">
        <v>2001591.9</v>
      </c>
      <c r="M175" s="4">
        <v>1405021.29</v>
      </c>
      <c r="N175" s="4">
        <v>12488678.130000001</v>
      </c>
      <c r="O175" s="4">
        <v>54775482.630000003</v>
      </c>
      <c r="P175" s="4">
        <v>1862040.02</v>
      </c>
      <c r="Q175" s="4">
        <v>1468156.39</v>
      </c>
      <c r="R175" s="4">
        <v>1302823.3899999999</v>
      </c>
      <c r="S175" s="4">
        <v>2700128.42</v>
      </c>
      <c r="T175" s="4">
        <v>1928729.71</v>
      </c>
      <c r="U175" s="4">
        <v>172513.15</v>
      </c>
      <c r="V175" s="4">
        <v>2098080.9700000002</v>
      </c>
      <c r="W175" s="4">
        <v>5623910.0499999998</v>
      </c>
      <c r="X175" s="4">
        <v>702526.87</v>
      </c>
      <c r="Y175" s="4">
        <v>2079392.52</v>
      </c>
      <c r="Z175" s="4">
        <v>1794859.71</v>
      </c>
      <c r="AA175" s="4">
        <v>33584863.649999999</v>
      </c>
      <c r="AB175" s="4">
        <v>2053274.97</v>
      </c>
      <c r="AC175" s="4">
        <v>84523754.569999993</v>
      </c>
      <c r="AD175" s="4">
        <v>8277766.1100000003</v>
      </c>
      <c r="AE175" s="4">
        <v>9866393.9700000007</v>
      </c>
      <c r="AF175" s="4">
        <v>25080729.48</v>
      </c>
      <c r="AG175" s="4">
        <v>5972072.1799999997</v>
      </c>
      <c r="AH175" s="4">
        <v>19778592.620000001</v>
      </c>
      <c r="AI175" s="4">
        <v>1085830.21</v>
      </c>
      <c r="AJ175" s="4">
        <v>2960087.46</v>
      </c>
      <c r="AK175" s="4">
        <v>2517941.4500000002</v>
      </c>
      <c r="AL175" s="4">
        <v>3845331.3</v>
      </c>
      <c r="AM175" s="4">
        <v>5699746.8600000003</v>
      </c>
      <c r="AN175" s="4">
        <v>13058246.4</v>
      </c>
      <c r="AO175" s="4">
        <v>3108031.37</v>
      </c>
      <c r="AP175" s="4">
        <v>8019474.7999999998</v>
      </c>
      <c r="AQ175" s="4">
        <v>6873987.1399999997</v>
      </c>
      <c r="AR175" s="4">
        <v>1035806.37</v>
      </c>
      <c r="AS175" s="4">
        <v>667476.24</v>
      </c>
      <c r="AT175" s="4">
        <v>1840883.8</v>
      </c>
      <c r="AU175" s="4">
        <v>3280267.99</v>
      </c>
      <c r="AV175" s="4">
        <v>91629682.810000002</v>
      </c>
      <c r="AW175" s="4">
        <v>2262730.16</v>
      </c>
      <c r="AX175" s="4">
        <v>1373842.93</v>
      </c>
      <c r="AY175" s="4">
        <v>3603454.05</v>
      </c>
      <c r="AZ175" s="4">
        <v>7526736.7800000003</v>
      </c>
      <c r="BA175" s="4">
        <v>3692007.22</v>
      </c>
      <c r="BB175" s="4">
        <v>1316418.28</v>
      </c>
      <c r="BC175" s="4">
        <v>2838363.08</v>
      </c>
      <c r="BD175" s="4">
        <v>36815424.109999999</v>
      </c>
      <c r="BE175" s="4">
        <v>1202745.56</v>
      </c>
      <c r="BF175" s="4">
        <v>704342.73</v>
      </c>
      <c r="BG175" s="4">
        <v>0</v>
      </c>
      <c r="BH175" s="4">
        <f t="shared" si="23"/>
        <v>539230697.46000004</v>
      </c>
    </row>
    <row r="176" spans="1:60" x14ac:dyDescent="0.2">
      <c r="A176" s="3">
        <v>41609</v>
      </c>
      <c r="B176" s="4">
        <v>23189013.5</v>
      </c>
      <c r="C176" s="4">
        <v>2361214.2799999998</v>
      </c>
      <c r="D176" s="4">
        <v>10860738.66</v>
      </c>
      <c r="E176" s="4">
        <v>3893827.6000000006</v>
      </c>
      <c r="F176" s="4">
        <v>3218233.93</v>
      </c>
      <c r="G176" s="4">
        <v>5247551.8899999997</v>
      </c>
      <c r="H176" s="4">
        <v>5252116.05</v>
      </c>
      <c r="I176" s="4">
        <v>2028026.62</v>
      </c>
      <c r="J176" s="4">
        <v>4695351.26</v>
      </c>
      <c r="K176" s="4">
        <v>3831503.62</v>
      </c>
      <c r="L176" s="4">
        <v>2803568.65</v>
      </c>
      <c r="M176" s="4">
        <v>2290055.73</v>
      </c>
      <c r="N176" s="4">
        <v>16793278.739999998</v>
      </c>
      <c r="O176" s="4">
        <v>72148252.5</v>
      </c>
      <c r="P176" s="4">
        <v>2854768.13</v>
      </c>
      <c r="Q176" s="4">
        <v>2262203.3199999998</v>
      </c>
      <c r="R176" s="4">
        <v>2051938.44</v>
      </c>
      <c r="S176" s="4">
        <v>3817966.62</v>
      </c>
      <c r="T176" s="4">
        <v>3288160.79</v>
      </c>
      <c r="U176" s="4">
        <v>311106.63</v>
      </c>
      <c r="V176" s="4">
        <v>2930948.67</v>
      </c>
      <c r="W176" s="4">
        <v>6430939.4900000002</v>
      </c>
      <c r="X176" s="4">
        <v>1272114.2</v>
      </c>
      <c r="Y176" s="4">
        <v>3221308.39</v>
      </c>
      <c r="Z176" s="4">
        <v>2676769.5</v>
      </c>
      <c r="AA176" s="4">
        <v>43340971.640000001</v>
      </c>
      <c r="AB176" s="4">
        <v>3002837.26</v>
      </c>
      <c r="AC176" s="4">
        <v>105933386.68000001</v>
      </c>
      <c r="AD176" s="4">
        <v>11183666.26</v>
      </c>
      <c r="AE176" s="4">
        <v>13795664.18</v>
      </c>
      <c r="AF176" s="4">
        <v>33603625.340000004</v>
      </c>
      <c r="AG176" s="4">
        <v>7384415.0600000005</v>
      </c>
      <c r="AH176" s="4">
        <v>25466252.309999999</v>
      </c>
      <c r="AI176" s="4">
        <v>1529741.42</v>
      </c>
      <c r="AJ176" s="4">
        <v>4040162.2699999996</v>
      </c>
      <c r="AK176" s="4">
        <v>3428113.4699999997</v>
      </c>
      <c r="AL176" s="4">
        <v>5735093.2199999997</v>
      </c>
      <c r="AM176" s="4">
        <v>7779667.3900000006</v>
      </c>
      <c r="AN176" s="4">
        <v>20228585.859999999</v>
      </c>
      <c r="AO176" s="4">
        <v>4881115.4800000004</v>
      </c>
      <c r="AP176" s="4">
        <v>10524540.369999999</v>
      </c>
      <c r="AQ176" s="4">
        <v>8506292.1099999994</v>
      </c>
      <c r="AR176" s="4">
        <v>1569369.05</v>
      </c>
      <c r="AS176" s="4">
        <v>1020667.27</v>
      </c>
      <c r="AT176" s="4">
        <v>2218357.37</v>
      </c>
      <c r="AU176" s="4">
        <v>4403840.21</v>
      </c>
      <c r="AV176" s="4">
        <v>133707490.27</v>
      </c>
      <c r="AW176" s="4">
        <v>3496767.93</v>
      </c>
      <c r="AX176" s="4">
        <v>1926262.15</v>
      </c>
      <c r="AY176" s="4">
        <v>4901587.8099999996</v>
      </c>
      <c r="AZ176" s="4">
        <v>9960944.2799999993</v>
      </c>
      <c r="BA176" s="4">
        <v>4054410.02</v>
      </c>
      <c r="BB176" s="4">
        <v>2376822.63</v>
      </c>
      <c r="BC176" s="4">
        <v>4519399.32</v>
      </c>
      <c r="BD176" s="4">
        <v>50974888.810000002</v>
      </c>
      <c r="BE176" s="4">
        <v>1805583.03</v>
      </c>
      <c r="BF176" s="4">
        <v>1245397.71</v>
      </c>
      <c r="BG176" s="4">
        <v>0</v>
      </c>
      <c r="BH176" s="4">
        <f t="shared" si="23"/>
        <v>728276875.38999987</v>
      </c>
    </row>
    <row r="177" spans="1:60" ht="15.75" thickBot="1" x14ac:dyDescent="0.25">
      <c r="A177" s="3" t="s">
        <v>167</v>
      </c>
      <c r="B177" s="5">
        <f t="shared" ref="B177:BG177" si="24">SUM(B165:B176)</f>
        <v>240696426.59</v>
      </c>
      <c r="C177" s="5">
        <f t="shared" si="24"/>
        <v>19354674.500000004</v>
      </c>
      <c r="D177" s="5">
        <f t="shared" si="24"/>
        <v>121604076.44</v>
      </c>
      <c r="E177" s="5">
        <f t="shared" si="24"/>
        <v>35132942.299999997</v>
      </c>
      <c r="F177" s="5">
        <f t="shared" si="24"/>
        <v>33450331.810000002</v>
      </c>
      <c r="G177" s="5">
        <f t="shared" si="24"/>
        <v>53123274.5</v>
      </c>
      <c r="H177" s="5">
        <f t="shared" si="24"/>
        <v>56691648.370000005</v>
      </c>
      <c r="I177" s="5">
        <f t="shared" si="24"/>
        <v>20452166.700000003</v>
      </c>
      <c r="J177" s="5">
        <f t="shared" si="24"/>
        <v>53354709.439999998</v>
      </c>
      <c r="K177" s="5">
        <f t="shared" si="24"/>
        <v>33657152.890000008</v>
      </c>
      <c r="L177" s="5">
        <f t="shared" si="24"/>
        <v>27650024.509999998</v>
      </c>
      <c r="M177" s="5">
        <f t="shared" si="24"/>
        <v>20533332.689999998</v>
      </c>
      <c r="N177" s="5">
        <f t="shared" si="24"/>
        <v>165945206.72999999</v>
      </c>
      <c r="O177" s="5">
        <f t="shared" si="24"/>
        <v>712618696.25</v>
      </c>
      <c r="P177" s="5">
        <f t="shared" si="24"/>
        <v>26147472.129999999</v>
      </c>
      <c r="Q177" s="5">
        <f t="shared" si="24"/>
        <v>20816771.710000001</v>
      </c>
      <c r="R177" s="5">
        <f t="shared" si="24"/>
        <v>18568804.550000001</v>
      </c>
      <c r="S177" s="5">
        <f t="shared" si="24"/>
        <v>38057036.36999999</v>
      </c>
      <c r="T177" s="5">
        <f t="shared" si="24"/>
        <v>28604033.98</v>
      </c>
      <c r="U177" s="5">
        <f t="shared" si="24"/>
        <v>2758195.21</v>
      </c>
      <c r="V177" s="5">
        <f t="shared" si="24"/>
        <v>29400199.490000002</v>
      </c>
      <c r="W177" s="5">
        <f t="shared" si="24"/>
        <v>71365540.890000001</v>
      </c>
      <c r="X177" s="5">
        <f t="shared" si="24"/>
        <v>10469927.829999998</v>
      </c>
      <c r="Y177" s="5">
        <f t="shared" si="24"/>
        <v>30229388.259999998</v>
      </c>
      <c r="Z177" s="5">
        <f t="shared" si="24"/>
        <v>25077929.260000002</v>
      </c>
      <c r="AA177" s="5">
        <f t="shared" si="24"/>
        <v>447108868.81999993</v>
      </c>
      <c r="AB177" s="5">
        <f t="shared" si="24"/>
        <v>28183070.899999999</v>
      </c>
      <c r="AC177" s="5">
        <f t="shared" si="24"/>
        <v>1138834701.4800003</v>
      </c>
      <c r="AD177" s="5">
        <f t="shared" si="24"/>
        <v>116574968.63</v>
      </c>
      <c r="AE177" s="5">
        <f t="shared" si="24"/>
        <v>132038730.96000001</v>
      </c>
      <c r="AF177" s="5">
        <f t="shared" si="24"/>
        <v>328081364.71000004</v>
      </c>
      <c r="AG177" s="5">
        <f t="shared" si="24"/>
        <v>76934788.920000002</v>
      </c>
      <c r="AH177" s="5">
        <f t="shared" si="24"/>
        <v>258819004.59</v>
      </c>
      <c r="AI177" s="5">
        <f t="shared" si="24"/>
        <v>14819904.76</v>
      </c>
      <c r="AJ177" s="5">
        <f t="shared" si="24"/>
        <v>41125357.269999996</v>
      </c>
      <c r="AK177" s="5">
        <f t="shared" si="24"/>
        <v>34691684.060000002</v>
      </c>
      <c r="AL177" s="5">
        <f t="shared" si="24"/>
        <v>53367340.25</v>
      </c>
      <c r="AM177" s="5">
        <f t="shared" si="24"/>
        <v>76815960.900000006</v>
      </c>
      <c r="AN177" s="5">
        <f t="shared" si="24"/>
        <v>185633703.09000003</v>
      </c>
      <c r="AO177" s="5">
        <f t="shared" si="24"/>
        <v>43455544.319999993</v>
      </c>
      <c r="AP177" s="5">
        <f t="shared" si="24"/>
        <v>107712970.39</v>
      </c>
      <c r="AQ177" s="5">
        <f t="shared" si="24"/>
        <v>90715706.050000012</v>
      </c>
      <c r="AR177" s="5">
        <f t="shared" si="24"/>
        <v>14209992.15</v>
      </c>
      <c r="AS177" s="5">
        <f t="shared" si="24"/>
        <v>9618470.3299999982</v>
      </c>
      <c r="AT177" s="5">
        <f t="shared" si="24"/>
        <v>23243813.530000001</v>
      </c>
      <c r="AU177" s="5">
        <f t="shared" si="24"/>
        <v>44993631.140000008</v>
      </c>
      <c r="AV177" s="5">
        <f t="shared" si="24"/>
        <v>1281871706.7800002</v>
      </c>
      <c r="AW177" s="5">
        <f t="shared" si="24"/>
        <v>33787234.779999994</v>
      </c>
      <c r="AX177" s="5">
        <f t="shared" si="24"/>
        <v>19227173.089999996</v>
      </c>
      <c r="AY177" s="5">
        <f t="shared" si="24"/>
        <v>47395629.480000004</v>
      </c>
      <c r="AZ177" s="5">
        <f t="shared" si="24"/>
        <v>103274569.39</v>
      </c>
      <c r="BA177" s="5">
        <f t="shared" si="24"/>
        <v>48836236.75</v>
      </c>
      <c r="BB177" s="5">
        <f t="shared" si="24"/>
        <v>19352213.259999998</v>
      </c>
      <c r="BC177" s="5">
        <f t="shared" si="24"/>
        <v>40602657.82</v>
      </c>
      <c r="BD177" s="5">
        <f t="shared" si="24"/>
        <v>488045564.77999997</v>
      </c>
      <c r="BE177" s="5">
        <f t="shared" si="24"/>
        <v>16831191.23</v>
      </c>
      <c r="BF177" s="5">
        <f t="shared" si="24"/>
        <v>10609617.340000004</v>
      </c>
      <c r="BG177" s="5">
        <f t="shared" si="24"/>
        <v>0</v>
      </c>
      <c r="BH177" s="5">
        <f>SUM(BH165:BH176)</f>
        <v>7272573335.3500004</v>
      </c>
    </row>
    <row r="178" spans="1:60" ht="15.75" thickTop="1" x14ac:dyDescent="0.2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</row>
    <row r="179" spans="1:60" x14ac:dyDescent="0.2">
      <c r="A179" s="3">
        <v>40909</v>
      </c>
      <c r="B179" s="4">
        <v>18629586.879999999</v>
      </c>
      <c r="C179" s="4">
        <v>1440982.12</v>
      </c>
      <c r="D179" s="4">
        <v>9550842.4199999999</v>
      </c>
      <c r="E179" s="4">
        <v>2780035.2700000005</v>
      </c>
      <c r="F179" s="4">
        <v>2481792.0300000003</v>
      </c>
      <c r="G179" s="4">
        <v>3729786.86</v>
      </c>
      <c r="H179" s="4">
        <v>5158702.7299999995</v>
      </c>
      <c r="I179" s="4">
        <v>1304793.06</v>
      </c>
      <c r="J179" s="4">
        <v>3648250.7399999998</v>
      </c>
      <c r="K179" s="4">
        <v>2193042.06</v>
      </c>
      <c r="L179" s="4">
        <v>2120457.21</v>
      </c>
      <c r="M179" s="4">
        <v>1304027.73</v>
      </c>
      <c r="N179" s="4">
        <v>12667257.060000001</v>
      </c>
      <c r="O179" s="4">
        <v>57009731.140000001</v>
      </c>
      <c r="P179" s="4">
        <v>1630600.0699999998</v>
      </c>
      <c r="Q179" s="4">
        <v>1502704.28</v>
      </c>
      <c r="R179" s="4">
        <v>1222722.44</v>
      </c>
      <c r="S179" s="4">
        <v>2352741.8199999998</v>
      </c>
      <c r="T179" s="4">
        <v>1927095.41</v>
      </c>
      <c r="U179" s="4">
        <v>123714.65000000002</v>
      </c>
      <c r="V179" s="4">
        <v>1925066.0900000003</v>
      </c>
      <c r="W179" s="4">
        <v>4981978.0999999996</v>
      </c>
      <c r="X179" s="4">
        <v>622037.84</v>
      </c>
      <c r="Y179" s="4">
        <v>1885302.82</v>
      </c>
      <c r="Z179" s="4">
        <v>1568168.31</v>
      </c>
      <c r="AA179" s="4">
        <v>34637421.180000007</v>
      </c>
      <c r="AB179" s="4">
        <v>1821445.51</v>
      </c>
      <c r="AC179" s="4">
        <v>83864418.549999997</v>
      </c>
      <c r="AD179" s="4">
        <v>8478405.3900000006</v>
      </c>
      <c r="AE179" s="4">
        <v>9629652.7799999993</v>
      </c>
      <c r="AF179" s="4">
        <v>24567217.730000004</v>
      </c>
      <c r="AG179" s="4">
        <v>5766811.2999999998</v>
      </c>
      <c r="AH179" s="4">
        <v>18139307.879999999</v>
      </c>
      <c r="AI179" s="4">
        <v>1131965.3700000001</v>
      </c>
      <c r="AJ179" s="4">
        <v>2762009.87</v>
      </c>
      <c r="AK179" s="4">
        <v>2289674.3000000003</v>
      </c>
      <c r="AL179" s="4">
        <v>3779879.6799999997</v>
      </c>
      <c r="AM179" s="4">
        <v>5285966.0999999996</v>
      </c>
      <c r="AN179" s="4">
        <v>13597250.459999999</v>
      </c>
      <c r="AO179" s="4">
        <v>3220072.2300000004</v>
      </c>
      <c r="AP179" s="4">
        <v>7711420.0799999991</v>
      </c>
      <c r="AQ179" s="4">
        <v>7274405.79</v>
      </c>
      <c r="AR179" s="4">
        <v>939537.39</v>
      </c>
      <c r="AS179" s="4">
        <v>597037.05999999994</v>
      </c>
      <c r="AT179" s="4">
        <v>1429231.5599999998</v>
      </c>
      <c r="AU179" s="4">
        <v>3778869.0199999996</v>
      </c>
      <c r="AV179" s="4">
        <v>93002140.590000018</v>
      </c>
      <c r="AW179" s="4">
        <v>2075623.8399999999</v>
      </c>
      <c r="AX179" s="4">
        <v>1394769.7500000002</v>
      </c>
      <c r="AY179" s="4">
        <v>3479990.99</v>
      </c>
      <c r="AZ179" s="4">
        <v>7425575.3500000006</v>
      </c>
      <c r="BA179" s="4">
        <v>3115051.54</v>
      </c>
      <c r="BB179" s="4">
        <v>1169781.52</v>
      </c>
      <c r="BC179" s="4">
        <v>2641946.2999999998</v>
      </c>
      <c r="BD179" s="4">
        <v>39049412.840000004</v>
      </c>
      <c r="BE179" s="4">
        <v>1026936.48</v>
      </c>
      <c r="BF179" s="4">
        <v>547445.92000000004</v>
      </c>
      <c r="BG179" s="4">
        <v>0</v>
      </c>
      <c r="BH179" s="4">
        <f t="shared" ref="BH179:BH190" si="25">SUM(B179:BG179)</f>
        <v>539392093.49000001</v>
      </c>
    </row>
    <row r="180" spans="1:60" x14ac:dyDescent="0.2">
      <c r="A180" s="3">
        <v>40940</v>
      </c>
      <c r="B180" s="4">
        <v>15973616.509999998</v>
      </c>
      <c r="C180" s="4">
        <v>1224578.1100000001</v>
      </c>
      <c r="D180" s="4">
        <v>8673573.75</v>
      </c>
      <c r="E180" s="4">
        <v>2417803.12</v>
      </c>
      <c r="F180" s="4">
        <v>2228181.61</v>
      </c>
      <c r="G180" s="4">
        <v>3255462.38</v>
      </c>
      <c r="H180" s="4">
        <v>4449696.8000000007</v>
      </c>
      <c r="I180" s="4">
        <v>1156030.2</v>
      </c>
      <c r="J180" s="4">
        <v>3217274.6799999997</v>
      </c>
      <c r="K180" s="4">
        <v>1920584.9400000002</v>
      </c>
      <c r="L180" s="4">
        <v>1808235.14</v>
      </c>
      <c r="M180" s="4">
        <v>1128444.94</v>
      </c>
      <c r="N180" s="4">
        <v>10811153.220000001</v>
      </c>
      <c r="O180" s="4">
        <v>48542752.469999991</v>
      </c>
      <c r="P180" s="4">
        <v>1411348.26</v>
      </c>
      <c r="Q180" s="4">
        <v>1302513.21</v>
      </c>
      <c r="R180" s="4">
        <v>1063523.04</v>
      </c>
      <c r="S180" s="4">
        <v>2045519.62</v>
      </c>
      <c r="T180" s="4">
        <v>1647336.02</v>
      </c>
      <c r="U180" s="4">
        <v>113047.10999999999</v>
      </c>
      <c r="V180" s="4">
        <v>1673354.47</v>
      </c>
      <c r="W180" s="4">
        <v>4317623.92</v>
      </c>
      <c r="X180" s="4">
        <v>556489.33000000007</v>
      </c>
      <c r="Y180" s="4">
        <v>1636822.25</v>
      </c>
      <c r="Z180" s="4">
        <v>1365263.9600000002</v>
      </c>
      <c r="AA180" s="4">
        <v>29316895.439999998</v>
      </c>
      <c r="AB180" s="4">
        <v>1658197.04</v>
      </c>
      <c r="AC180" s="4">
        <v>71638501.689999998</v>
      </c>
      <c r="AD180" s="4">
        <v>7200227.5499999998</v>
      </c>
      <c r="AE180" s="4">
        <v>8312973.0300000003</v>
      </c>
      <c r="AF180" s="4">
        <v>21417770.740000002</v>
      </c>
      <c r="AG180" s="4">
        <v>4923657.62</v>
      </c>
      <c r="AH180" s="4">
        <v>15713676.990000002</v>
      </c>
      <c r="AI180" s="4">
        <v>960226.81</v>
      </c>
      <c r="AJ180" s="4">
        <v>2373671.5299999998</v>
      </c>
      <c r="AK180" s="4">
        <v>1905885.87</v>
      </c>
      <c r="AL180" s="4">
        <v>3237990.5300000003</v>
      </c>
      <c r="AM180" s="4">
        <v>4567940.09</v>
      </c>
      <c r="AN180" s="4">
        <v>11707559.369999999</v>
      </c>
      <c r="AO180" s="4">
        <v>2843826.5900000003</v>
      </c>
      <c r="AP180" s="4">
        <v>6757751.1299999999</v>
      </c>
      <c r="AQ180" s="4">
        <v>6268696.879999999</v>
      </c>
      <c r="AR180" s="4">
        <v>820081.14</v>
      </c>
      <c r="AS180" s="4">
        <v>497085.88</v>
      </c>
      <c r="AT180" s="4">
        <v>1214224.8699999999</v>
      </c>
      <c r="AU180" s="4">
        <v>2635424.8400000003</v>
      </c>
      <c r="AV180" s="4">
        <v>80167824.929999992</v>
      </c>
      <c r="AW180" s="4">
        <v>1913687.1800000002</v>
      </c>
      <c r="AX180" s="4">
        <v>1250904.04</v>
      </c>
      <c r="AY180" s="4">
        <v>2991977.8699999996</v>
      </c>
      <c r="AZ180" s="4">
        <v>6635060.6900000004</v>
      </c>
      <c r="BA180" s="4">
        <v>2877230.5999999996</v>
      </c>
      <c r="BB180" s="4">
        <v>1036793.73</v>
      </c>
      <c r="BC180" s="4">
        <v>2298284.65</v>
      </c>
      <c r="BD180" s="4">
        <v>32851652.82</v>
      </c>
      <c r="BE180" s="4">
        <v>864876.12</v>
      </c>
      <c r="BF180" s="4">
        <v>479112.91</v>
      </c>
      <c r="BG180" s="4">
        <v>0</v>
      </c>
      <c r="BH180" s="4">
        <f t="shared" si="25"/>
        <v>463279900.22999996</v>
      </c>
    </row>
    <row r="181" spans="1:60" x14ac:dyDescent="0.2">
      <c r="A181" s="3">
        <v>40969</v>
      </c>
      <c r="B181" s="4">
        <v>23141236.810000002</v>
      </c>
      <c r="C181" s="4">
        <v>2028579.19</v>
      </c>
      <c r="D181" s="4">
        <v>15213376.77</v>
      </c>
      <c r="E181" s="4">
        <v>3030246.8</v>
      </c>
      <c r="F181" s="4">
        <v>2993065.62</v>
      </c>
      <c r="G181" s="4">
        <v>5077647.83</v>
      </c>
      <c r="H181" s="4">
        <v>5784235.04</v>
      </c>
      <c r="I181" s="4">
        <v>2360411.37</v>
      </c>
      <c r="J181" s="4">
        <v>5468004.5</v>
      </c>
      <c r="K181" s="4">
        <v>3871433.2199999997</v>
      </c>
      <c r="L181" s="4">
        <v>2595415.86</v>
      </c>
      <c r="M181" s="4">
        <v>2278463.5099999998</v>
      </c>
      <c r="N181" s="4">
        <v>16289738.920000002</v>
      </c>
      <c r="O181" s="4">
        <v>61053182.310000002</v>
      </c>
      <c r="P181" s="4">
        <v>2198455.65</v>
      </c>
      <c r="Q181" s="4">
        <v>1998390.6199999996</v>
      </c>
      <c r="R181" s="4">
        <v>1899954.23</v>
      </c>
      <c r="S181" s="4">
        <v>3744148.5999999996</v>
      </c>
      <c r="T181" s="4">
        <v>2940660.5700000003</v>
      </c>
      <c r="U181" s="4">
        <v>245598.46</v>
      </c>
      <c r="V181" s="4">
        <v>2846176.76</v>
      </c>
      <c r="W181" s="4">
        <v>6768546.2899999991</v>
      </c>
      <c r="X181" s="4">
        <v>1085505.0900000001</v>
      </c>
      <c r="Y181" s="4">
        <v>3208060.7</v>
      </c>
      <c r="Z181" s="4">
        <v>2501039.0300000003</v>
      </c>
      <c r="AA181" s="4">
        <v>42179529.380000003</v>
      </c>
      <c r="AB181" s="4">
        <v>2896904.4699999997</v>
      </c>
      <c r="AC181" s="4">
        <v>106483656.28999999</v>
      </c>
      <c r="AD181" s="4">
        <v>9976267.1799999997</v>
      </c>
      <c r="AE181" s="4">
        <v>12947763.68</v>
      </c>
      <c r="AF181" s="4">
        <v>30606797.880000003</v>
      </c>
      <c r="AG181" s="4">
        <v>7214164.1999999993</v>
      </c>
      <c r="AH181" s="4">
        <v>25017636.48</v>
      </c>
      <c r="AI181" s="4">
        <v>1584687.26</v>
      </c>
      <c r="AJ181" s="4">
        <v>4394411.46</v>
      </c>
      <c r="AK181" s="4">
        <v>3500764.01</v>
      </c>
      <c r="AL181" s="4">
        <v>5196932.2699999996</v>
      </c>
      <c r="AM181" s="4">
        <v>8007343.0500000007</v>
      </c>
      <c r="AN181" s="4">
        <v>16730004.129999999</v>
      </c>
      <c r="AO181" s="4">
        <v>4030483.71</v>
      </c>
      <c r="AP181" s="4">
        <v>10228493.01</v>
      </c>
      <c r="AQ181" s="4">
        <v>8997575.6600000001</v>
      </c>
      <c r="AR181" s="4">
        <v>1627124.52</v>
      </c>
      <c r="AS181" s="4">
        <v>947090.8899999999</v>
      </c>
      <c r="AT181" s="4">
        <v>2043034.23</v>
      </c>
      <c r="AU181" s="4">
        <v>4965010.01</v>
      </c>
      <c r="AV181" s="4">
        <v>110404569.60999998</v>
      </c>
      <c r="AW181" s="4">
        <v>3496500.3299999996</v>
      </c>
      <c r="AX181" s="4">
        <v>2464230.66</v>
      </c>
      <c r="AY181" s="4">
        <v>4565447.8000000007</v>
      </c>
      <c r="AZ181" s="4">
        <v>10382320.329999998</v>
      </c>
      <c r="BA181" s="4">
        <v>3735521.13</v>
      </c>
      <c r="BB181" s="4">
        <v>1860696.27</v>
      </c>
      <c r="BC181" s="4">
        <v>3903218.11</v>
      </c>
      <c r="BD181" s="4">
        <v>44562631.709999993</v>
      </c>
      <c r="BE181" s="4">
        <v>1772371.78</v>
      </c>
      <c r="BF181" s="4">
        <v>1149661.77</v>
      </c>
      <c r="BG181" s="4">
        <v>0</v>
      </c>
      <c r="BH181" s="4">
        <f t="shared" si="25"/>
        <v>678494417.01999986</v>
      </c>
    </row>
    <row r="182" spans="1:60" x14ac:dyDescent="0.2">
      <c r="A182" s="3">
        <v>41000</v>
      </c>
      <c r="B182" s="4">
        <v>17487116.960000001</v>
      </c>
      <c r="C182" s="4">
        <v>1358553.18</v>
      </c>
      <c r="D182" s="4">
        <v>8795858.2599999998</v>
      </c>
      <c r="E182" s="4">
        <v>2575216.9699999997</v>
      </c>
      <c r="F182" s="4">
        <v>2371956.17</v>
      </c>
      <c r="G182" s="4">
        <v>3635483.31</v>
      </c>
      <c r="H182" s="4">
        <v>4484791.87</v>
      </c>
      <c r="I182" s="4">
        <v>1467953.0899999999</v>
      </c>
      <c r="J182" s="4">
        <v>3568697.92</v>
      </c>
      <c r="K182" s="4">
        <v>2199943.7400000002</v>
      </c>
      <c r="L182" s="4">
        <v>1960188.21</v>
      </c>
      <c r="M182" s="4">
        <v>1318905.27</v>
      </c>
      <c r="N182" s="4">
        <v>11794846.23</v>
      </c>
      <c r="O182" s="4">
        <v>52676104.980000004</v>
      </c>
      <c r="P182" s="4">
        <v>1446274.34</v>
      </c>
      <c r="Q182" s="4">
        <v>1400679.3399999999</v>
      </c>
      <c r="R182" s="4">
        <v>1232154.8899999999</v>
      </c>
      <c r="S182" s="4">
        <v>2455186.1999999997</v>
      </c>
      <c r="T182" s="4">
        <v>1782424.78</v>
      </c>
      <c r="U182" s="4">
        <v>133508.34</v>
      </c>
      <c r="V182" s="4">
        <v>1875191.3900000001</v>
      </c>
      <c r="W182" s="4">
        <v>5074638.4000000004</v>
      </c>
      <c r="X182" s="4">
        <v>664354.93999999994</v>
      </c>
      <c r="Y182" s="4">
        <v>2005675.67</v>
      </c>
      <c r="Z182" s="4">
        <v>1696495.98</v>
      </c>
      <c r="AA182" s="4">
        <v>32761636.320000004</v>
      </c>
      <c r="AB182" s="4">
        <v>1853287.39</v>
      </c>
      <c r="AC182" s="4">
        <v>77891241.689999998</v>
      </c>
      <c r="AD182" s="4">
        <v>8137335.8200000003</v>
      </c>
      <c r="AE182" s="4">
        <v>9207277.2399999984</v>
      </c>
      <c r="AF182" s="4">
        <v>23315487.509999998</v>
      </c>
      <c r="AG182" s="4">
        <v>5256889.2300000004</v>
      </c>
      <c r="AH182" s="4">
        <v>17652306.670000002</v>
      </c>
      <c r="AI182" s="4">
        <v>1056871.9300000002</v>
      </c>
      <c r="AJ182" s="4">
        <v>2949550.17</v>
      </c>
      <c r="AK182" s="4">
        <v>2378589.9299999997</v>
      </c>
      <c r="AL182" s="4">
        <v>3592228.1499999994</v>
      </c>
      <c r="AM182" s="4">
        <v>5578499.3400000008</v>
      </c>
      <c r="AN182" s="4">
        <v>13081626.310000001</v>
      </c>
      <c r="AO182" s="4">
        <v>3086730.9200000004</v>
      </c>
      <c r="AP182" s="4">
        <v>7568245.4800000004</v>
      </c>
      <c r="AQ182" s="4">
        <v>6710774.1600000001</v>
      </c>
      <c r="AR182" s="4">
        <v>989071.66999999993</v>
      </c>
      <c r="AS182" s="4">
        <v>578194.03</v>
      </c>
      <c r="AT182" s="4">
        <v>1520805.04</v>
      </c>
      <c r="AU182" s="4">
        <v>3212406.2199999997</v>
      </c>
      <c r="AV182" s="4">
        <v>88779723.25</v>
      </c>
      <c r="AW182" s="4">
        <v>2206702.5299999998</v>
      </c>
      <c r="AX182" s="4">
        <v>1502024.18</v>
      </c>
      <c r="AY182" s="4">
        <v>3287381.6199999996</v>
      </c>
      <c r="AZ182" s="4">
        <v>6946547.04</v>
      </c>
      <c r="BA182" s="4">
        <v>3101413.9799999995</v>
      </c>
      <c r="BB182" s="4">
        <v>1185959.3900000001</v>
      </c>
      <c r="BC182" s="4">
        <v>2736717.72</v>
      </c>
      <c r="BD182" s="4">
        <v>34903590.960000001</v>
      </c>
      <c r="BE182" s="4">
        <v>1103559.01</v>
      </c>
      <c r="BF182" s="4">
        <v>609904.18000000005</v>
      </c>
      <c r="BG182" s="4">
        <v>0</v>
      </c>
      <c r="BH182" s="4">
        <f t="shared" si="25"/>
        <v>510204779.51000017</v>
      </c>
    </row>
    <row r="183" spans="1:60" x14ac:dyDescent="0.2">
      <c r="A183" s="3">
        <v>41030</v>
      </c>
      <c r="B183" s="4">
        <v>17016800.66</v>
      </c>
      <c r="C183" s="4">
        <v>1300202.28</v>
      </c>
      <c r="D183" s="4">
        <v>8475817.25</v>
      </c>
      <c r="E183" s="4">
        <v>2394874.2199999997</v>
      </c>
      <c r="F183" s="4">
        <v>2388023.7800000003</v>
      </c>
      <c r="G183" s="4">
        <v>3528332.33</v>
      </c>
      <c r="H183" s="4">
        <v>4455745.9800000004</v>
      </c>
      <c r="I183" s="4">
        <v>1394266.84</v>
      </c>
      <c r="J183" s="4">
        <v>3522246.37</v>
      </c>
      <c r="K183" s="4">
        <v>2153055.64</v>
      </c>
      <c r="L183" s="4">
        <v>1941188.46</v>
      </c>
      <c r="M183" s="4">
        <v>1313916.01</v>
      </c>
      <c r="N183" s="4">
        <v>11675129.68</v>
      </c>
      <c r="O183" s="4">
        <v>51539380.319999993</v>
      </c>
      <c r="P183" s="4">
        <v>1438651.6600000001</v>
      </c>
      <c r="Q183" s="4">
        <v>1380212.6600000001</v>
      </c>
      <c r="R183" s="4">
        <v>1232303.03</v>
      </c>
      <c r="S183" s="4">
        <v>2393813.8499999996</v>
      </c>
      <c r="T183" s="4">
        <v>1721770.48</v>
      </c>
      <c r="U183" s="4">
        <v>164125.16999999998</v>
      </c>
      <c r="V183" s="4">
        <v>1859102.1199999999</v>
      </c>
      <c r="W183" s="4">
        <v>5100237.62</v>
      </c>
      <c r="X183" s="4">
        <v>645610.32000000007</v>
      </c>
      <c r="Y183" s="4">
        <v>1973667.06</v>
      </c>
      <c r="Z183" s="4">
        <v>1632933.04</v>
      </c>
      <c r="AA183" s="4">
        <v>32106055.859999999</v>
      </c>
      <c r="AB183" s="4">
        <v>1834953.08</v>
      </c>
      <c r="AC183" s="4">
        <v>78025015.870000005</v>
      </c>
      <c r="AD183" s="4">
        <v>7941033.2599999998</v>
      </c>
      <c r="AE183" s="4">
        <v>9202767.4800000004</v>
      </c>
      <c r="AF183" s="4">
        <v>23155642.439999998</v>
      </c>
      <c r="AG183" s="4">
        <v>5193558.63</v>
      </c>
      <c r="AH183" s="4">
        <v>17672478.27</v>
      </c>
      <c r="AI183" s="4">
        <v>1040016.78</v>
      </c>
      <c r="AJ183" s="4">
        <v>2908470.05</v>
      </c>
      <c r="AK183" s="4">
        <v>2340387.46</v>
      </c>
      <c r="AL183" s="4">
        <v>3649392.06</v>
      </c>
      <c r="AM183" s="4">
        <v>5564916.8799999999</v>
      </c>
      <c r="AN183" s="4">
        <v>12747348.68</v>
      </c>
      <c r="AO183" s="4">
        <v>3026016.5300000003</v>
      </c>
      <c r="AP183" s="4">
        <v>7495197.7300000004</v>
      </c>
      <c r="AQ183" s="4">
        <v>6678498.1500000013</v>
      </c>
      <c r="AR183" s="4">
        <v>979087.8600000001</v>
      </c>
      <c r="AS183" s="4">
        <v>588902.49</v>
      </c>
      <c r="AT183" s="4">
        <v>1520031.67</v>
      </c>
      <c r="AU183" s="4">
        <v>3142522.57</v>
      </c>
      <c r="AV183" s="4">
        <v>88761967.200000003</v>
      </c>
      <c r="AW183" s="4">
        <v>2154052.94</v>
      </c>
      <c r="AX183" s="4">
        <v>1313920.2</v>
      </c>
      <c r="AY183" s="4">
        <v>3241075.9400000004</v>
      </c>
      <c r="AZ183" s="4">
        <v>6948101.8399999999</v>
      </c>
      <c r="BA183" s="4">
        <v>3092057.54</v>
      </c>
      <c r="BB183" s="4">
        <v>1183655.8999999999</v>
      </c>
      <c r="BC183" s="4">
        <v>2706190.5600000005</v>
      </c>
      <c r="BD183" s="4">
        <v>35079109.060000002</v>
      </c>
      <c r="BE183" s="4">
        <v>1078863.19</v>
      </c>
      <c r="BF183" s="4">
        <v>643547.56000000006</v>
      </c>
      <c r="BG183" s="4">
        <v>0</v>
      </c>
      <c r="BH183" s="4">
        <f t="shared" si="25"/>
        <v>505656242.55999988</v>
      </c>
    </row>
    <row r="184" spans="1:60" x14ac:dyDescent="0.2">
      <c r="A184" s="3">
        <v>41061</v>
      </c>
      <c r="B184" s="4">
        <v>24911253.020000003</v>
      </c>
      <c r="C184" s="4">
        <v>2153879.8200000003</v>
      </c>
      <c r="D184" s="4">
        <v>14382277.66</v>
      </c>
      <c r="E184" s="4">
        <v>3553070.9299999997</v>
      </c>
      <c r="F184" s="4">
        <v>3523090.18</v>
      </c>
      <c r="G184" s="4">
        <v>6123483.4000000004</v>
      </c>
      <c r="H184" s="4">
        <v>5882476.3300000001</v>
      </c>
      <c r="I184" s="4">
        <v>2304541.91</v>
      </c>
      <c r="J184" s="4">
        <v>6112443.6500000004</v>
      </c>
      <c r="K184" s="4">
        <v>3958682.1399999997</v>
      </c>
      <c r="L184" s="4">
        <v>2868669.6799999997</v>
      </c>
      <c r="M184" s="4">
        <v>2439140.4800000004</v>
      </c>
      <c r="N184" s="4">
        <v>17153930.690000001</v>
      </c>
      <c r="O184" s="4">
        <v>68697370.150000006</v>
      </c>
      <c r="P184" s="4">
        <v>2552813.83</v>
      </c>
      <c r="Q184" s="4">
        <v>2266946.21</v>
      </c>
      <c r="R184" s="4">
        <v>2173937.4400000004</v>
      </c>
      <c r="S184" s="4">
        <v>4201238.1399999997</v>
      </c>
      <c r="T184" s="4">
        <v>3060049.4899999998</v>
      </c>
      <c r="U184" s="4">
        <v>282858.48</v>
      </c>
      <c r="V184" s="4">
        <v>3339489.57</v>
      </c>
      <c r="W184" s="4">
        <v>8456352.379999999</v>
      </c>
      <c r="X184" s="4">
        <v>1203113.6000000001</v>
      </c>
      <c r="Y184" s="4">
        <v>3718334.1799999997</v>
      </c>
      <c r="Z184" s="4">
        <v>2769897.1799999997</v>
      </c>
      <c r="AA184" s="4">
        <v>46646302.329999998</v>
      </c>
      <c r="AB184" s="4">
        <v>3225971.1899999995</v>
      </c>
      <c r="AC184" s="4">
        <v>105890355.06</v>
      </c>
      <c r="AD184" s="4">
        <v>11699836.219999999</v>
      </c>
      <c r="AE184" s="4">
        <v>13701573.530000001</v>
      </c>
      <c r="AF184" s="4">
        <v>32716142.810000002</v>
      </c>
      <c r="AG184" s="4">
        <v>8021096.5</v>
      </c>
      <c r="AH184" s="4">
        <v>28963647.170000002</v>
      </c>
      <c r="AI184" s="4">
        <v>1672516.23</v>
      </c>
      <c r="AJ184" s="4">
        <v>4867072.74</v>
      </c>
      <c r="AK184" s="4">
        <v>3676749.9800000004</v>
      </c>
      <c r="AL184" s="4">
        <v>5595395.5700000003</v>
      </c>
      <c r="AM184" s="4">
        <v>7879164.96</v>
      </c>
      <c r="AN184" s="4">
        <v>16134414.07</v>
      </c>
      <c r="AO184" s="4">
        <v>4385288.9800000004</v>
      </c>
      <c r="AP184" s="4">
        <v>11015502.4</v>
      </c>
      <c r="AQ184" s="4">
        <v>9216770.2400000002</v>
      </c>
      <c r="AR184" s="4">
        <v>1738150.13</v>
      </c>
      <c r="AS184" s="4">
        <v>1192228.92</v>
      </c>
      <c r="AT184" s="4">
        <v>2563538.09</v>
      </c>
      <c r="AU184" s="4">
        <v>4962782.95</v>
      </c>
      <c r="AV184" s="4">
        <v>124018846.59999999</v>
      </c>
      <c r="AW184" s="4">
        <v>3957625.0300000003</v>
      </c>
      <c r="AX184" s="4">
        <v>2064968.7</v>
      </c>
      <c r="AY184" s="4">
        <v>5143644.97</v>
      </c>
      <c r="AZ184" s="4">
        <v>11318940.77</v>
      </c>
      <c r="BA184" s="4">
        <v>5058259.8100000005</v>
      </c>
      <c r="BB184" s="4">
        <v>2466831.13</v>
      </c>
      <c r="BC184" s="4">
        <v>4605804.4000000004</v>
      </c>
      <c r="BD184" s="4">
        <v>43654310.510000005</v>
      </c>
      <c r="BE184" s="4">
        <v>2066133.0199999998</v>
      </c>
      <c r="BF184" s="4">
        <v>1350166.67</v>
      </c>
      <c r="BG184" s="4">
        <v>0</v>
      </c>
      <c r="BH184" s="4">
        <f t="shared" si="25"/>
        <v>729559372.21999991</v>
      </c>
    </row>
    <row r="185" spans="1:60" x14ac:dyDescent="0.2">
      <c r="A185" s="3">
        <v>41091</v>
      </c>
      <c r="B185" s="4">
        <v>17428577.530000001</v>
      </c>
      <c r="C185" s="4">
        <v>1339329.96</v>
      </c>
      <c r="D185" s="4">
        <v>9221258.7400000002</v>
      </c>
      <c r="E185" s="4">
        <v>2543524.41</v>
      </c>
      <c r="F185" s="4">
        <v>2554265.98</v>
      </c>
      <c r="G185" s="4">
        <v>4282539.04</v>
      </c>
      <c r="H185" s="4">
        <v>4569673.0299999993</v>
      </c>
      <c r="I185" s="4">
        <v>1523168.98</v>
      </c>
      <c r="J185" s="4">
        <v>3939222.65</v>
      </c>
      <c r="K185" s="4">
        <v>2354192.94</v>
      </c>
      <c r="L185" s="4">
        <v>1948701.4500000002</v>
      </c>
      <c r="M185" s="4">
        <v>1477595.69</v>
      </c>
      <c r="N185" s="4">
        <v>12089175.34</v>
      </c>
      <c r="O185" s="4">
        <v>53850160.859999999</v>
      </c>
      <c r="P185" s="4">
        <v>2168990.7400000002</v>
      </c>
      <c r="Q185" s="4">
        <v>1591496.51</v>
      </c>
      <c r="R185" s="4">
        <v>1338782.8299999998</v>
      </c>
      <c r="S185" s="4">
        <v>3070607.41</v>
      </c>
      <c r="T185" s="4">
        <v>2067491.61</v>
      </c>
      <c r="U185" s="4">
        <v>240138.15000000002</v>
      </c>
      <c r="V185" s="4">
        <v>2241018.7999999998</v>
      </c>
      <c r="W185" s="4">
        <v>5672349.75</v>
      </c>
      <c r="X185" s="4">
        <v>714274.69</v>
      </c>
      <c r="Y185" s="4">
        <v>2191129.11</v>
      </c>
      <c r="Z185" s="4">
        <v>1736328.48</v>
      </c>
      <c r="AA185" s="4">
        <v>34436335.490000002</v>
      </c>
      <c r="AB185" s="4">
        <v>2021330.28</v>
      </c>
      <c r="AC185" s="4">
        <v>80794134.859999999</v>
      </c>
      <c r="AD185" s="4">
        <v>8834065.0599999987</v>
      </c>
      <c r="AE185" s="4">
        <v>9744307.0899999999</v>
      </c>
      <c r="AF185" s="4">
        <v>24404461.880000003</v>
      </c>
      <c r="AG185" s="4">
        <v>5812780.1500000004</v>
      </c>
      <c r="AH185" s="4">
        <v>19048829.329999998</v>
      </c>
      <c r="AI185" s="4">
        <v>1063630.6200000001</v>
      </c>
      <c r="AJ185" s="4">
        <v>3116887.91</v>
      </c>
      <c r="AK185" s="4">
        <v>2931840.2399999998</v>
      </c>
      <c r="AL185" s="4">
        <v>3798458.4</v>
      </c>
      <c r="AM185" s="4">
        <v>5706564.7699999996</v>
      </c>
      <c r="AN185" s="4">
        <v>13091179.68</v>
      </c>
      <c r="AO185" s="4">
        <v>3109578.83</v>
      </c>
      <c r="AP185" s="4">
        <v>8290172.0200000005</v>
      </c>
      <c r="AQ185" s="4">
        <v>6625552.2299999995</v>
      </c>
      <c r="AR185" s="4">
        <v>1118049.6299999999</v>
      </c>
      <c r="AS185" s="4">
        <v>857547.46</v>
      </c>
      <c r="AT185" s="4">
        <v>1810443.1199999999</v>
      </c>
      <c r="AU185" s="4">
        <v>3640241.15</v>
      </c>
      <c r="AV185" s="4">
        <v>94246242.799999997</v>
      </c>
      <c r="AW185" s="4">
        <v>3070722.0400000005</v>
      </c>
      <c r="AX185" s="4">
        <v>1367087.0200000003</v>
      </c>
      <c r="AY185" s="4">
        <v>3505659.4400000004</v>
      </c>
      <c r="AZ185" s="4">
        <v>7693925.1999999993</v>
      </c>
      <c r="BA185" s="4">
        <v>4514494.6999999993</v>
      </c>
      <c r="BB185" s="4">
        <v>1287284.71</v>
      </c>
      <c r="BC185" s="4">
        <v>2936730.5700000003</v>
      </c>
      <c r="BD185" s="4">
        <v>34158569.810000002</v>
      </c>
      <c r="BE185" s="4">
        <v>1185266.68</v>
      </c>
      <c r="BF185" s="4">
        <v>822112.28</v>
      </c>
      <c r="BG185" s="4">
        <v>0</v>
      </c>
      <c r="BH185" s="4">
        <f t="shared" si="25"/>
        <v>537198480.12999988</v>
      </c>
    </row>
    <row r="186" spans="1:60" x14ac:dyDescent="0.2">
      <c r="A186" s="3">
        <v>41122</v>
      </c>
      <c r="B186" s="4">
        <v>17814249.449999999</v>
      </c>
      <c r="C186" s="4">
        <v>1322764.3600000001</v>
      </c>
      <c r="D186" s="4">
        <v>9248462.0199999996</v>
      </c>
      <c r="E186" s="4">
        <v>2512474.91</v>
      </c>
      <c r="F186" s="4">
        <v>2523793.7800000003</v>
      </c>
      <c r="G186" s="4">
        <v>4269482.7</v>
      </c>
      <c r="H186" s="4">
        <v>4500309.79</v>
      </c>
      <c r="I186" s="4">
        <v>1517808.5700000003</v>
      </c>
      <c r="J186" s="4">
        <v>3949792.15</v>
      </c>
      <c r="K186" s="4">
        <v>2344697.6100000003</v>
      </c>
      <c r="L186" s="4">
        <v>1966419.9800000002</v>
      </c>
      <c r="M186" s="4">
        <v>1461458.9400000002</v>
      </c>
      <c r="N186" s="4">
        <v>12073890.709999999</v>
      </c>
      <c r="O186" s="4">
        <v>54300126.340000004</v>
      </c>
      <c r="P186" s="4">
        <v>2143467.83</v>
      </c>
      <c r="Q186" s="4">
        <v>1542726.65</v>
      </c>
      <c r="R186" s="4">
        <v>1352488.59</v>
      </c>
      <c r="S186" s="4">
        <v>2958604.13</v>
      </c>
      <c r="T186" s="4">
        <v>2052513.08</v>
      </c>
      <c r="U186" s="4">
        <v>228253.3</v>
      </c>
      <c r="V186" s="4">
        <v>2232766.4300000002</v>
      </c>
      <c r="W186" s="4">
        <v>5654707.5600000005</v>
      </c>
      <c r="X186" s="4">
        <v>701479.0199999999</v>
      </c>
      <c r="Y186" s="4">
        <v>2220753.34</v>
      </c>
      <c r="Z186" s="4">
        <v>1727471.5899999999</v>
      </c>
      <c r="AA186" s="4">
        <v>34268240.030000001</v>
      </c>
      <c r="AB186" s="4">
        <v>2028576.38</v>
      </c>
      <c r="AC186" s="4">
        <v>80771673.700000018</v>
      </c>
      <c r="AD186" s="4">
        <v>8843507.9800000004</v>
      </c>
      <c r="AE186" s="4">
        <v>9800784.5999999996</v>
      </c>
      <c r="AF186" s="4">
        <v>25122830.800000004</v>
      </c>
      <c r="AG186" s="4">
        <v>5832055.5699999994</v>
      </c>
      <c r="AH186" s="4">
        <v>19257053.300000001</v>
      </c>
      <c r="AI186" s="4">
        <v>1074852.1200000001</v>
      </c>
      <c r="AJ186" s="4">
        <v>3166865.2300000004</v>
      </c>
      <c r="AK186" s="4">
        <v>2906947.02</v>
      </c>
      <c r="AL186" s="4">
        <v>3507856.61</v>
      </c>
      <c r="AM186" s="4">
        <v>5662779.1100000003</v>
      </c>
      <c r="AN186" s="4">
        <v>12689580.02</v>
      </c>
      <c r="AO186" s="4">
        <v>3166936.34</v>
      </c>
      <c r="AP186" s="4">
        <v>8139737.3399999999</v>
      </c>
      <c r="AQ186" s="4">
        <v>6705926.1900000004</v>
      </c>
      <c r="AR186" s="4">
        <v>1124618</v>
      </c>
      <c r="AS186" s="4">
        <v>865679.92999999993</v>
      </c>
      <c r="AT186" s="4">
        <v>1758107.08</v>
      </c>
      <c r="AU186" s="4">
        <v>3454004.77</v>
      </c>
      <c r="AV186" s="4">
        <v>95882075.560000002</v>
      </c>
      <c r="AW186" s="4">
        <v>2828168.97</v>
      </c>
      <c r="AX186" s="4">
        <v>1454632.11</v>
      </c>
      <c r="AY186" s="4">
        <v>3409007.8600000003</v>
      </c>
      <c r="AZ186" s="4">
        <v>7627837.9200000009</v>
      </c>
      <c r="BA186" s="4">
        <v>4514561.33</v>
      </c>
      <c r="BB186" s="4">
        <v>1337070.27</v>
      </c>
      <c r="BC186" s="4">
        <v>2940260.21</v>
      </c>
      <c r="BD186" s="4">
        <v>33820984.909999996</v>
      </c>
      <c r="BE186" s="4">
        <v>1172384.1600000001</v>
      </c>
      <c r="BF186" s="4">
        <v>751826.14</v>
      </c>
      <c r="BG186" s="4">
        <v>0</v>
      </c>
      <c r="BH186" s="4">
        <f t="shared" si="25"/>
        <v>538508384.38999999</v>
      </c>
    </row>
    <row r="187" spans="1:60" x14ac:dyDescent="0.2">
      <c r="A187" s="3">
        <v>41153</v>
      </c>
      <c r="B187" s="4">
        <v>24045755.620000001</v>
      </c>
      <c r="C187" s="4">
        <v>1911152.2</v>
      </c>
      <c r="D187" s="4">
        <v>11537252.23</v>
      </c>
      <c r="E187" s="4">
        <v>3498047.24</v>
      </c>
      <c r="F187" s="4">
        <v>3475299.04</v>
      </c>
      <c r="G187" s="4">
        <v>6208330.8799999999</v>
      </c>
      <c r="H187" s="4">
        <v>5347365.32</v>
      </c>
      <c r="I187" s="4">
        <v>2036703.02</v>
      </c>
      <c r="J187" s="4">
        <v>6522555.0800000001</v>
      </c>
      <c r="K187" s="4">
        <v>3975983.52</v>
      </c>
      <c r="L187" s="4">
        <v>2912741.43</v>
      </c>
      <c r="M187" s="4">
        <v>2326825.56</v>
      </c>
      <c r="N187" s="4">
        <v>17786821.98</v>
      </c>
      <c r="O187" s="4">
        <v>69312283.200000003</v>
      </c>
      <c r="P187" s="4">
        <v>3079626.47</v>
      </c>
      <c r="Q187" s="4">
        <v>2378511.2400000002</v>
      </c>
      <c r="R187" s="4">
        <v>1941222.23</v>
      </c>
      <c r="S187" s="4">
        <v>3755947.12</v>
      </c>
      <c r="T187" s="4">
        <v>3080376.51</v>
      </c>
      <c r="U187" s="4">
        <v>450513.32</v>
      </c>
      <c r="V187" s="4">
        <v>3369589.15</v>
      </c>
      <c r="W187" s="4">
        <v>8632437.0999999996</v>
      </c>
      <c r="X187" s="4">
        <v>1247722.3700000001</v>
      </c>
      <c r="Y187" s="4">
        <v>3256644.04</v>
      </c>
      <c r="Z187" s="4">
        <v>2772248.55</v>
      </c>
      <c r="AA187" s="4">
        <v>41674718.619999997</v>
      </c>
      <c r="AB187" s="4">
        <v>2838782.88</v>
      </c>
      <c r="AC187" s="4">
        <v>106423307.48999999</v>
      </c>
      <c r="AD187" s="4">
        <v>12263697.85</v>
      </c>
      <c r="AE187" s="4">
        <v>12928026.960000001</v>
      </c>
      <c r="AF187" s="4">
        <v>32056455.030000001</v>
      </c>
      <c r="AG187" s="4">
        <v>7936870.9299999997</v>
      </c>
      <c r="AH187" s="4">
        <v>24598535.600000001</v>
      </c>
      <c r="AI187" s="4">
        <v>1539589.17</v>
      </c>
      <c r="AJ187" s="4">
        <v>4325493.42</v>
      </c>
      <c r="AK187" s="4">
        <v>3948825.61</v>
      </c>
      <c r="AL187" s="4">
        <v>5904421.3399999999</v>
      </c>
      <c r="AM187" s="4">
        <v>8051678.3700000001</v>
      </c>
      <c r="AN187" s="4">
        <v>17788864.920000002</v>
      </c>
      <c r="AO187" s="4">
        <v>4394509.7699999996</v>
      </c>
      <c r="AP187" s="4">
        <v>11373508.59</v>
      </c>
      <c r="AQ187" s="4">
        <v>9091812.8499999996</v>
      </c>
      <c r="AR187" s="4">
        <v>2019072.16</v>
      </c>
      <c r="AS187" s="4">
        <v>1212985.0900000001</v>
      </c>
      <c r="AT187" s="4">
        <v>2710175.69</v>
      </c>
      <c r="AU187" s="4">
        <v>5171265.08</v>
      </c>
      <c r="AV187" s="4">
        <v>125231457.77</v>
      </c>
      <c r="AW187" s="4">
        <v>4016749.78</v>
      </c>
      <c r="AX187" s="4">
        <v>2346280.65</v>
      </c>
      <c r="AY187" s="4">
        <v>4873663.54</v>
      </c>
      <c r="AZ187" s="4">
        <v>11626312.74</v>
      </c>
      <c r="BA187" s="4">
        <v>5884811.0099999998</v>
      </c>
      <c r="BB187" s="4">
        <v>2018194.14</v>
      </c>
      <c r="BC187" s="4">
        <v>4173858.59</v>
      </c>
      <c r="BD187" s="4">
        <v>45176812.509999998</v>
      </c>
      <c r="BE187" s="4">
        <v>2277763.75</v>
      </c>
      <c r="BF187" s="4">
        <v>1316538.43</v>
      </c>
      <c r="BG187" s="4">
        <v>0</v>
      </c>
      <c r="BH187" s="4">
        <f t="shared" si="25"/>
        <v>722056994.74999988</v>
      </c>
    </row>
    <row r="188" spans="1:60" x14ac:dyDescent="0.2">
      <c r="A188" s="3">
        <v>41183</v>
      </c>
      <c r="B188" s="4">
        <v>17884881.75</v>
      </c>
      <c r="C188" s="4">
        <v>1258892.44</v>
      </c>
      <c r="D188" s="4">
        <v>9144659.5199999996</v>
      </c>
      <c r="E188" s="4">
        <v>2390955.54</v>
      </c>
      <c r="F188" s="4">
        <v>2404280.16</v>
      </c>
      <c r="G188" s="4">
        <v>3627484.93</v>
      </c>
      <c r="H188" s="4">
        <v>4525964.3499999996</v>
      </c>
      <c r="I188" s="4">
        <v>1406625.3</v>
      </c>
      <c r="J188" s="4">
        <v>3885951.44</v>
      </c>
      <c r="K188" s="4">
        <v>2207771.31</v>
      </c>
      <c r="L188" s="4">
        <v>1989433.68</v>
      </c>
      <c r="M188" s="4">
        <v>1383813.38</v>
      </c>
      <c r="N188" s="4">
        <v>12306568.75</v>
      </c>
      <c r="O188" s="4">
        <v>52901872.579999998</v>
      </c>
      <c r="P188" s="4">
        <v>1731171.8</v>
      </c>
      <c r="Q188" s="4">
        <v>1456376.77</v>
      </c>
      <c r="R188" s="4">
        <v>1257026.6200000001</v>
      </c>
      <c r="S188" s="4">
        <v>2561256.52</v>
      </c>
      <c r="T188" s="4">
        <v>1960640.98</v>
      </c>
      <c r="U188" s="4">
        <v>161206.78</v>
      </c>
      <c r="V188" s="4">
        <v>1964054.29</v>
      </c>
      <c r="W188" s="4">
        <v>5423434.6799999997</v>
      </c>
      <c r="X188" s="4">
        <v>657625.15</v>
      </c>
      <c r="Y188" s="4">
        <v>1990727.84</v>
      </c>
      <c r="Z188" s="4">
        <v>1670232.22</v>
      </c>
      <c r="AA188" s="4">
        <v>32442354.41</v>
      </c>
      <c r="AB188" s="4">
        <v>1938388.45</v>
      </c>
      <c r="AC188" s="4">
        <v>82125601.560000002</v>
      </c>
      <c r="AD188" s="4">
        <v>8392138.75</v>
      </c>
      <c r="AE188" s="4">
        <v>9614772.5</v>
      </c>
      <c r="AF188" s="4">
        <v>24025972.43</v>
      </c>
      <c r="AG188" s="4">
        <v>5554758.8600000003</v>
      </c>
      <c r="AH188" s="4">
        <v>19338639.859999999</v>
      </c>
      <c r="AI188" s="4">
        <v>1068821.8899999999</v>
      </c>
      <c r="AJ188" s="4">
        <v>2922239.8</v>
      </c>
      <c r="AK188" s="4">
        <v>2438766.39</v>
      </c>
      <c r="AL188" s="4">
        <v>3700853.22</v>
      </c>
      <c r="AM188" s="4">
        <v>5538025.4500000002</v>
      </c>
      <c r="AN188" s="4">
        <v>13504355.109999999</v>
      </c>
      <c r="AO188" s="4">
        <v>3047070.51</v>
      </c>
      <c r="AP188" s="4">
        <v>7886946.6500000004</v>
      </c>
      <c r="AQ188" s="4">
        <v>6645431.7300000004</v>
      </c>
      <c r="AR188" s="4">
        <v>990738.71</v>
      </c>
      <c r="AS188" s="4">
        <v>631763.36</v>
      </c>
      <c r="AT188" s="4">
        <v>1706490.23</v>
      </c>
      <c r="AU188" s="4">
        <v>3254340.93</v>
      </c>
      <c r="AV188" s="4">
        <v>88384538.430000007</v>
      </c>
      <c r="AW188" s="4">
        <v>2261522.1800000002</v>
      </c>
      <c r="AX188" s="4">
        <v>1302977.06</v>
      </c>
      <c r="AY188" s="4">
        <v>3433195.29</v>
      </c>
      <c r="AZ188" s="4">
        <v>7516924.8899999997</v>
      </c>
      <c r="BA188" s="4">
        <v>3410759.94</v>
      </c>
      <c r="BB188" s="4">
        <v>1154385.8999999999</v>
      </c>
      <c r="BC188" s="4">
        <v>2675668.13</v>
      </c>
      <c r="BD188" s="4">
        <v>34481049.640000001</v>
      </c>
      <c r="BE188" s="4">
        <v>1108007.3400000001</v>
      </c>
      <c r="BF188" s="4">
        <v>642761.77</v>
      </c>
      <c r="BG188" s="4">
        <v>0</v>
      </c>
      <c r="BH188" s="4">
        <f t="shared" si="25"/>
        <v>521293170.14999998</v>
      </c>
    </row>
    <row r="189" spans="1:60" x14ac:dyDescent="0.2">
      <c r="A189" s="3">
        <v>41214</v>
      </c>
      <c r="B189" s="4">
        <v>17648152.809999999</v>
      </c>
      <c r="C189" s="4">
        <v>1219277.46</v>
      </c>
      <c r="D189" s="4">
        <v>8754869.3800000008</v>
      </c>
      <c r="E189" s="4">
        <v>2345981.71</v>
      </c>
      <c r="F189" s="4">
        <v>2480605.9</v>
      </c>
      <c r="G189" s="4">
        <v>3483686.04</v>
      </c>
      <c r="H189" s="4">
        <v>4521909.09</v>
      </c>
      <c r="I189" s="4">
        <v>1358650.02</v>
      </c>
      <c r="J189" s="4">
        <v>3808739.92</v>
      </c>
      <c r="K189" s="4">
        <v>2026915.29</v>
      </c>
      <c r="L189" s="4">
        <v>1887260.93</v>
      </c>
      <c r="M189" s="4">
        <v>1376909.25</v>
      </c>
      <c r="N189" s="4">
        <v>12689503.359999999</v>
      </c>
      <c r="O189" s="4">
        <v>51268608.75</v>
      </c>
      <c r="P189" s="4">
        <v>1683952.76</v>
      </c>
      <c r="Q189" s="4">
        <v>1421374.92</v>
      </c>
      <c r="R189" s="4">
        <v>1234853.27</v>
      </c>
      <c r="S189" s="4">
        <v>2472033.7799999998</v>
      </c>
      <c r="T189" s="4">
        <v>1910504.92</v>
      </c>
      <c r="U189" s="4">
        <v>149383.34</v>
      </c>
      <c r="V189" s="4">
        <v>1888904.88</v>
      </c>
      <c r="W189" s="4">
        <v>5310787.45</v>
      </c>
      <c r="X189" s="4">
        <v>639168.21</v>
      </c>
      <c r="Y189" s="4">
        <v>2044096.29</v>
      </c>
      <c r="Z189" s="4">
        <v>1571814.37</v>
      </c>
      <c r="AA189" s="4">
        <v>31518972.210000001</v>
      </c>
      <c r="AB189" s="4">
        <v>1869660.11</v>
      </c>
      <c r="AC189" s="4">
        <v>79764909.340000004</v>
      </c>
      <c r="AD189" s="4">
        <v>8295614.3200000003</v>
      </c>
      <c r="AE189" s="4">
        <v>9205131.1600000001</v>
      </c>
      <c r="AF189" s="4">
        <v>23334372.5</v>
      </c>
      <c r="AG189" s="4">
        <v>5390406.9400000004</v>
      </c>
      <c r="AH189" s="4">
        <v>19063930.890000001</v>
      </c>
      <c r="AI189" s="4">
        <v>1037311.33</v>
      </c>
      <c r="AJ189" s="4">
        <v>2864989.9</v>
      </c>
      <c r="AK189" s="4">
        <v>2311189.63</v>
      </c>
      <c r="AL189" s="4">
        <v>3580578.93</v>
      </c>
      <c r="AM189" s="4">
        <v>5323451.9800000004</v>
      </c>
      <c r="AN189" s="4">
        <v>13150234.119999999</v>
      </c>
      <c r="AO189" s="4">
        <v>2973927.92</v>
      </c>
      <c r="AP189" s="4">
        <v>7700636.3399999999</v>
      </c>
      <c r="AQ189" s="4">
        <v>6520738.96</v>
      </c>
      <c r="AR189" s="4">
        <v>948228.6</v>
      </c>
      <c r="AS189" s="4">
        <v>605382.35</v>
      </c>
      <c r="AT189" s="4">
        <v>1683618.48</v>
      </c>
      <c r="AU189" s="4">
        <v>3199232.32</v>
      </c>
      <c r="AV189" s="4">
        <v>87457182.349999994</v>
      </c>
      <c r="AW189" s="4">
        <v>2175688.65</v>
      </c>
      <c r="AX189" s="4">
        <v>1415453.23</v>
      </c>
      <c r="AY189" s="4">
        <v>3331783.03</v>
      </c>
      <c r="AZ189" s="4">
        <v>7336539</v>
      </c>
      <c r="BA189" s="4">
        <v>3309384.84</v>
      </c>
      <c r="BB189" s="4">
        <v>1140098.79</v>
      </c>
      <c r="BC189" s="4">
        <v>2595982.08</v>
      </c>
      <c r="BD189" s="4">
        <v>33328562.149999999</v>
      </c>
      <c r="BE189" s="4">
        <v>1073774.8999999999</v>
      </c>
      <c r="BF189" s="4">
        <v>632004.41</v>
      </c>
      <c r="BG189" s="4">
        <v>0</v>
      </c>
      <c r="BH189" s="4">
        <f t="shared" si="25"/>
        <v>509336915.8599999</v>
      </c>
    </row>
    <row r="190" spans="1:60" x14ac:dyDescent="0.2">
      <c r="A190" s="3">
        <v>41244</v>
      </c>
      <c r="B190" s="4">
        <v>26126910.309999999</v>
      </c>
      <c r="C190" s="4">
        <v>2298364.09</v>
      </c>
      <c r="D190" s="4">
        <v>14442757.75</v>
      </c>
      <c r="E190" s="4">
        <v>3683922.3</v>
      </c>
      <c r="F190" s="4">
        <v>3560129.18</v>
      </c>
      <c r="G190" s="4">
        <v>5932558.0599999996</v>
      </c>
      <c r="H190" s="4">
        <v>5518530.9000000004</v>
      </c>
      <c r="I190" s="4">
        <v>2244004.4500000002</v>
      </c>
      <c r="J190" s="4">
        <v>6309118.6400000006</v>
      </c>
      <c r="K190" s="4">
        <v>4211715.0599999996</v>
      </c>
      <c r="L190" s="4">
        <v>2968829.04</v>
      </c>
      <c r="M190" s="4">
        <v>2282269.91</v>
      </c>
      <c r="N190" s="4">
        <v>17202572.609999999</v>
      </c>
      <c r="O190" s="4">
        <v>72982091.200000003</v>
      </c>
      <c r="P190" s="4">
        <v>2556342.31</v>
      </c>
      <c r="Q190" s="4">
        <v>2306664.96</v>
      </c>
      <c r="R190" s="4">
        <v>2045831.43</v>
      </c>
      <c r="S190" s="4">
        <v>4409306.18</v>
      </c>
      <c r="T190" s="4">
        <v>2869819.19</v>
      </c>
      <c r="U190" s="4">
        <v>256323.14</v>
      </c>
      <c r="V190" s="4">
        <v>3355636.29</v>
      </c>
      <c r="W190" s="4">
        <v>7144467.4699999997</v>
      </c>
      <c r="X190" s="4">
        <v>1315583.77</v>
      </c>
      <c r="Y190" s="4">
        <v>3724861.68</v>
      </c>
      <c r="Z190" s="4">
        <v>2848890.31</v>
      </c>
      <c r="AA190" s="4">
        <v>47157258.670000002</v>
      </c>
      <c r="AB190" s="4">
        <v>3289780.41</v>
      </c>
      <c r="AC190" s="4">
        <v>112513019.50999999</v>
      </c>
      <c r="AD190" s="4">
        <v>12885679.449999999</v>
      </c>
      <c r="AE190" s="4">
        <v>14241663.920000002</v>
      </c>
      <c r="AF190" s="4">
        <v>34954451.07</v>
      </c>
      <c r="AG190" s="4">
        <v>8858128.4199999999</v>
      </c>
      <c r="AH190" s="4">
        <v>28439148.260000002</v>
      </c>
      <c r="AI190" s="4">
        <v>1672288.94</v>
      </c>
      <c r="AJ190" s="4">
        <v>4814512.99</v>
      </c>
      <c r="AK190" s="4">
        <v>3755002.62</v>
      </c>
      <c r="AL190" s="4">
        <v>5853692.5300000003</v>
      </c>
      <c r="AM190" s="4">
        <v>8020409.8100000005</v>
      </c>
      <c r="AN190" s="4">
        <v>17502475.18</v>
      </c>
      <c r="AO190" s="4">
        <v>4671916.0599999996</v>
      </c>
      <c r="AP190" s="4">
        <v>10707323.01</v>
      </c>
      <c r="AQ190" s="4">
        <v>10503158.119999999</v>
      </c>
      <c r="AR190" s="4">
        <v>1664493.69</v>
      </c>
      <c r="AS190" s="4">
        <v>1097812.67</v>
      </c>
      <c r="AT190" s="4">
        <v>2490551.94</v>
      </c>
      <c r="AU190" s="4">
        <v>5262831.72</v>
      </c>
      <c r="AV190" s="4">
        <v>122865299.45999999</v>
      </c>
      <c r="AW190" s="4">
        <v>3864977.8099999996</v>
      </c>
      <c r="AX190" s="4">
        <v>2353982.79</v>
      </c>
      <c r="AY190" s="4">
        <v>4929868.28</v>
      </c>
      <c r="AZ190" s="4">
        <v>11811827.98</v>
      </c>
      <c r="BA190" s="4">
        <v>4983944.53</v>
      </c>
      <c r="BB190" s="4">
        <v>2255718.08</v>
      </c>
      <c r="BC190" s="4">
        <v>4570755.75</v>
      </c>
      <c r="BD190" s="4">
        <v>48529415.939999998</v>
      </c>
      <c r="BE190" s="4">
        <v>2267108.2999999998</v>
      </c>
      <c r="BF190" s="4">
        <v>1254517.53</v>
      </c>
      <c r="BG190" s="4">
        <v>0</v>
      </c>
      <c r="BH190" s="4">
        <f t="shared" si="25"/>
        <v>752640515.67000008</v>
      </c>
    </row>
    <row r="191" spans="1:60" ht="15.75" thickBot="1" x14ac:dyDescent="0.25">
      <c r="A191" s="3" t="s">
        <v>166</v>
      </c>
      <c r="B191" s="5">
        <f t="shared" ref="B191:BG191" si="26">SUM(B179:B190)</f>
        <v>238108138.31</v>
      </c>
      <c r="C191" s="5">
        <f t="shared" si="26"/>
        <v>18856555.209999997</v>
      </c>
      <c r="D191" s="5">
        <f t="shared" si="26"/>
        <v>127441005.74999999</v>
      </c>
      <c r="E191" s="5">
        <f t="shared" si="26"/>
        <v>33726153.419999994</v>
      </c>
      <c r="F191" s="5">
        <f t="shared" si="26"/>
        <v>32984483.43</v>
      </c>
      <c r="G191" s="5">
        <f t="shared" si="26"/>
        <v>53154277.760000005</v>
      </c>
      <c r="H191" s="5">
        <f t="shared" si="26"/>
        <v>59199401.229999997</v>
      </c>
      <c r="I191" s="5">
        <f t="shared" si="26"/>
        <v>20074956.809999999</v>
      </c>
      <c r="J191" s="5">
        <f t="shared" si="26"/>
        <v>53952297.739999995</v>
      </c>
      <c r="K191" s="5">
        <f t="shared" si="26"/>
        <v>33418017.469999999</v>
      </c>
      <c r="L191" s="5">
        <f t="shared" si="26"/>
        <v>26967541.069999997</v>
      </c>
      <c r="M191" s="5">
        <f t="shared" si="26"/>
        <v>20091770.669999998</v>
      </c>
      <c r="N191" s="5">
        <f t="shared" si="26"/>
        <v>164540588.55000001</v>
      </c>
      <c r="O191" s="5">
        <f t="shared" si="26"/>
        <v>694133664.30000007</v>
      </c>
      <c r="P191" s="5">
        <f t="shared" si="26"/>
        <v>24041695.720000003</v>
      </c>
      <c r="Q191" s="5">
        <f t="shared" si="26"/>
        <v>20548597.370000005</v>
      </c>
      <c r="R191" s="5">
        <f t="shared" si="26"/>
        <v>17994800.039999999</v>
      </c>
      <c r="S191" s="5">
        <f t="shared" si="26"/>
        <v>36420403.369999997</v>
      </c>
      <c r="T191" s="5">
        <f t="shared" si="26"/>
        <v>27020683.039999995</v>
      </c>
      <c r="U191" s="5">
        <f t="shared" si="26"/>
        <v>2548670.2399999998</v>
      </c>
      <c r="V191" s="5">
        <f t="shared" si="26"/>
        <v>28570350.239999995</v>
      </c>
      <c r="W191" s="5">
        <f t="shared" si="26"/>
        <v>72537560.720000014</v>
      </c>
      <c r="X191" s="5">
        <f t="shared" si="26"/>
        <v>10052964.329999998</v>
      </c>
      <c r="Y191" s="5">
        <f t="shared" si="26"/>
        <v>29856074.98</v>
      </c>
      <c r="Z191" s="5">
        <f t="shared" si="26"/>
        <v>23860783.02</v>
      </c>
      <c r="AA191" s="5">
        <f t="shared" si="26"/>
        <v>439145719.94</v>
      </c>
      <c r="AB191" s="5">
        <f t="shared" si="26"/>
        <v>27277277.189999994</v>
      </c>
      <c r="AC191" s="5">
        <f t="shared" si="26"/>
        <v>1066185835.61</v>
      </c>
      <c r="AD191" s="5">
        <f t="shared" si="26"/>
        <v>112947808.83</v>
      </c>
      <c r="AE191" s="5">
        <f t="shared" si="26"/>
        <v>128536693.96999998</v>
      </c>
      <c r="AF191" s="5">
        <f t="shared" si="26"/>
        <v>319677602.81999999</v>
      </c>
      <c r="AG191" s="5">
        <f t="shared" si="26"/>
        <v>75761178.349999994</v>
      </c>
      <c r="AH191" s="5">
        <f t="shared" si="26"/>
        <v>252905190.69999999</v>
      </c>
      <c r="AI191" s="5">
        <f t="shared" si="26"/>
        <v>14902778.450000001</v>
      </c>
      <c r="AJ191" s="5">
        <f t="shared" si="26"/>
        <v>41466175.07</v>
      </c>
      <c r="AK191" s="5">
        <f t="shared" si="26"/>
        <v>34384623.059999995</v>
      </c>
      <c r="AL191" s="5">
        <f t="shared" si="26"/>
        <v>51397679.289999999</v>
      </c>
      <c r="AM191" s="5">
        <f t="shared" si="26"/>
        <v>75186739.909999996</v>
      </c>
      <c r="AN191" s="5">
        <f t="shared" si="26"/>
        <v>171724892.05000001</v>
      </c>
      <c r="AO191" s="5">
        <f t="shared" si="26"/>
        <v>41956358.390000001</v>
      </c>
      <c r="AP191" s="5">
        <f t="shared" si="26"/>
        <v>104874933.78000002</v>
      </c>
      <c r="AQ191" s="5">
        <f t="shared" si="26"/>
        <v>91239340.959999993</v>
      </c>
      <c r="AR191" s="5">
        <f t="shared" si="26"/>
        <v>14958253.5</v>
      </c>
      <c r="AS191" s="5">
        <f t="shared" si="26"/>
        <v>9671710.129999999</v>
      </c>
      <c r="AT191" s="5">
        <f t="shared" si="26"/>
        <v>22450252</v>
      </c>
      <c r="AU191" s="5">
        <f t="shared" si="26"/>
        <v>46678931.579999998</v>
      </c>
      <c r="AV191" s="5">
        <f t="shared" si="26"/>
        <v>1199201868.55</v>
      </c>
      <c r="AW191" s="5">
        <f t="shared" si="26"/>
        <v>34022021.279999994</v>
      </c>
      <c r="AX191" s="5">
        <f t="shared" si="26"/>
        <v>20231230.389999997</v>
      </c>
      <c r="AY191" s="5">
        <f t="shared" si="26"/>
        <v>46192696.630000003</v>
      </c>
      <c r="AZ191" s="5">
        <f t="shared" si="26"/>
        <v>103269913.75</v>
      </c>
      <c r="BA191" s="5">
        <f t="shared" si="26"/>
        <v>47597490.950000003</v>
      </c>
      <c r="BB191" s="5">
        <f t="shared" si="26"/>
        <v>18096469.830000006</v>
      </c>
      <c r="BC191" s="5">
        <f t="shared" si="26"/>
        <v>38785417.07</v>
      </c>
      <c r="BD191" s="5">
        <f t="shared" si="26"/>
        <v>459596102.85999995</v>
      </c>
      <c r="BE191" s="5">
        <f t="shared" si="26"/>
        <v>16997044.73</v>
      </c>
      <c r="BF191" s="5">
        <f t="shared" si="26"/>
        <v>10199599.569999998</v>
      </c>
      <c r="BG191" s="5">
        <f t="shared" si="26"/>
        <v>0</v>
      </c>
      <c r="BH191" s="5">
        <f>SUM(BH179:BH190)</f>
        <v>7007621265.9799995</v>
      </c>
    </row>
    <row r="192" spans="1:60" ht="15.75" thickTop="1" x14ac:dyDescent="0.2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</row>
    <row r="193" spans="1:60" x14ac:dyDescent="0.2">
      <c r="A193" s="3">
        <v>40544</v>
      </c>
      <c r="B193" s="4">
        <v>19204477.530000001</v>
      </c>
      <c r="C193" s="4">
        <v>1384832.46</v>
      </c>
      <c r="D193" s="4">
        <v>8681194.9600000009</v>
      </c>
      <c r="E193" s="4">
        <v>2824489.0799999996</v>
      </c>
      <c r="F193" s="4">
        <v>2486472.2200000002</v>
      </c>
      <c r="G193" s="4">
        <v>3699063.2699999996</v>
      </c>
      <c r="H193" s="4">
        <v>4905658.8100000005</v>
      </c>
      <c r="I193" s="4">
        <v>1307802.1299999999</v>
      </c>
      <c r="J193" s="4">
        <v>3672418.25</v>
      </c>
      <c r="K193" s="4">
        <v>2120769.1</v>
      </c>
      <c r="L193" s="4">
        <v>1998102.4</v>
      </c>
      <c r="M193" s="4">
        <v>1257048.6200000001</v>
      </c>
      <c r="N193" s="4">
        <v>12144417.83</v>
      </c>
      <c r="O193" s="4">
        <v>55798330.920000002</v>
      </c>
      <c r="P193" s="4">
        <v>1612801.04</v>
      </c>
      <c r="Q193" s="4">
        <v>1474810.94</v>
      </c>
      <c r="R193" s="4">
        <v>1242600.27</v>
      </c>
      <c r="S193" s="4">
        <v>2414010.8200000003</v>
      </c>
      <c r="T193" s="4">
        <v>1910352.97</v>
      </c>
      <c r="U193" s="4">
        <v>129727.69</v>
      </c>
      <c r="V193" s="4">
        <v>1910526.04</v>
      </c>
      <c r="W193" s="4">
        <v>5057476.32</v>
      </c>
      <c r="X193" s="4">
        <v>638326.62</v>
      </c>
      <c r="Y193" s="4">
        <v>1802695.2999999998</v>
      </c>
      <c r="Z193" s="4">
        <v>1487495.01</v>
      </c>
      <c r="AA193" s="4">
        <v>33616077.539999999</v>
      </c>
      <c r="AB193" s="4">
        <v>1781386.87</v>
      </c>
      <c r="AC193" s="4">
        <v>82897505.689999998</v>
      </c>
      <c r="AD193" s="4">
        <v>8127154.4299999997</v>
      </c>
      <c r="AE193" s="4">
        <v>9742423.4699999988</v>
      </c>
      <c r="AF193" s="4">
        <v>24235891.960000001</v>
      </c>
      <c r="AG193" s="4">
        <v>5520002.2799999993</v>
      </c>
      <c r="AH193" s="4">
        <v>17991207.490000002</v>
      </c>
      <c r="AI193" s="4">
        <v>1078128.21</v>
      </c>
      <c r="AJ193" s="4">
        <v>2615813.5699999998</v>
      </c>
      <c r="AK193" s="4">
        <v>2192124.2399999998</v>
      </c>
      <c r="AL193" s="4">
        <v>3525302.25</v>
      </c>
      <c r="AM193" s="4">
        <v>5620273.3300000001</v>
      </c>
      <c r="AN193" s="4">
        <v>13469776.060000001</v>
      </c>
      <c r="AO193" s="4">
        <v>3156027.3600000003</v>
      </c>
      <c r="AP193" s="4">
        <v>7602836.0100000007</v>
      </c>
      <c r="AQ193" s="4">
        <v>7110670.0199999996</v>
      </c>
      <c r="AR193" s="4">
        <v>923217.46</v>
      </c>
      <c r="AS193" s="4">
        <v>501918.73</v>
      </c>
      <c r="AT193" s="4">
        <v>1445283.96</v>
      </c>
      <c r="AU193" s="4">
        <v>2937843.52</v>
      </c>
      <c r="AV193" s="4">
        <v>91720757.409999996</v>
      </c>
      <c r="AW193" s="4">
        <v>2089553.58</v>
      </c>
      <c r="AX193" s="4">
        <v>1335163.27</v>
      </c>
      <c r="AY193" s="4">
        <v>3409887.27</v>
      </c>
      <c r="AZ193" s="4">
        <v>7299471.71</v>
      </c>
      <c r="BA193" s="4">
        <v>3108861.53</v>
      </c>
      <c r="BB193" s="4">
        <v>1117305.8900000001</v>
      </c>
      <c r="BC193" s="4">
        <v>2580596.83</v>
      </c>
      <c r="BD193" s="4">
        <v>38397276.350000001</v>
      </c>
      <c r="BE193" s="4">
        <v>981539.03</v>
      </c>
      <c r="BF193" s="4">
        <v>589913.04999999993</v>
      </c>
      <c r="BG193" s="4">
        <v>0</v>
      </c>
      <c r="BH193" s="4">
        <f t="shared" ref="BH193:BH204" si="27">SUM(B193:BG193)</f>
        <v>529887090.96999979</v>
      </c>
    </row>
    <row r="194" spans="1:60" x14ac:dyDescent="0.2">
      <c r="A194" s="3">
        <v>40575</v>
      </c>
      <c r="B194" s="4">
        <v>15930610.050000001</v>
      </c>
      <c r="C194" s="4">
        <v>1121334.73</v>
      </c>
      <c r="D194" s="4">
        <v>7317585.5600000005</v>
      </c>
      <c r="E194" s="4">
        <v>2329678.06</v>
      </c>
      <c r="F194" s="4">
        <v>2010817.8900000001</v>
      </c>
      <c r="G194" s="4">
        <v>3048078.13</v>
      </c>
      <c r="H194" s="4">
        <v>4024443.95</v>
      </c>
      <c r="I194" s="4">
        <v>1049649.6299999999</v>
      </c>
      <c r="J194" s="4">
        <v>2985650.3</v>
      </c>
      <c r="K194" s="4">
        <v>1674086.45</v>
      </c>
      <c r="L194" s="4">
        <v>1627149.38</v>
      </c>
      <c r="M194" s="4">
        <v>1012925.04</v>
      </c>
      <c r="N194" s="4">
        <v>10124727.699999999</v>
      </c>
      <c r="O194" s="4">
        <v>45631945.13000001</v>
      </c>
      <c r="P194" s="4">
        <v>1299764.77</v>
      </c>
      <c r="Q194" s="4">
        <v>1172657.69</v>
      </c>
      <c r="R194" s="4">
        <v>1034961.21</v>
      </c>
      <c r="S194" s="4">
        <v>2003762.7</v>
      </c>
      <c r="T194" s="4">
        <v>1516752.46</v>
      </c>
      <c r="U194" s="4">
        <v>101389.75999999999</v>
      </c>
      <c r="V194" s="4">
        <v>1523562.99</v>
      </c>
      <c r="W194" s="4">
        <v>4100374.1899999995</v>
      </c>
      <c r="X194" s="4">
        <v>516725.94999999995</v>
      </c>
      <c r="Y194" s="4">
        <v>1479547.61</v>
      </c>
      <c r="Z194" s="4">
        <v>1197029.1499999999</v>
      </c>
      <c r="AA194" s="4">
        <v>29160961.870000001</v>
      </c>
      <c r="AB194" s="4">
        <v>1434340.63</v>
      </c>
      <c r="AC194" s="4">
        <v>68246350.510000005</v>
      </c>
      <c r="AD194" s="4">
        <v>6469955.540000001</v>
      </c>
      <c r="AE194" s="4">
        <v>7880320.2299999995</v>
      </c>
      <c r="AF194" s="4">
        <v>19883202.550000001</v>
      </c>
      <c r="AG194" s="4">
        <v>4421524.5599999996</v>
      </c>
      <c r="AH194" s="4">
        <v>14524774.300000001</v>
      </c>
      <c r="AI194" s="4">
        <v>862118.04</v>
      </c>
      <c r="AJ194" s="4">
        <v>2129526</v>
      </c>
      <c r="AK194" s="4">
        <v>1788968.3699999999</v>
      </c>
      <c r="AL194" s="4">
        <v>2875819.3399999994</v>
      </c>
      <c r="AM194" s="4">
        <v>4201524.5699999994</v>
      </c>
      <c r="AN194" s="4">
        <v>10974773.67</v>
      </c>
      <c r="AO194" s="4">
        <v>2641956.6399999997</v>
      </c>
      <c r="AP194" s="4">
        <v>6077268.5200000005</v>
      </c>
      <c r="AQ194" s="4">
        <v>5679601.1699999999</v>
      </c>
      <c r="AR194" s="4">
        <v>733603.23</v>
      </c>
      <c r="AS194" s="4">
        <v>417847.05000000005</v>
      </c>
      <c r="AT194" s="4">
        <v>1160892.67</v>
      </c>
      <c r="AU194" s="4">
        <v>2384812.58</v>
      </c>
      <c r="AV194" s="4">
        <v>74625203.850000009</v>
      </c>
      <c r="AW194" s="4">
        <v>1694434.7599999998</v>
      </c>
      <c r="AX194" s="4">
        <v>1058196.8999999999</v>
      </c>
      <c r="AY194" s="4">
        <v>2815574.67</v>
      </c>
      <c r="AZ194" s="4">
        <v>5955765.2799999993</v>
      </c>
      <c r="BA194" s="4">
        <v>2559391.3899999997</v>
      </c>
      <c r="BB194" s="4">
        <v>912513.71000000008</v>
      </c>
      <c r="BC194" s="4">
        <v>2074226.3800000004</v>
      </c>
      <c r="BD194" s="4">
        <v>31184405.859999999</v>
      </c>
      <c r="BE194" s="4">
        <v>777618</v>
      </c>
      <c r="BF194" s="4">
        <v>463338.74</v>
      </c>
      <c r="BG194" s="4">
        <v>0</v>
      </c>
      <c r="BH194" s="4">
        <f t="shared" si="27"/>
        <v>433906022.06</v>
      </c>
    </row>
    <row r="195" spans="1:60" x14ac:dyDescent="0.2">
      <c r="A195" s="3">
        <v>40603</v>
      </c>
      <c r="B195" s="4">
        <v>20042199.829999998</v>
      </c>
      <c r="C195" s="4">
        <v>2017759.6600000001</v>
      </c>
      <c r="D195" s="4">
        <v>11985533.4</v>
      </c>
      <c r="E195" s="4">
        <v>3131920.34</v>
      </c>
      <c r="F195" s="4">
        <v>2960113.29</v>
      </c>
      <c r="G195" s="4">
        <v>5155872.51</v>
      </c>
      <c r="H195" s="4">
        <v>6238351.2199999997</v>
      </c>
      <c r="I195" s="4">
        <v>2438469.2599999998</v>
      </c>
      <c r="J195" s="4">
        <v>5008643.0199999996</v>
      </c>
      <c r="K195" s="4">
        <v>3202716.8899999997</v>
      </c>
      <c r="L195" s="4">
        <v>2812302.07</v>
      </c>
      <c r="M195" s="4">
        <v>2065111.25</v>
      </c>
      <c r="N195" s="4">
        <v>17685257.309999999</v>
      </c>
      <c r="O195" s="4">
        <v>61443134.359999999</v>
      </c>
      <c r="P195" s="4">
        <v>2437052.0300000003</v>
      </c>
      <c r="Q195" s="4">
        <v>2028775.4</v>
      </c>
      <c r="R195" s="4">
        <v>1756219.8</v>
      </c>
      <c r="S195" s="4">
        <v>3209576.93</v>
      </c>
      <c r="T195" s="4">
        <v>2697736.31</v>
      </c>
      <c r="U195" s="4">
        <v>309355.40000000002</v>
      </c>
      <c r="V195" s="4">
        <v>2854202</v>
      </c>
      <c r="W195" s="4">
        <v>6024588.9399999995</v>
      </c>
      <c r="X195" s="4">
        <v>1138095.24</v>
      </c>
      <c r="Y195" s="4">
        <v>2754608.58</v>
      </c>
      <c r="Z195" s="4">
        <v>2594868.83</v>
      </c>
      <c r="AA195" s="4">
        <v>39854205.769999996</v>
      </c>
      <c r="AB195" s="4">
        <v>2460757.9299999997</v>
      </c>
      <c r="AC195" s="4">
        <v>94585485.870000005</v>
      </c>
      <c r="AD195" s="4">
        <v>10441290.109999999</v>
      </c>
      <c r="AE195" s="4">
        <v>11971784.780000001</v>
      </c>
      <c r="AF195" s="4">
        <v>27748827.880000003</v>
      </c>
      <c r="AG195" s="4">
        <v>7018113.4000000004</v>
      </c>
      <c r="AH195" s="4">
        <v>21913850.789999999</v>
      </c>
      <c r="AI195" s="4">
        <v>1689091.73</v>
      </c>
      <c r="AJ195" s="4">
        <v>4147764.33</v>
      </c>
      <c r="AK195" s="4">
        <v>2996732.3200000003</v>
      </c>
      <c r="AL195" s="4">
        <v>4860545.71</v>
      </c>
      <c r="AM195" s="4">
        <v>7727799.2200000007</v>
      </c>
      <c r="AN195" s="4">
        <v>18024518.560000002</v>
      </c>
      <c r="AO195" s="4">
        <v>4000592.5</v>
      </c>
      <c r="AP195" s="4">
        <v>9204808.7100000009</v>
      </c>
      <c r="AQ195" s="4">
        <v>8808527.6699999999</v>
      </c>
      <c r="AR195" s="4">
        <v>1645430.75</v>
      </c>
      <c r="AS195" s="4">
        <v>1161343.1400000001</v>
      </c>
      <c r="AT195" s="4">
        <v>1815081.82</v>
      </c>
      <c r="AU195" s="4">
        <v>4341687.42</v>
      </c>
      <c r="AV195" s="4">
        <v>102496449.20999999</v>
      </c>
      <c r="AW195" s="4">
        <v>3405380.14</v>
      </c>
      <c r="AX195" s="4">
        <v>2003143.8599999999</v>
      </c>
      <c r="AY195" s="4">
        <v>4386460.5999999996</v>
      </c>
      <c r="AZ195" s="4">
        <v>9961507.3100000005</v>
      </c>
      <c r="BA195" s="4">
        <v>4155965.89</v>
      </c>
      <c r="BB195" s="4">
        <v>1716348.46</v>
      </c>
      <c r="BC195" s="4">
        <v>3975868.55</v>
      </c>
      <c r="BD195" s="4">
        <v>39991621.060000002</v>
      </c>
      <c r="BE195" s="4">
        <v>1628205.93</v>
      </c>
      <c r="BF195" s="4">
        <v>1075843.17</v>
      </c>
      <c r="BG195" s="4">
        <v>0</v>
      </c>
      <c r="BH195" s="4">
        <f t="shared" si="27"/>
        <v>635207498.4599998</v>
      </c>
    </row>
    <row r="196" spans="1:60" x14ac:dyDescent="0.2">
      <c r="A196" s="3">
        <v>40634</v>
      </c>
      <c r="B196" s="4">
        <v>17506182.870000001</v>
      </c>
      <c r="C196" s="4">
        <v>1331088.43</v>
      </c>
      <c r="D196" s="4">
        <v>8675566.75</v>
      </c>
      <c r="E196" s="4">
        <v>2446766.12</v>
      </c>
      <c r="F196" s="4">
        <v>2342905.44</v>
      </c>
      <c r="G196" s="4">
        <v>3663880.8899999997</v>
      </c>
      <c r="H196" s="4">
        <v>4101682.1399999997</v>
      </c>
      <c r="I196" s="4">
        <v>1347034.27</v>
      </c>
      <c r="J196" s="4">
        <v>3546745.36</v>
      </c>
      <c r="K196" s="4">
        <v>2241135.02</v>
      </c>
      <c r="L196" s="4">
        <v>1846324.79</v>
      </c>
      <c r="M196" s="4">
        <v>1315776.79</v>
      </c>
      <c r="N196" s="4">
        <v>12301481.800000001</v>
      </c>
      <c r="O196" s="4">
        <v>50937860.149999999</v>
      </c>
      <c r="P196" s="4">
        <v>1487022.58</v>
      </c>
      <c r="Q196" s="4">
        <v>1393000.31</v>
      </c>
      <c r="R196" s="4">
        <v>1272096.5699999998</v>
      </c>
      <c r="S196" s="4">
        <v>2398846.6800000002</v>
      </c>
      <c r="T196" s="4">
        <v>1769066.12</v>
      </c>
      <c r="U196" s="4">
        <v>131188.29</v>
      </c>
      <c r="V196" s="4">
        <v>1945535.3800000001</v>
      </c>
      <c r="W196" s="4">
        <v>4961284.5600000005</v>
      </c>
      <c r="X196" s="4">
        <v>660049.27</v>
      </c>
      <c r="Y196" s="4">
        <v>1931827.5999999999</v>
      </c>
      <c r="Z196" s="4">
        <v>1655706.32</v>
      </c>
      <c r="AA196" s="4">
        <v>32161418.969999999</v>
      </c>
      <c r="AB196" s="4">
        <v>1880890.21</v>
      </c>
      <c r="AC196" s="4">
        <v>78606512.86999999</v>
      </c>
      <c r="AD196" s="4">
        <v>7865935.7599999998</v>
      </c>
      <c r="AE196" s="4">
        <v>9222889.379999999</v>
      </c>
      <c r="AF196" s="4">
        <v>22999677.310000002</v>
      </c>
      <c r="AG196" s="4">
        <v>5237721.01</v>
      </c>
      <c r="AH196" s="4">
        <v>17378867.52</v>
      </c>
      <c r="AI196" s="4">
        <v>1006594.3</v>
      </c>
      <c r="AJ196" s="4">
        <v>2825205.96</v>
      </c>
      <c r="AK196" s="4">
        <v>2290245.7599999998</v>
      </c>
      <c r="AL196" s="4">
        <v>3633847.18</v>
      </c>
      <c r="AM196" s="4">
        <v>5292090.7700000005</v>
      </c>
      <c r="AN196" s="4">
        <v>12564405.52</v>
      </c>
      <c r="AO196" s="4">
        <v>2861079.9</v>
      </c>
      <c r="AP196" s="4">
        <v>7414319.9800000004</v>
      </c>
      <c r="AQ196" s="4">
        <v>6704459.8399999999</v>
      </c>
      <c r="AR196" s="4">
        <v>992434.68</v>
      </c>
      <c r="AS196" s="4">
        <v>601743.13</v>
      </c>
      <c r="AT196" s="4">
        <v>1544796.08</v>
      </c>
      <c r="AU196" s="4">
        <v>3108776.17</v>
      </c>
      <c r="AV196" s="4">
        <v>88873940.769999996</v>
      </c>
      <c r="AW196" s="4">
        <v>2330011.91</v>
      </c>
      <c r="AX196" s="4">
        <v>1222719.5299999998</v>
      </c>
      <c r="AY196" s="4">
        <v>3356096.13</v>
      </c>
      <c r="AZ196" s="4">
        <v>7177736.7700000005</v>
      </c>
      <c r="BA196" s="4">
        <v>3018546.32</v>
      </c>
      <c r="BB196" s="4">
        <v>1198807.7799999998</v>
      </c>
      <c r="BC196" s="4">
        <v>2730095.67</v>
      </c>
      <c r="BD196" s="4">
        <v>35644226.129999995</v>
      </c>
      <c r="BE196" s="4">
        <v>1068788.82</v>
      </c>
      <c r="BF196" s="4">
        <v>596354.15</v>
      </c>
      <c r="BG196" s="4">
        <v>0</v>
      </c>
      <c r="BH196" s="4">
        <f t="shared" si="27"/>
        <v>506621290.77999973</v>
      </c>
    </row>
    <row r="197" spans="1:60" x14ac:dyDescent="0.2">
      <c r="A197" s="3">
        <v>40664</v>
      </c>
      <c r="B197" s="4">
        <v>16559778.33</v>
      </c>
      <c r="C197" s="4">
        <v>1306389.5</v>
      </c>
      <c r="D197" s="4">
        <v>8406696.0700000003</v>
      </c>
      <c r="E197" s="4">
        <v>2396707.0499999998</v>
      </c>
      <c r="F197" s="4">
        <v>2264104.79</v>
      </c>
      <c r="G197" s="4">
        <v>3476709.13</v>
      </c>
      <c r="H197" s="4">
        <v>3974153.5</v>
      </c>
      <c r="I197" s="4">
        <v>1317913.78</v>
      </c>
      <c r="J197" s="4">
        <v>3422020.4300000006</v>
      </c>
      <c r="K197" s="4">
        <v>2130905.88</v>
      </c>
      <c r="L197" s="4">
        <v>1780253.27</v>
      </c>
      <c r="M197" s="4">
        <v>1311913.05</v>
      </c>
      <c r="N197" s="4">
        <v>11891180.449999999</v>
      </c>
      <c r="O197" s="4">
        <v>50018424.680000007</v>
      </c>
      <c r="P197" s="4">
        <v>1401321</v>
      </c>
      <c r="Q197" s="4">
        <v>1387961.22</v>
      </c>
      <c r="R197" s="4">
        <v>1222163.6500000001</v>
      </c>
      <c r="S197" s="4">
        <v>2327803.8800000004</v>
      </c>
      <c r="T197" s="4">
        <v>1722355.6600000001</v>
      </c>
      <c r="U197" s="4">
        <v>125238.33</v>
      </c>
      <c r="V197" s="4">
        <v>1902612.9</v>
      </c>
      <c r="W197" s="4">
        <v>4851126.0999999996</v>
      </c>
      <c r="X197" s="4">
        <v>634077.76</v>
      </c>
      <c r="Y197" s="4">
        <v>1826761.97</v>
      </c>
      <c r="Z197" s="4">
        <v>1574081.2000000002</v>
      </c>
      <c r="AA197" s="4">
        <v>30927736.770000003</v>
      </c>
      <c r="AB197" s="4">
        <v>1821475.6900000002</v>
      </c>
      <c r="AC197" s="4">
        <v>75406887.579999998</v>
      </c>
      <c r="AD197" s="4">
        <v>7520766.8399999999</v>
      </c>
      <c r="AE197" s="4">
        <v>8944375.9100000001</v>
      </c>
      <c r="AF197" s="4">
        <v>22200794.320000004</v>
      </c>
      <c r="AG197" s="4">
        <v>5094910.6399999997</v>
      </c>
      <c r="AH197" s="4">
        <v>16715205.629999999</v>
      </c>
      <c r="AI197" s="4">
        <v>980770.49</v>
      </c>
      <c r="AJ197" s="4">
        <v>2752518.78</v>
      </c>
      <c r="AK197" s="4">
        <v>2209053.21</v>
      </c>
      <c r="AL197" s="4">
        <v>3434148.57</v>
      </c>
      <c r="AM197" s="4">
        <v>5246822.67</v>
      </c>
      <c r="AN197" s="4">
        <v>11756358.77</v>
      </c>
      <c r="AO197" s="4">
        <v>2795680.57</v>
      </c>
      <c r="AP197" s="4">
        <v>7080872.7800000012</v>
      </c>
      <c r="AQ197" s="4">
        <v>6237574.2800000003</v>
      </c>
      <c r="AR197" s="4">
        <v>951160.75</v>
      </c>
      <c r="AS197" s="4">
        <v>641587.99</v>
      </c>
      <c r="AT197" s="4">
        <v>1499426.75</v>
      </c>
      <c r="AU197" s="4">
        <v>2985686.89</v>
      </c>
      <c r="AV197" s="4">
        <v>84613514.739999995</v>
      </c>
      <c r="AW197" s="4">
        <v>2233427.4300000002</v>
      </c>
      <c r="AX197" s="4">
        <v>1181277.75</v>
      </c>
      <c r="AY197" s="4">
        <v>3176330.7900000005</v>
      </c>
      <c r="AZ197" s="4">
        <v>6861830.7700000005</v>
      </c>
      <c r="BA197" s="4">
        <v>2919843.1599999997</v>
      </c>
      <c r="BB197" s="4">
        <v>1141267.54</v>
      </c>
      <c r="BC197" s="4">
        <v>2617567.41</v>
      </c>
      <c r="BD197" s="4">
        <v>34050260.25</v>
      </c>
      <c r="BE197" s="4">
        <v>1044309.52</v>
      </c>
      <c r="BF197" s="4">
        <v>588653.63</v>
      </c>
      <c r="BG197" s="4">
        <v>0</v>
      </c>
      <c r="BH197" s="4">
        <f t="shared" si="27"/>
        <v>486864752.44999999</v>
      </c>
    </row>
    <row r="198" spans="1:60" x14ac:dyDescent="0.2">
      <c r="A198" s="3">
        <v>40695</v>
      </c>
      <c r="B198" s="4">
        <v>21758783.32</v>
      </c>
      <c r="C198" s="4">
        <v>2047345.83</v>
      </c>
      <c r="D198" s="4">
        <v>11249176.18</v>
      </c>
      <c r="E198" s="4">
        <v>3157833.99</v>
      </c>
      <c r="F198" s="4">
        <v>3466372.6899999995</v>
      </c>
      <c r="G198" s="4">
        <v>5623546.0999999996</v>
      </c>
      <c r="H198" s="4">
        <v>6818519.2599999998</v>
      </c>
      <c r="I198" s="4">
        <v>2348282.91</v>
      </c>
      <c r="J198" s="4">
        <v>5050074.54</v>
      </c>
      <c r="K198" s="4">
        <v>3613123.37</v>
      </c>
      <c r="L198" s="4">
        <v>2859381.49</v>
      </c>
      <c r="M198" s="4">
        <v>2140354.64</v>
      </c>
      <c r="N198" s="4">
        <v>14550840.27</v>
      </c>
      <c r="O198" s="4">
        <v>66985466.590000004</v>
      </c>
      <c r="P198" s="4">
        <v>2457619.11</v>
      </c>
      <c r="Q198" s="4">
        <v>2116391.7799999998</v>
      </c>
      <c r="R198" s="4">
        <v>1719074.13</v>
      </c>
      <c r="S198" s="4">
        <v>4006206.1899999995</v>
      </c>
      <c r="T198" s="4">
        <v>2805688.09</v>
      </c>
      <c r="U198" s="4">
        <v>230661.51</v>
      </c>
      <c r="V198" s="4">
        <v>2911806.37</v>
      </c>
      <c r="W198" s="4">
        <v>6895000.29</v>
      </c>
      <c r="X198" s="4">
        <v>1126871.7</v>
      </c>
      <c r="Y198" s="4">
        <v>3094749.1399999997</v>
      </c>
      <c r="Z198" s="4">
        <v>2556767.2799999998</v>
      </c>
      <c r="AA198" s="4">
        <v>40406348.979999997</v>
      </c>
      <c r="AB198" s="4">
        <v>2485675.69</v>
      </c>
      <c r="AC198" s="4">
        <v>96845814.140000001</v>
      </c>
      <c r="AD198" s="4">
        <v>11358140.17</v>
      </c>
      <c r="AE198" s="4">
        <v>12915313.32</v>
      </c>
      <c r="AF198" s="4">
        <v>31254564.949999999</v>
      </c>
      <c r="AG198" s="4">
        <v>6925251.9000000004</v>
      </c>
      <c r="AH198" s="4">
        <v>25441562.219999999</v>
      </c>
      <c r="AI198" s="4">
        <v>1795753.06</v>
      </c>
      <c r="AJ198" s="4">
        <v>4734911.0299999993</v>
      </c>
      <c r="AK198" s="4">
        <v>3784189.46</v>
      </c>
      <c r="AL198" s="4">
        <v>5265371.51</v>
      </c>
      <c r="AM198" s="4">
        <v>8339188.21</v>
      </c>
      <c r="AN198" s="4">
        <v>17984984.640000001</v>
      </c>
      <c r="AO198" s="4">
        <v>4683562.63</v>
      </c>
      <c r="AP198" s="4">
        <v>9828433.3100000005</v>
      </c>
      <c r="AQ198" s="4">
        <v>9949132.5</v>
      </c>
      <c r="AR198" s="4">
        <v>1606849.77</v>
      </c>
      <c r="AS198" s="4">
        <v>1241290.49</v>
      </c>
      <c r="AT198" s="4">
        <v>1990044.83</v>
      </c>
      <c r="AU198" s="4">
        <v>5405668.6400000006</v>
      </c>
      <c r="AV198" s="4">
        <v>117764321.13</v>
      </c>
      <c r="AW198" s="4">
        <v>3356237.96</v>
      </c>
      <c r="AX198" s="4">
        <v>2341833.96</v>
      </c>
      <c r="AY198" s="4">
        <v>4557169.6500000004</v>
      </c>
      <c r="AZ198" s="4">
        <v>9680515.0199999996</v>
      </c>
      <c r="BA198" s="4">
        <v>4635625.62</v>
      </c>
      <c r="BB198" s="4">
        <v>2110779.84</v>
      </c>
      <c r="BC198" s="4">
        <v>4290871.66</v>
      </c>
      <c r="BD198" s="4">
        <v>43723958.340000004</v>
      </c>
      <c r="BE198" s="4">
        <v>1799888.0899999999</v>
      </c>
      <c r="BF198" s="4">
        <v>1161431.8400000001</v>
      </c>
      <c r="BG198" s="4">
        <v>0</v>
      </c>
      <c r="BH198" s="4">
        <f t="shared" si="27"/>
        <v>681254621.33000004</v>
      </c>
    </row>
    <row r="199" spans="1:60" x14ac:dyDescent="0.2">
      <c r="A199" s="3">
        <v>40725</v>
      </c>
      <c r="B199" s="4">
        <v>17736329.539999999</v>
      </c>
      <c r="C199" s="4">
        <v>1290137.83</v>
      </c>
      <c r="D199" s="4">
        <v>9020252.3399999999</v>
      </c>
      <c r="E199" s="4">
        <v>2482227.79</v>
      </c>
      <c r="F199" s="4">
        <v>2519404.66</v>
      </c>
      <c r="G199" s="4">
        <v>4037649.91</v>
      </c>
      <c r="H199" s="4">
        <v>4312080.79</v>
      </c>
      <c r="I199" s="4">
        <v>1431342.3900000001</v>
      </c>
      <c r="J199" s="4">
        <v>3975498.48</v>
      </c>
      <c r="K199" s="4">
        <v>2300984.5299999998</v>
      </c>
      <c r="L199" s="4">
        <v>1849254.0100000002</v>
      </c>
      <c r="M199" s="4">
        <v>1513550.29</v>
      </c>
      <c r="N199" s="4">
        <v>12336886.210000001</v>
      </c>
      <c r="O199" s="4">
        <v>52081413.729999997</v>
      </c>
      <c r="P199" s="4">
        <v>2229722.81</v>
      </c>
      <c r="Q199" s="4">
        <v>1541787.9800000002</v>
      </c>
      <c r="R199" s="4">
        <v>1339353.43</v>
      </c>
      <c r="S199" s="4">
        <v>2940354.1900000004</v>
      </c>
      <c r="T199" s="4">
        <v>2005411.17</v>
      </c>
      <c r="U199" s="4">
        <v>244815.17</v>
      </c>
      <c r="V199" s="4">
        <v>2309679.0699999998</v>
      </c>
      <c r="W199" s="4">
        <v>5664305.1599999992</v>
      </c>
      <c r="X199" s="4">
        <v>749703.85999999987</v>
      </c>
      <c r="Y199" s="4">
        <v>2162420.48</v>
      </c>
      <c r="Z199" s="4">
        <v>1806440.6199999999</v>
      </c>
      <c r="AA199" s="4">
        <v>32564229.140000001</v>
      </c>
      <c r="AB199" s="4">
        <v>1918823.69</v>
      </c>
      <c r="AC199" s="4">
        <v>79603266.780000001</v>
      </c>
      <c r="AD199" s="4">
        <v>8274059.7300000004</v>
      </c>
      <c r="AE199" s="4">
        <v>9681130.5800000019</v>
      </c>
      <c r="AF199" s="4">
        <v>23819774.73</v>
      </c>
      <c r="AG199" s="4">
        <v>5660064.7599999998</v>
      </c>
      <c r="AH199" s="4">
        <v>17937659.25</v>
      </c>
      <c r="AI199" s="4">
        <v>997956.38</v>
      </c>
      <c r="AJ199" s="4">
        <v>3003516.42</v>
      </c>
      <c r="AK199" s="4">
        <v>2863284.7399999998</v>
      </c>
      <c r="AL199" s="4">
        <v>3668186.3</v>
      </c>
      <c r="AM199" s="4">
        <v>5449619.5399999991</v>
      </c>
      <c r="AN199" s="4">
        <v>13063013.930000002</v>
      </c>
      <c r="AO199" s="4">
        <v>3138063.36</v>
      </c>
      <c r="AP199" s="4">
        <v>8089903.4100000001</v>
      </c>
      <c r="AQ199" s="4">
        <v>6410717.9000000004</v>
      </c>
      <c r="AR199" s="4">
        <v>1093276.3499999999</v>
      </c>
      <c r="AS199" s="4">
        <v>825325.74</v>
      </c>
      <c r="AT199" s="4">
        <v>1744445.0699999998</v>
      </c>
      <c r="AU199" s="4">
        <v>3728061.1599999997</v>
      </c>
      <c r="AV199" s="4">
        <v>95771639</v>
      </c>
      <c r="AW199" s="4">
        <v>2854884.8699999996</v>
      </c>
      <c r="AX199" s="4">
        <v>1344709.2</v>
      </c>
      <c r="AY199" s="4">
        <v>3451209.1900000004</v>
      </c>
      <c r="AZ199" s="4">
        <v>7881546.8200000003</v>
      </c>
      <c r="BA199" s="4">
        <v>4355266.6500000004</v>
      </c>
      <c r="BB199" s="4">
        <v>1395114.6600000001</v>
      </c>
      <c r="BC199" s="4">
        <v>2775053.37</v>
      </c>
      <c r="BD199" s="4">
        <v>34643727.219999999</v>
      </c>
      <c r="BE199" s="4">
        <v>1127093.4099999999</v>
      </c>
      <c r="BF199" s="4">
        <v>727877.64</v>
      </c>
      <c r="BG199" s="4">
        <v>0</v>
      </c>
      <c r="BH199" s="4">
        <f t="shared" si="27"/>
        <v>529743507.43000013</v>
      </c>
    </row>
    <row r="200" spans="1:60" x14ac:dyDescent="0.2">
      <c r="A200" s="3">
        <v>40756</v>
      </c>
      <c r="B200" s="4">
        <v>17041584.580000002</v>
      </c>
      <c r="C200" s="4">
        <v>1262714.3</v>
      </c>
      <c r="D200" s="4">
        <v>8779100.5899999999</v>
      </c>
      <c r="E200" s="4">
        <v>2118508.5999999996</v>
      </c>
      <c r="F200" s="4">
        <v>2420824.6100000003</v>
      </c>
      <c r="G200" s="4">
        <v>3966174.3899999997</v>
      </c>
      <c r="H200" s="4">
        <v>4246929.82</v>
      </c>
      <c r="I200" s="4">
        <v>1361855.0100000002</v>
      </c>
      <c r="J200" s="4">
        <v>3882295.03</v>
      </c>
      <c r="K200" s="4">
        <v>2318609.6599999997</v>
      </c>
      <c r="L200" s="4">
        <v>1945893.7</v>
      </c>
      <c r="M200" s="4">
        <v>1435156.5</v>
      </c>
      <c r="N200" s="4">
        <v>11891683.609999999</v>
      </c>
      <c r="O200" s="4">
        <v>51277024.219999999</v>
      </c>
      <c r="P200" s="4">
        <v>2091695.96</v>
      </c>
      <c r="Q200" s="4">
        <v>1476252.73</v>
      </c>
      <c r="R200" s="4">
        <v>1296583.8600000001</v>
      </c>
      <c r="S200" s="4">
        <v>2888443.13</v>
      </c>
      <c r="T200" s="4">
        <v>1965469.17</v>
      </c>
      <c r="U200" s="4">
        <v>225914.21</v>
      </c>
      <c r="V200" s="4">
        <v>2237098.11</v>
      </c>
      <c r="W200" s="4">
        <v>5498807.7000000002</v>
      </c>
      <c r="X200" s="4">
        <v>700837.54</v>
      </c>
      <c r="Y200" s="4">
        <v>1987706.5899999999</v>
      </c>
      <c r="Z200" s="4">
        <v>1782303.49</v>
      </c>
      <c r="AA200" s="4">
        <v>32668067.550000001</v>
      </c>
      <c r="AB200" s="4">
        <v>1902281.34</v>
      </c>
      <c r="AC200" s="4">
        <v>77633296.870000005</v>
      </c>
      <c r="AD200" s="4">
        <v>8229176.4900000002</v>
      </c>
      <c r="AE200" s="4">
        <v>9375477.9800000004</v>
      </c>
      <c r="AF200" s="4">
        <v>23385602.190000005</v>
      </c>
      <c r="AG200" s="4">
        <v>5542983.6799999997</v>
      </c>
      <c r="AH200" s="4">
        <v>17682024.899999999</v>
      </c>
      <c r="AI200" s="4">
        <v>973710.00999999989</v>
      </c>
      <c r="AJ200" s="4">
        <v>2938363.4600000004</v>
      </c>
      <c r="AK200" s="4">
        <v>2766156.4699999997</v>
      </c>
      <c r="AL200" s="4">
        <v>3661147.13</v>
      </c>
      <c r="AM200" s="4">
        <v>5322247.87</v>
      </c>
      <c r="AN200" s="4">
        <v>12756143.970000003</v>
      </c>
      <c r="AO200" s="4">
        <v>2966490</v>
      </c>
      <c r="AP200" s="4">
        <v>7761823.9100000001</v>
      </c>
      <c r="AQ200" s="4">
        <v>7402363.8600000003</v>
      </c>
      <c r="AR200" s="4">
        <v>1061827.69</v>
      </c>
      <c r="AS200" s="4">
        <v>816628.72</v>
      </c>
      <c r="AT200" s="4">
        <v>1686625.75</v>
      </c>
      <c r="AU200" s="4">
        <v>3248278.07</v>
      </c>
      <c r="AV200" s="4">
        <v>92591500.230000004</v>
      </c>
      <c r="AW200" s="4">
        <v>2823985.75</v>
      </c>
      <c r="AX200" s="4">
        <v>1263184.33</v>
      </c>
      <c r="AY200" s="4">
        <v>3401718.72</v>
      </c>
      <c r="AZ200" s="4">
        <v>7793475.6299999999</v>
      </c>
      <c r="BA200" s="4">
        <v>4278703.29</v>
      </c>
      <c r="BB200" s="4">
        <v>1330239.29</v>
      </c>
      <c r="BC200" s="4">
        <v>2816574.43</v>
      </c>
      <c r="BD200" s="4">
        <v>34912077.549999997</v>
      </c>
      <c r="BE200" s="4">
        <v>1089969.78</v>
      </c>
      <c r="BF200" s="4">
        <v>694792.87000000011</v>
      </c>
      <c r="BG200" s="4">
        <v>0</v>
      </c>
      <c r="BH200" s="4">
        <f t="shared" si="27"/>
        <v>518876406.89000016</v>
      </c>
    </row>
    <row r="201" spans="1:60" x14ac:dyDescent="0.2">
      <c r="A201" s="3">
        <v>40787</v>
      </c>
      <c r="B201" s="4">
        <v>23931822.579999998</v>
      </c>
      <c r="C201" s="4">
        <v>2249772.17</v>
      </c>
      <c r="D201" s="4">
        <v>10936883.439999999</v>
      </c>
      <c r="E201" s="4">
        <v>3668386.5100000002</v>
      </c>
      <c r="F201" s="4">
        <v>3635503.6699999995</v>
      </c>
      <c r="G201" s="4">
        <v>6347524.1500000004</v>
      </c>
      <c r="H201" s="4">
        <v>6507493.5800000001</v>
      </c>
      <c r="I201" s="4">
        <v>642804.20000000019</v>
      </c>
      <c r="J201" s="4">
        <v>5379666.7199999997</v>
      </c>
      <c r="K201" s="4">
        <v>3963935.89</v>
      </c>
      <c r="L201" s="4">
        <v>2820211.98</v>
      </c>
      <c r="M201" s="4">
        <v>2255211.9700000002</v>
      </c>
      <c r="N201" s="4">
        <v>16090925.789999999</v>
      </c>
      <c r="O201" s="4">
        <v>68745074.400000006</v>
      </c>
      <c r="P201" s="4">
        <v>3031634.6500000004</v>
      </c>
      <c r="Q201" s="4">
        <v>2447099.0300000003</v>
      </c>
      <c r="R201" s="4">
        <v>1991616.19</v>
      </c>
      <c r="S201" s="4">
        <v>4059147.93</v>
      </c>
      <c r="T201" s="4">
        <v>3148182.76</v>
      </c>
      <c r="U201" s="4">
        <v>490326.01</v>
      </c>
      <c r="V201" s="4">
        <v>3010701.16</v>
      </c>
      <c r="W201" s="4">
        <v>7862077.5899999999</v>
      </c>
      <c r="X201" s="4">
        <v>1189623.49</v>
      </c>
      <c r="Y201" s="4">
        <v>3704030.05</v>
      </c>
      <c r="Z201" s="4">
        <v>2745414.68</v>
      </c>
      <c r="AA201" s="4">
        <v>45844275.950000003</v>
      </c>
      <c r="AB201" s="4">
        <v>3015247.7199999997</v>
      </c>
      <c r="AC201" s="4">
        <v>102512908.00999999</v>
      </c>
      <c r="AD201" s="4">
        <v>11841543.199999999</v>
      </c>
      <c r="AE201" s="4">
        <v>13274650.23</v>
      </c>
      <c r="AF201" s="4">
        <v>29891996.949999999</v>
      </c>
      <c r="AG201" s="4">
        <v>7998219.2400000002</v>
      </c>
      <c r="AH201" s="4">
        <v>26467612.450000003</v>
      </c>
      <c r="AI201" s="4">
        <v>1596376.95</v>
      </c>
      <c r="AJ201" s="4">
        <v>4797229.7799999993</v>
      </c>
      <c r="AK201" s="4">
        <v>4167573.79</v>
      </c>
      <c r="AL201" s="4">
        <v>5660294.5700000003</v>
      </c>
      <c r="AM201" s="4">
        <v>8377238.4700000007</v>
      </c>
      <c r="AN201" s="4">
        <v>17290661.120000001</v>
      </c>
      <c r="AO201" s="4">
        <v>4591084.3100000005</v>
      </c>
      <c r="AP201" s="4">
        <v>10334248.57</v>
      </c>
      <c r="AQ201" s="4">
        <v>8727895.4900000002</v>
      </c>
      <c r="AR201" s="4">
        <v>1638292.42</v>
      </c>
      <c r="AS201" s="4">
        <v>1363536.15</v>
      </c>
      <c r="AT201" s="4">
        <v>2544150.3100000005</v>
      </c>
      <c r="AU201" s="4">
        <v>5840483.5899999999</v>
      </c>
      <c r="AV201" s="4">
        <v>118730049.72999999</v>
      </c>
      <c r="AW201" s="4">
        <v>3983494.5599999996</v>
      </c>
      <c r="AX201" s="4">
        <v>2214178.86</v>
      </c>
      <c r="AY201" s="4">
        <v>5040088.78</v>
      </c>
      <c r="AZ201" s="4">
        <v>11478089.93</v>
      </c>
      <c r="BA201" s="4">
        <v>5637141.5</v>
      </c>
      <c r="BB201" s="4">
        <v>2102147.27</v>
      </c>
      <c r="BC201" s="4">
        <v>4863669.07</v>
      </c>
      <c r="BD201" s="4">
        <v>41807858.219999999</v>
      </c>
      <c r="BE201" s="4">
        <v>1831659.7200000002</v>
      </c>
      <c r="BF201" s="4">
        <v>1466272</v>
      </c>
      <c r="BG201" s="4">
        <v>0</v>
      </c>
      <c r="BH201" s="4">
        <f t="shared" si="27"/>
        <v>707785239.49999988</v>
      </c>
    </row>
    <row r="202" spans="1:60" x14ac:dyDescent="0.2">
      <c r="A202" s="3">
        <v>40817</v>
      </c>
      <c r="B202" s="4">
        <v>17399477.100000001</v>
      </c>
      <c r="C202" s="4">
        <v>1216150.1199999999</v>
      </c>
      <c r="D202" s="4">
        <v>8703371.0199999996</v>
      </c>
      <c r="E202" s="4">
        <v>2388424.5100000002</v>
      </c>
      <c r="F202" s="4">
        <v>2280740.2400000002</v>
      </c>
      <c r="G202" s="4">
        <v>3542921.78</v>
      </c>
      <c r="H202" s="4">
        <v>4364109.93</v>
      </c>
      <c r="I202" s="4">
        <v>3069238.6599999997</v>
      </c>
      <c r="J202" s="4">
        <v>3622783.2</v>
      </c>
      <c r="K202" s="4">
        <v>2169448.1399999997</v>
      </c>
      <c r="L202" s="4">
        <v>1805581.7799999998</v>
      </c>
      <c r="M202" s="4">
        <v>1392159.01</v>
      </c>
      <c r="N202" s="4">
        <v>11805956.709999999</v>
      </c>
      <c r="O202" s="4">
        <v>50881367.800000004</v>
      </c>
      <c r="P202" s="4">
        <v>1597477.21</v>
      </c>
      <c r="Q202" s="4">
        <v>1389045.19</v>
      </c>
      <c r="R202" s="4">
        <v>1201505.2400000002</v>
      </c>
      <c r="S202" s="4">
        <v>2452804.89</v>
      </c>
      <c r="T202" s="4">
        <v>1806028.1400000001</v>
      </c>
      <c r="U202" s="4">
        <v>155220.76999999999</v>
      </c>
      <c r="V202" s="4">
        <v>1991196.42</v>
      </c>
      <c r="W202" s="4">
        <v>5066132.63</v>
      </c>
      <c r="X202" s="4">
        <v>676900.47999999986</v>
      </c>
      <c r="Y202" s="4">
        <v>1909149.81</v>
      </c>
      <c r="Z202" s="4">
        <v>1502512</v>
      </c>
      <c r="AA202" s="4">
        <v>31931890.739999998</v>
      </c>
      <c r="AB202" s="4">
        <v>1977656.3900000001</v>
      </c>
      <c r="AC202" s="4">
        <v>77734429.920000002</v>
      </c>
      <c r="AD202" s="4">
        <v>7874380.3200000003</v>
      </c>
      <c r="AE202" s="4">
        <v>9361551.4499999993</v>
      </c>
      <c r="AF202" s="4">
        <v>23040581.369999997</v>
      </c>
      <c r="AG202" s="4">
        <v>5415510.6799999997</v>
      </c>
      <c r="AH202" s="4">
        <v>18394316.869999997</v>
      </c>
      <c r="AI202" s="4">
        <v>952487.03</v>
      </c>
      <c r="AJ202" s="4">
        <v>2753875.02</v>
      </c>
      <c r="AK202" s="4">
        <v>2364159.4300000002</v>
      </c>
      <c r="AL202" s="4">
        <v>3644411.83</v>
      </c>
      <c r="AM202" s="4">
        <v>5193183.9000000004</v>
      </c>
      <c r="AN202" s="4">
        <v>13030921.710000001</v>
      </c>
      <c r="AO202" s="4">
        <v>2842389.06</v>
      </c>
      <c r="AP202" s="4">
        <v>7414867.6699999999</v>
      </c>
      <c r="AQ202" s="4">
        <v>6251619.5800000001</v>
      </c>
      <c r="AR202" s="4">
        <v>975304.36999999988</v>
      </c>
      <c r="AS202" s="4">
        <v>644257.69999999995</v>
      </c>
      <c r="AT202" s="4">
        <v>1771647.7</v>
      </c>
      <c r="AU202" s="4">
        <v>3056602.33</v>
      </c>
      <c r="AV202" s="4">
        <v>86210907.830000013</v>
      </c>
      <c r="AW202" s="4">
        <v>2154307.14</v>
      </c>
      <c r="AX202" s="4">
        <v>1382666.04</v>
      </c>
      <c r="AY202" s="4">
        <v>3281018.34</v>
      </c>
      <c r="AZ202" s="4">
        <v>7225970.7400000002</v>
      </c>
      <c r="BA202" s="4">
        <v>3507284.37</v>
      </c>
      <c r="BB202" s="4">
        <v>1175696.9099999999</v>
      </c>
      <c r="BC202" s="4">
        <v>2595908.5999999996</v>
      </c>
      <c r="BD202" s="4">
        <v>34907012.590000004</v>
      </c>
      <c r="BE202" s="4">
        <v>993480.57</v>
      </c>
      <c r="BF202" s="4">
        <v>642741.1399999999</v>
      </c>
      <c r="BG202" s="4">
        <v>0</v>
      </c>
      <c r="BH202" s="4">
        <f t="shared" si="27"/>
        <v>505092742.11999983</v>
      </c>
    </row>
    <row r="203" spans="1:60" x14ac:dyDescent="0.2">
      <c r="A203" s="3">
        <v>40848</v>
      </c>
      <c r="B203" s="4">
        <v>17439234.199999999</v>
      </c>
      <c r="C203" s="4">
        <v>1280785.98</v>
      </c>
      <c r="D203" s="4">
        <v>8718866.4600000009</v>
      </c>
      <c r="E203" s="4">
        <v>2462270.37</v>
      </c>
      <c r="F203" s="4">
        <v>2336895.42</v>
      </c>
      <c r="G203" s="4">
        <v>3637812.06</v>
      </c>
      <c r="H203" s="4">
        <v>4324524.51</v>
      </c>
      <c r="I203" s="4">
        <v>1327385.57</v>
      </c>
      <c r="J203" s="4">
        <v>3599311.89</v>
      </c>
      <c r="K203" s="4">
        <v>2203024.6800000002</v>
      </c>
      <c r="L203" s="4">
        <v>1774424.03</v>
      </c>
      <c r="M203" s="4">
        <v>1387109.05</v>
      </c>
      <c r="N203" s="4">
        <v>11789485.479999999</v>
      </c>
      <c r="O203" s="4">
        <v>50115090.910000004</v>
      </c>
      <c r="P203" s="4">
        <v>1568984.37</v>
      </c>
      <c r="Q203" s="4">
        <v>1382043.3399999999</v>
      </c>
      <c r="R203" s="4">
        <v>1233541.43</v>
      </c>
      <c r="S203" s="4">
        <v>2416917.6</v>
      </c>
      <c r="T203" s="4">
        <v>1779464.22</v>
      </c>
      <c r="U203" s="4">
        <v>153659.87</v>
      </c>
      <c r="V203" s="4">
        <v>1982969.2</v>
      </c>
      <c r="W203" s="4">
        <v>5032839.1499999994</v>
      </c>
      <c r="X203" s="4">
        <v>672689.33</v>
      </c>
      <c r="Y203" s="4">
        <v>1895454.27</v>
      </c>
      <c r="Z203" s="4">
        <v>1558978.58</v>
      </c>
      <c r="AA203" s="4">
        <v>31510460.849999998</v>
      </c>
      <c r="AB203" s="4">
        <v>1925266.2000000002</v>
      </c>
      <c r="AC203" s="4">
        <v>77214221.280000001</v>
      </c>
      <c r="AD203" s="4">
        <v>7916445.1699999999</v>
      </c>
      <c r="AE203" s="4">
        <v>9207749.9499999993</v>
      </c>
      <c r="AF203" s="4">
        <v>23223530.169999998</v>
      </c>
      <c r="AG203" s="4">
        <v>5348217.42</v>
      </c>
      <c r="AH203" s="4">
        <v>18153308.73</v>
      </c>
      <c r="AI203" s="4">
        <v>1006172.25</v>
      </c>
      <c r="AJ203" s="4">
        <v>2749213.43</v>
      </c>
      <c r="AK203" s="4">
        <v>2360772.21</v>
      </c>
      <c r="AL203" s="4">
        <v>3627332.98</v>
      </c>
      <c r="AM203" s="4">
        <v>5249647.8100000005</v>
      </c>
      <c r="AN203" s="4">
        <v>12772751.08</v>
      </c>
      <c r="AO203" s="4">
        <v>2880830.88</v>
      </c>
      <c r="AP203" s="4">
        <v>7387458.9700000007</v>
      </c>
      <c r="AQ203" s="4">
        <v>6260416.6899999995</v>
      </c>
      <c r="AR203" s="4">
        <v>981487.16</v>
      </c>
      <c r="AS203" s="4">
        <v>624771.69999999995</v>
      </c>
      <c r="AT203" s="4">
        <v>1735615.7100000002</v>
      </c>
      <c r="AU203" s="4">
        <v>3082259.95</v>
      </c>
      <c r="AV203" s="4">
        <v>86067118.060000002</v>
      </c>
      <c r="AW203" s="4">
        <v>2226254.73</v>
      </c>
      <c r="AX203" s="4">
        <v>1320353.8900000001</v>
      </c>
      <c r="AY203" s="4">
        <v>3247300.5</v>
      </c>
      <c r="AZ203" s="4">
        <v>7178368.5300000003</v>
      </c>
      <c r="BA203" s="4">
        <v>3254204.59</v>
      </c>
      <c r="BB203" s="4">
        <v>1171908.58</v>
      </c>
      <c r="BC203" s="4">
        <v>2535381.02</v>
      </c>
      <c r="BD203" s="4">
        <v>33830173.509999998</v>
      </c>
      <c r="BE203" s="4">
        <v>1018830.01</v>
      </c>
      <c r="BF203" s="4">
        <v>620839.84</v>
      </c>
      <c r="BG203" s="4">
        <v>0</v>
      </c>
      <c r="BH203" s="4">
        <f t="shared" si="27"/>
        <v>499762425.81999987</v>
      </c>
    </row>
    <row r="204" spans="1:60" x14ac:dyDescent="0.2">
      <c r="A204" s="3">
        <v>40878</v>
      </c>
      <c r="B204" s="4">
        <v>26090565.600000001</v>
      </c>
      <c r="C204" s="4">
        <v>2338402.34</v>
      </c>
      <c r="D204" s="4">
        <v>15470877.669999998</v>
      </c>
      <c r="E204" s="4">
        <v>3583360.3000000003</v>
      </c>
      <c r="F204" s="4">
        <v>3570390.75</v>
      </c>
      <c r="G204" s="4">
        <v>6240716.4699999997</v>
      </c>
      <c r="H204" s="4">
        <v>6494132.2599999998</v>
      </c>
      <c r="I204" s="4">
        <v>2245087.9300000002</v>
      </c>
      <c r="J204" s="4">
        <v>5615438.71</v>
      </c>
      <c r="K204" s="4">
        <v>3718029.54</v>
      </c>
      <c r="L204" s="4">
        <v>3312232.5700000003</v>
      </c>
      <c r="M204" s="4">
        <v>2338011.69</v>
      </c>
      <c r="N204" s="4">
        <v>19155146.990000002</v>
      </c>
      <c r="O204" s="4">
        <v>73271241.409999996</v>
      </c>
      <c r="P204" s="4">
        <v>2918484.12</v>
      </c>
      <c r="Q204" s="4">
        <v>2324669.96</v>
      </c>
      <c r="R204" s="4">
        <v>2066598.83</v>
      </c>
      <c r="S204" s="4">
        <v>4076475.3800000004</v>
      </c>
      <c r="T204" s="4">
        <v>3537083.87</v>
      </c>
      <c r="U204" s="4">
        <v>247137.83000000002</v>
      </c>
      <c r="V204" s="4">
        <v>2881719.51</v>
      </c>
      <c r="W204" s="4">
        <v>7905870.1600000001</v>
      </c>
      <c r="X204" s="4">
        <v>1109509.1199999999</v>
      </c>
      <c r="Y204" s="4">
        <v>3346972.55</v>
      </c>
      <c r="Z204" s="4">
        <v>2631194.46</v>
      </c>
      <c r="AA204" s="4">
        <v>43594411.630000003</v>
      </c>
      <c r="AB204" s="4">
        <v>2790614.58</v>
      </c>
      <c r="AC204" s="4">
        <v>115545395.16</v>
      </c>
      <c r="AD204" s="4">
        <v>12999857.859999999</v>
      </c>
      <c r="AE204" s="4">
        <v>13471427.109999999</v>
      </c>
      <c r="AF204" s="4">
        <v>32880169.909999996</v>
      </c>
      <c r="AG204" s="4">
        <v>7882337.4400000004</v>
      </c>
      <c r="AH204" s="4">
        <v>26296433.27</v>
      </c>
      <c r="AI204" s="4">
        <v>1771674.3900000001</v>
      </c>
      <c r="AJ204" s="4">
        <v>4708540.03</v>
      </c>
      <c r="AK204" s="4">
        <v>3862331.2</v>
      </c>
      <c r="AL204" s="4">
        <v>5731877.5899999999</v>
      </c>
      <c r="AM204" s="4">
        <v>9106207.7800000012</v>
      </c>
      <c r="AN204" s="4">
        <v>16862955.579999998</v>
      </c>
      <c r="AO204" s="4">
        <v>4652170.4400000004</v>
      </c>
      <c r="AP204" s="4">
        <v>11359440.9</v>
      </c>
      <c r="AQ204" s="4">
        <v>9438067.1199999992</v>
      </c>
      <c r="AR204" s="4">
        <v>2407432.1799999997</v>
      </c>
      <c r="AS204" s="4">
        <v>1004934.05</v>
      </c>
      <c r="AT204" s="4">
        <v>2150815.91</v>
      </c>
      <c r="AU204" s="4">
        <v>5250830.4000000004</v>
      </c>
      <c r="AV204" s="4">
        <v>124329760.19</v>
      </c>
      <c r="AW204" s="4">
        <v>3774638.26</v>
      </c>
      <c r="AX204" s="4">
        <v>2421645.02</v>
      </c>
      <c r="AY204" s="4">
        <v>5065907.6499999994</v>
      </c>
      <c r="AZ204" s="4">
        <v>12344382.859999999</v>
      </c>
      <c r="BA204" s="4">
        <v>4963518.18</v>
      </c>
      <c r="BB204" s="4">
        <v>1772794.77</v>
      </c>
      <c r="BC204" s="4">
        <v>4420015.08</v>
      </c>
      <c r="BD204" s="4">
        <v>47793228.420000002</v>
      </c>
      <c r="BE204" s="4">
        <v>1974176.4700000002</v>
      </c>
      <c r="BF204" s="4">
        <v>1240738.8399999999</v>
      </c>
      <c r="BG204" s="4">
        <v>0</v>
      </c>
      <c r="BH204" s="4">
        <f t="shared" si="27"/>
        <v>750358080.28999996</v>
      </c>
    </row>
    <row r="205" spans="1:60" ht="15.75" thickBot="1" x14ac:dyDescent="0.25">
      <c r="A205" s="3" t="s">
        <v>165</v>
      </c>
      <c r="B205" s="5">
        <f t="shared" ref="B205:BG205" si="28">SUM(B193:B204)</f>
        <v>230641045.52999997</v>
      </c>
      <c r="C205" s="5">
        <f t="shared" si="28"/>
        <v>18846713.350000001</v>
      </c>
      <c r="D205" s="5">
        <f t="shared" si="28"/>
        <v>117945104.44000001</v>
      </c>
      <c r="E205" s="5">
        <f t="shared" si="28"/>
        <v>32990572.720000006</v>
      </c>
      <c r="F205" s="5">
        <f t="shared" si="28"/>
        <v>32294545.669999994</v>
      </c>
      <c r="G205" s="5">
        <f t="shared" si="28"/>
        <v>52439948.790000007</v>
      </c>
      <c r="H205" s="5">
        <f t="shared" si="28"/>
        <v>60312079.769999996</v>
      </c>
      <c r="I205" s="5">
        <f t="shared" si="28"/>
        <v>19886865.740000002</v>
      </c>
      <c r="J205" s="5">
        <f t="shared" si="28"/>
        <v>49760545.930000007</v>
      </c>
      <c r="K205" s="5">
        <f t="shared" si="28"/>
        <v>31656769.150000002</v>
      </c>
      <c r="L205" s="5">
        <f t="shared" si="28"/>
        <v>26431111.470000003</v>
      </c>
      <c r="M205" s="5">
        <f t="shared" si="28"/>
        <v>19424327.900000002</v>
      </c>
      <c r="N205" s="5">
        <f t="shared" si="28"/>
        <v>161767990.15000001</v>
      </c>
      <c r="O205" s="5">
        <f t="shared" si="28"/>
        <v>677186374.29999995</v>
      </c>
      <c r="P205" s="5">
        <f t="shared" si="28"/>
        <v>24133579.650000006</v>
      </c>
      <c r="Q205" s="5">
        <f t="shared" si="28"/>
        <v>20134495.57</v>
      </c>
      <c r="R205" s="5">
        <f t="shared" si="28"/>
        <v>17376314.609999999</v>
      </c>
      <c r="S205" s="5">
        <f t="shared" si="28"/>
        <v>35194350.32</v>
      </c>
      <c r="T205" s="5">
        <f t="shared" si="28"/>
        <v>26663590.940000001</v>
      </c>
      <c r="U205" s="5">
        <f t="shared" si="28"/>
        <v>2544634.8400000003</v>
      </c>
      <c r="V205" s="5">
        <f t="shared" si="28"/>
        <v>27461609.149999999</v>
      </c>
      <c r="W205" s="5">
        <f t="shared" si="28"/>
        <v>68919882.789999992</v>
      </c>
      <c r="X205" s="5">
        <f t="shared" si="28"/>
        <v>9813410.3599999994</v>
      </c>
      <c r="Y205" s="5">
        <f t="shared" si="28"/>
        <v>27895923.949999999</v>
      </c>
      <c r="Z205" s="5">
        <f t="shared" si="28"/>
        <v>23092791.620000005</v>
      </c>
      <c r="AA205" s="5">
        <f t="shared" si="28"/>
        <v>424240085.75999999</v>
      </c>
      <c r="AB205" s="5">
        <f t="shared" si="28"/>
        <v>25394416.939999998</v>
      </c>
      <c r="AC205" s="5">
        <f t="shared" si="28"/>
        <v>1026832074.6799998</v>
      </c>
      <c r="AD205" s="5">
        <f t="shared" si="28"/>
        <v>108918705.62</v>
      </c>
      <c r="AE205" s="5">
        <f t="shared" si="28"/>
        <v>125049094.39000002</v>
      </c>
      <c r="AF205" s="5">
        <f t="shared" si="28"/>
        <v>304564614.28999996</v>
      </c>
      <c r="AG205" s="5">
        <f t="shared" si="28"/>
        <v>72064857.010000005</v>
      </c>
      <c r="AH205" s="5">
        <f t="shared" si="28"/>
        <v>238896823.42000002</v>
      </c>
      <c r="AI205" s="5">
        <f t="shared" si="28"/>
        <v>14710832.84</v>
      </c>
      <c r="AJ205" s="5">
        <f t="shared" si="28"/>
        <v>40156477.810000002</v>
      </c>
      <c r="AK205" s="5">
        <f t="shared" si="28"/>
        <v>33645591.199999996</v>
      </c>
      <c r="AL205" s="5">
        <f t="shared" si="28"/>
        <v>49588284.959999993</v>
      </c>
      <c r="AM205" s="5">
        <f t="shared" si="28"/>
        <v>75125844.139999986</v>
      </c>
      <c r="AN205" s="5">
        <f t="shared" si="28"/>
        <v>170551264.61000001</v>
      </c>
      <c r="AO205" s="5">
        <f t="shared" si="28"/>
        <v>41209927.650000006</v>
      </c>
      <c r="AP205" s="5">
        <f t="shared" si="28"/>
        <v>99556282.739999995</v>
      </c>
      <c r="AQ205" s="5">
        <f t="shared" si="28"/>
        <v>88981046.120000005</v>
      </c>
      <c r="AR205" s="5">
        <f t="shared" si="28"/>
        <v>15010316.809999999</v>
      </c>
      <c r="AS205" s="5">
        <f t="shared" si="28"/>
        <v>9845184.5900000017</v>
      </c>
      <c r="AT205" s="5">
        <f t="shared" si="28"/>
        <v>21088826.560000002</v>
      </c>
      <c r="AU205" s="5">
        <f t="shared" si="28"/>
        <v>45370990.719999999</v>
      </c>
      <c r="AV205" s="5">
        <f t="shared" si="28"/>
        <v>1163795162.1500001</v>
      </c>
      <c r="AW205" s="5">
        <f t="shared" si="28"/>
        <v>32926611.090000004</v>
      </c>
      <c r="AX205" s="5">
        <f t="shared" si="28"/>
        <v>19089072.609999999</v>
      </c>
      <c r="AY205" s="5">
        <f t="shared" si="28"/>
        <v>45188762.289999999</v>
      </c>
      <c r="AZ205" s="5">
        <f t="shared" si="28"/>
        <v>100838661.37</v>
      </c>
      <c r="BA205" s="5">
        <f t="shared" si="28"/>
        <v>46394352.490000002</v>
      </c>
      <c r="BB205" s="5">
        <f t="shared" si="28"/>
        <v>17144924.699999999</v>
      </c>
      <c r="BC205" s="5">
        <f t="shared" si="28"/>
        <v>38275828.07</v>
      </c>
      <c r="BD205" s="5">
        <f t="shared" si="28"/>
        <v>450885825.50000006</v>
      </c>
      <c r="BE205" s="5">
        <f t="shared" si="28"/>
        <v>15335559.350000001</v>
      </c>
      <c r="BF205" s="5">
        <f t="shared" si="28"/>
        <v>9868796.9100000001</v>
      </c>
      <c r="BG205" s="5">
        <f t="shared" si="28"/>
        <v>0</v>
      </c>
      <c r="BH205" s="5">
        <f>SUM(BH193:BH204)</f>
        <v>6785359678.0999994</v>
      </c>
    </row>
    <row r="206" spans="1:60" ht="15.75" thickTop="1" x14ac:dyDescent="0.2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</row>
    <row r="207" spans="1:60" x14ac:dyDescent="0.2">
      <c r="A207" s="3">
        <v>40179</v>
      </c>
      <c r="B207" s="4">
        <v>18680333.530000001</v>
      </c>
      <c r="C207" s="4">
        <v>1341887.9600000002</v>
      </c>
      <c r="D207" s="4">
        <v>8549496.7999999989</v>
      </c>
      <c r="E207" s="4">
        <v>2612343.71</v>
      </c>
      <c r="F207" s="4">
        <v>2360834.58</v>
      </c>
      <c r="G207" s="4">
        <v>3879381.5</v>
      </c>
      <c r="H207" s="4">
        <v>4351268.9399999995</v>
      </c>
      <c r="I207" s="4">
        <v>1255748.01</v>
      </c>
      <c r="J207" s="4">
        <v>3461333.2</v>
      </c>
      <c r="K207" s="4">
        <v>2010530.3900000001</v>
      </c>
      <c r="L207" s="4">
        <v>1872389.4800000002</v>
      </c>
      <c r="M207" s="4">
        <v>1175273.17</v>
      </c>
      <c r="N207" s="4">
        <v>10616463.08</v>
      </c>
      <c r="O207" s="4">
        <v>53117517.560000002</v>
      </c>
      <c r="P207" s="4">
        <v>1503570.56</v>
      </c>
      <c r="Q207" s="4">
        <v>1378948.15</v>
      </c>
      <c r="R207" s="4">
        <v>1195978.96</v>
      </c>
      <c r="S207" s="4">
        <v>2241796.06</v>
      </c>
      <c r="T207" s="4">
        <v>1899920.27</v>
      </c>
      <c r="U207" s="4">
        <v>124406.98000000001</v>
      </c>
      <c r="V207" s="4">
        <v>1783129.8699999999</v>
      </c>
      <c r="W207" s="4">
        <v>4599517.9799999995</v>
      </c>
      <c r="X207" s="4">
        <v>627061.5</v>
      </c>
      <c r="Y207" s="4">
        <v>1700340.6900000002</v>
      </c>
      <c r="Z207" s="4">
        <v>1429643.38</v>
      </c>
      <c r="AA207" s="4">
        <v>31957422.300000001</v>
      </c>
      <c r="AB207" s="4">
        <v>1709163.14</v>
      </c>
      <c r="AC207" s="4">
        <v>84350592.340000004</v>
      </c>
      <c r="AD207" s="4">
        <v>7422065.8800000008</v>
      </c>
      <c r="AE207" s="4">
        <v>9694465.7100000009</v>
      </c>
      <c r="AF207" s="4">
        <v>22897208.41</v>
      </c>
      <c r="AG207" s="4">
        <v>5833952.54</v>
      </c>
      <c r="AH207" s="4">
        <v>16708152.880000001</v>
      </c>
      <c r="AI207" s="4">
        <v>1072208.1299999999</v>
      </c>
      <c r="AJ207" s="4">
        <v>2403944.65</v>
      </c>
      <c r="AK207" s="4">
        <v>2102161.0099999998</v>
      </c>
      <c r="AL207" s="4">
        <v>3344402.8099999996</v>
      </c>
      <c r="AM207" s="4">
        <v>5053739.29</v>
      </c>
      <c r="AN207" s="4">
        <v>13463566.02</v>
      </c>
      <c r="AO207" s="4">
        <v>3049837.11</v>
      </c>
      <c r="AP207" s="4">
        <v>7008177.3700000001</v>
      </c>
      <c r="AQ207" s="4">
        <v>6975011.5200000005</v>
      </c>
      <c r="AR207" s="4">
        <v>874397.21000000008</v>
      </c>
      <c r="AS207" s="4">
        <v>508768.06</v>
      </c>
      <c r="AT207" s="4">
        <v>1384174.18</v>
      </c>
      <c r="AU207" s="4">
        <v>2761466.75</v>
      </c>
      <c r="AV207" s="4">
        <v>86828800.179999992</v>
      </c>
      <c r="AW207" s="4">
        <v>2090297.95</v>
      </c>
      <c r="AX207" s="4">
        <v>1335839.21</v>
      </c>
      <c r="AY207" s="4">
        <v>3271382.7600000002</v>
      </c>
      <c r="AZ207" s="4">
        <v>6938517.5799999991</v>
      </c>
      <c r="BA207" s="4">
        <v>2972569.0900000003</v>
      </c>
      <c r="BB207" s="4">
        <v>1231883.5</v>
      </c>
      <c r="BC207" s="4">
        <v>2453681.35</v>
      </c>
      <c r="BD207" s="4">
        <v>36262442.609999999</v>
      </c>
      <c r="BE207" s="4">
        <v>930881.66</v>
      </c>
      <c r="BF207" s="4">
        <v>518949.30999999994</v>
      </c>
      <c r="BG207" s="4">
        <v>0</v>
      </c>
      <c r="BH207" s="4">
        <f t="shared" ref="BH207:BH218" si="29">SUM(B207:BG207)</f>
        <v>509179238.81999999</v>
      </c>
    </row>
    <row r="208" spans="1:60" x14ac:dyDescent="0.2">
      <c r="A208" s="3">
        <v>40210</v>
      </c>
      <c r="B208" s="4">
        <v>15898794.360000001</v>
      </c>
      <c r="C208" s="4">
        <v>1124569.03</v>
      </c>
      <c r="D208" s="4">
        <v>7180769.620000001</v>
      </c>
      <c r="E208" s="4">
        <v>2243558.3000000003</v>
      </c>
      <c r="F208" s="4">
        <v>1982861.8299999998</v>
      </c>
      <c r="G208" s="4">
        <v>3337716.66</v>
      </c>
      <c r="H208" s="4">
        <v>3679543.6900000004</v>
      </c>
      <c r="I208" s="4">
        <v>1040304.07</v>
      </c>
      <c r="J208" s="4">
        <v>2913042.77</v>
      </c>
      <c r="K208" s="4">
        <v>1694990.71</v>
      </c>
      <c r="L208" s="4">
        <v>1548955.3599999999</v>
      </c>
      <c r="M208" s="4">
        <v>1017350.4</v>
      </c>
      <c r="N208" s="4">
        <v>9069544.3300000001</v>
      </c>
      <c r="O208" s="4">
        <v>44572577.550000004</v>
      </c>
      <c r="P208" s="4">
        <v>1270593.44</v>
      </c>
      <c r="Q208" s="4">
        <v>1183727.92</v>
      </c>
      <c r="R208" s="4">
        <v>1015224.87</v>
      </c>
      <c r="S208" s="4">
        <v>1837007.9899999998</v>
      </c>
      <c r="T208" s="4">
        <v>1566307.59</v>
      </c>
      <c r="U208" s="4">
        <v>111331.58</v>
      </c>
      <c r="V208" s="4">
        <v>1480105.54</v>
      </c>
      <c r="W208" s="4">
        <v>3838633.56</v>
      </c>
      <c r="X208" s="4">
        <v>491360.13000000006</v>
      </c>
      <c r="Y208" s="4">
        <v>1429826.03</v>
      </c>
      <c r="Z208" s="4">
        <v>1186904.57</v>
      </c>
      <c r="AA208" s="4">
        <v>26976333.010000002</v>
      </c>
      <c r="AB208" s="4">
        <v>1480620.03</v>
      </c>
      <c r="AC208" s="4">
        <v>71304768.819999993</v>
      </c>
      <c r="AD208" s="4">
        <v>6258537.3499999996</v>
      </c>
      <c r="AE208" s="4">
        <v>7569787.46</v>
      </c>
      <c r="AF208" s="4">
        <v>19199440.389999997</v>
      </c>
      <c r="AG208" s="4">
        <v>4923234.5</v>
      </c>
      <c r="AH208" s="4">
        <v>13832101.920000002</v>
      </c>
      <c r="AI208" s="4">
        <v>939063.0199999999</v>
      </c>
      <c r="AJ208" s="4">
        <v>2056927.48</v>
      </c>
      <c r="AK208" s="4">
        <v>1782811.42</v>
      </c>
      <c r="AL208" s="4">
        <v>2833207.7899999996</v>
      </c>
      <c r="AM208" s="4">
        <v>4346108.3099999996</v>
      </c>
      <c r="AN208" s="4">
        <v>12042621.82</v>
      </c>
      <c r="AO208" s="4">
        <v>2581032.25</v>
      </c>
      <c r="AP208" s="4">
        <v>5873791.3200000003</v>
      </c>
      <c r="AQ208" s="4">
        <v>5894972.6600000001</v>
      </c>
      <c r="AR208" s="4">
        <v>722662.54999999993</v>
      </c>
      <c r="AS208" s="4">
        <v>438626.08000000007</v>
      </c>
      <c r="AT208" s="4">
        <v>1158220.0899999999</v>
      </c>
      <c r="AU208" s="4">
        <v>2338324.2200000002</v>
      </c>
      <c r="AV208" s="4">
        <v>77855035.949999988</v>
      </c>
      <c r="AW208" s="4">
        <v>1736873.32</v>
      </c>
      <c r="AX208" s="4">
        <v>1123295.0999999999</v>
      </c>
      <c r="AY208" s="4">
        <v>2763174.17</v>
      </c>
      <c r="AZ208" s="4">
        <v>5708034.1800000006</v>
      </c>
      <c r="BA208" s="4">
        <v>2511561.84</v>
      </c>
      <c r="BB208" s="4">
        <v>944364.59000000008</v>
      </c>
      <c r="BC208" s="4">
        <v>2110916.52</v>
      </c>
      <c r="BD208" s="4">
        <v>30493241.940000001</v>
      </c>
      <c r="BE208" s="4">
        <v>801772.40999999992</v>
      </c>
      <c r="BF208" s="4">
        <v>430207.82</v>
      </c>
      <c r="BG208" s="4">
        <v>0</v>
      </c>
      <c r="BH208" s="4">
        <f t="shared" si="29"/>
        <v>433747272.23000002</v>
      </c>
    </row>
    <row r="209" spans="1:60" x14ac:dyDescent="0.2">
      <c r="A209" s="3">
        <v>40238</v>
      </c>
      <c r="B209" s="4">
        <v>20043276.109999999</v>
      </c>
      <c r="C209" s="4">
        <v>1611563.9</v>
      </c>
      <c r="D209" s="4">
        <v>9782902.879999999</v>
      </c>
      <c r="E209" s="4">
        <v>3318239.74</v>
      </c>
      <c r="F209" s="4">
        <v>2731818.6100000003</v>
      </c>
      <c r="G209" s="4">
        <v>5003381.24</v>
      </c>
      <c r="H209" s="4">
        <v>7561453.0700000003</v>
      </c>
      <c r="I209" s="4">
        <v>1924650.9000000001</v>
      </c>
      <c r="J209" s="4">
        <v>4506448.6900000004</v>
      </c>
      <c r="K209" s="4">
        <v>3188407.19</v>
      </c>
      <c r="L209" s="4">
        <v>2451112.7999999998</v>
      </c>
      <c r="M209" s="4">
        <v>2057546.79</v>
      </c>
      <c r="N209" s="4">
        <v>13551415.02</v>
      </c>
      <c r="O209" s="4">
        <v>58451121.519999996</v>
      </c>
      <c r="P209" s="4">
        <v>2358401.0600000005</v>
      </c>
      <c r="Q209" s="4">
        <v>1989974.6400000001</v>
      </c>
      <c r="R209" s="4">
        <v>1850892.82</v>
      </c>
      <c r="S209" s="4">
        <v>2908958.1799999997</v>
      </c>
      <c r="T209" s="4">
        <v>2592231.09</v>
      </c>
      <c r="U209" s="4">
        <v>220149.03000000003</v>
      </c>
      <c r="V209" s="4">
        <v>2789338.9299999997</v>
      </c>
      <c r="W209" s="4">
        <v>6550407.5499999998</v>
      </c>
      <c r="X209" s="4">
        <v>1179107.3799999999</v>
      </c>
      <c r="Y209" s="4">
        <v>2661068.4500000002</v>
      </c>
      <c r="Z209" s="4">
        <v>2130878.31</v>
      </c>
      <c r="AA209" s="4">
        <v>36411278.07</v>
      </c>
      <c r="AB209" s="4">
        <v>2414277.4900000002</v>
      </c>
      <c r="AC209" s="4">
        <v>92401116.710000008</v>
      </c>
      <c r="AD209" s="4">
        <v>9245671.2100000009</v>
      </c>
      <c r="AE209" s="4">
        <v>11855651.950000001</v>
      </c>
      <c r="AF209" s="4">
        <v>27656446.57</v>
      </c>
      <c r="AG209" s="4">
        <v>5473449.04</v>
      </c>
      <c r="AH209" s="4">
        <v>21281874.949999999</v>
      </c>
      <c r="AI209" s="4">
        <v>1141459.72</v>
      </c>
      <c r="AJ209" s="4">
        <v>3968920.89</v>
      </c>
      <c r="AK209" s="4">
        <v>3210278.27</v>
      </c>
      <c r="AL209" s="4">
        <v>4461553.88</v>
      </c>
      <c r="AM209" s="4">
        <v>6574330.7599999998</v>
      </c>
      <c r="AN209" s="4">
        <v>14131772.459999999</v>
      </c>
      <c r="AO209" s="4">
        <v>3535442.02</v>
      </c>
      <c r="AP209" s="4">
        <v>9189137.2899999991</v>
      </c>
      <c r="AQ209" s="4">
        <v>7722690.6099999994</v>
      </c>
      <c r="AR209" s="4">
        <v>1401160.92</v>
      </c>
      <c r="AS209" s="4">
        <v>428936.57999999996</v>
      </c>
      <c r="AT209" s="4">
        <v>1682202.1400000001</v>
      </c>
      <c r="AU209" s="4">
        <v>3660261.3799999994</v>
      </c>
      <c r="AV209" s="4">
        <v>101487168.27000001</v>
      </c>
      <c r="AW209" s="4">
        <v>3106927.33</v>
      </c>
      <c r="AX209" s="4">
        <v>1233249.83</v>
      </c>
      <c r="AY209" s="4">
        <v>4323120.4399999995</v>
      </c>
      <c r="AZ209" s="4">
        <v>9777430.75</v>
      </c>
      <c r="BA209" s="4">
        <v>3765149.3200000003</v>
      </c>
      <c r="BB209" s="4">
        <v>1594295.12</v>
      </c>
      <c r="BC209" s="4">
        <v>3448563.01</v>
      </c>
      <c r="BD209" s="4">
        <v>40078875.789999999</v>
      </c>
      <c r="BE209" s="4">
        <v>1528786</v>
      </c>
      <c r="BF209" s="4">
        <v>848868.48</v>
      </c>
      <c r="BG209" s="4">
        <v>0</v>
      </c>
      <c r="BH209" s="4">
        <f t="shared" si="29"/>
        <v>602455093.14999998</v>
      </c>
    </row>
    <row r="210" spans="1:60" x14ac:dyDescent="0.2">
      <c r="A210" s="3">
        <v>40269</v>
      </c>
      <c r="B210" s="4">
        <v>16837228.68</v>
      </c>
      <c r="C210" s="4">
        <v>1173581.99</v>
      </c>
      <c r="D210" s="4">
        <v>7997167.9500000002</v>
      </c>
      <c r="E210" s="4">
        <v>2423442.29</v>
      </c>
      <c r="F210" s="4">
        <v>2285227.83</v>
      </c>
      <c r="G210" s="4">
        <v>3861225.6</v>
      </c>
      <c r="H210" s="4">
        <v>3924199.6399999997</v>
      </c>
      <c r="I210" s="4">
        <v>1249693.31</v>
      </c>
      <c r="J210" s="4">
        <v>3439191.2199999997</v>
      </c>
      <c r="K210" s="4">
        <v>2120769.2599999998</v>
      </c>
      <c r="L210" s="4">
        <v>1741803.93</v>
      </c>
      <c r="M210" s="4">
        <v>1234107.03</v>
      </c>
      <c r="N210" s="4">
        <v>11468946.890000001</v>
      </c>
      <c r="O210" s="4">
        <v>48991412.790000007</v>
      </c>
      <c r="P210" s="4">
        <v>1400404.92</v>
      </c>
      <c r="Q210" s="4">
        <v>1303155.67</v>
      </c>
      <c r="R210" s="4">
        <v>1236378.96</v>
      </c>
      <c r="S210" s="4">
        <v>2282621.7400000002</v>
      </c>
      <c r="T210" s="4">
        <v>1749195.1</v>
      </c>
      <c r="U210" s="4">
        <v>117504.40000000001</v>
      </c>
      <c r="V210" s="4">
        <v>1851923.62</v>
      </c>
      <c r="W210" s="4">
        <v>4671615.96</v>
      </c>
      <c r="X210" s="4">
        <v>686826.05999999994</v>
      </c>
      <c r="Y210" s="4">
        <v>1845303.45</v>
      </c>
      <c r="Z210" s="4">
        <v>1564666.1099999999</v>
      </c>
      <c r="AA210" s="4">
        <v>30988821.800000001</v>
      </c>
      <c r="AB210" s="4">
        <v>1769774.86</v>
      </c>
      <c r="AC210" s="4">
        <v>77763237.460000008</v>
      </c>
      <c r="AD210" s="4">
        <v>7365646.9000000013</v>
      </c>
      <c r="AE210" s="4">
        <v>8692004.6900000013</v>
      </c>
      <c r="AF210" s="4">
        <v>22425273.689999998</v>
      </c>
      <c r="AG210" s="4">
        <v>5118419.67</v>
      </c>
      <c r="AH210" s="4">
        <v>16256492.380000001</v>
      </c>
      <c r="AI210" s="4">
        <v>1041182.67</v>
      </c>
      <c r="AJ210" s="4">
        <v>2733935.3899999997</v>
      </c>
      <c r="AK210" s="4">
        <v>2261320.0700000003</v>
      </c>
      <c r="AL210" s="4">
        <v>3620671.4699999997</v>
      </c>
      <c r="AM210" s="4">
        <v>5171413</v>
      </c>
      <c r="AN210" s="4">
        <v>12829830.810000001</v>
      </c>
      <c r="AO210" s="4">
        <v>2876319.9499999997</v>
      </c>
      <c r="AP210" s="4">
        <v>7068506.71</v>
      </c>
      <c r="AQ210" s="4">
        <v>6529008.7999999998</v>
      </c>
      <c r="AR210" s="4">
        <v>961784.85</v>
      </c>
      <c r="AS210" s="4">
        <v>554268.69999999995</v>
      </c>
      <c r="AT210" s="4">
        <v>1492944.6700000002</v>
      </c>
      <c r="AU210" s="4">
        <v>3554396.6499999994</v>
      </c>
      <c r="AV210" s="4">
        <v>83418287.390000001</v>
      </c>
      <c r="AW210" s="4">
        <v>2197650.56</v>
      </c>
      <c r="AX210" s="4">
        <v>1232714.2399999998</v>
      </c>
      <c r="AY210" s="4">
        <v>2997964.3300000005</v>
      </c>
      <c r="AZ210" s="4">
        <v>6655693.2700000005</v>
      </c>
      <c r="BA210" s="4">
        <v>3043353.1899999995</v>
      </c>
      <c r="BB210" s="4">
        <v>1240163.7799999998</v>
      </c>
      <c r="BC210" s="4">
        <v>2599194.9500000002</v>
      </c>
      <c r="BD210" s="4">
        <v>32800062.360000003</v>
      </c>
      <c r="BE210" s="4">
        <v>1012894.66</v>
      </c>
      <c r="BF210" s="4">
        <v>563183.91999999993</v>
      </c>
      <c r="BG210" s="4">
        <v>0</v>
      </c>
      <c r="BH210" s="4">
        <f t="shared" si="29"/>
        <v>486294012.24000001</v>
      </c>
    </row>
    <row r="211" spans="1:60" x14ac:dyDescent="0.2">
      <c r="A211" s="3">
        <v>40299</v>
      </c>
      <c r="B211" s="4">
        <v>16635474.309999999</v>
      </c>
      <c r="C211" s="4">
        <v>1175764.45</v>
      </c>
      <c r="D211" s="4">
        <v>7849976.2400000002</v>
      </c>
      <c r="E211" s="4">
        <v>2330329.9300000002</v>
      </c>
      <c r="F211" s="4">
        <v>2264317.2800000003</v>
      </c>
      <c r="G211" s="4">
        <v>3986091.01</v>
      </c>
      <c r="H211" s="4">
        <v>3744934.7299999995</v>
      </c>
      <c r="I211" s="4">
        <v>1248313.4099999999</v>
      </c>
      <c r="J211" s="4">
        <v>3323631.6799999997</v>
      </c>
      <c r="K211" s="4">
        <v>2069730.74</v>
      </c>
      <c r="L211" s="4">
        <v>1718071.51</v>
      </c>
      <c r="M211" s="4">
        <v>1229478.46</v>
      </c>
      <c r="N211" s="4">
        <v>11249454.140000001</v>
      </c>
      <c r="O211" s="4">
        <v>48234960.609999999</v>
      </c>
      <c r="P211" s="4">
        <v>1349297.4900000002</v>
      </c>
      <c r="Q211" s="4">
        <v>1266679.6399999999</v>
      </c>
      <c r="R211" s="4">
        <v>1219921.45</v>
      </c>
      <c r="S211" s="4">
        <v>2246773.69</v>
      </c>
      <c r="T211" s="4">
        <v>1720280.1800000002</v>
      </c>
      <c r="U211" s="4">
        <v>118671.13</v>
      </c>
      <c r="V211" s="4">
        <v>1767659.59</v>
      </c>
      <c r="W211" s="4">
        <v>4497967.58</v>
      </c>
      <c r="X211" s="4">
        <v>627061.77</v>
      </c>
      <c r="Y211" s="4">
        <v>1761355.35</v>
      </c>
      <c r="Z211" s="4">
        <v>1703807.77</v>
      </c>
      <c r="AA211" s="4">
        <v>30734300.859999999</v>
      </c>
      <c r="AB211" s="4">
        <v>1783901.52</v>
      </c>
      <c r="AC211" s="4">
        <v>76593372.340000004</v>
      </c>
      <c r="AD211" s="4">
        <v>7145911.2999999998</v>
      </c>
      <c r="AE211" s="4">
        <v>8468051.4400000013</v>
      </c>
      <c r="AF211" s="4">
        <v>21503420.390000001</v>
      </c>
      <c r="AG211" s="4">
        <v>5044162.63</v>
      </c>
      <c r="AH211" s="4">
        <v>15780644.58</v>
      </c>
      <c r="AI211" s="4">
        <v>953721.02</v>
      </c>
      <c r="AJ211" s="4">
        <v>2621026.63</v>
      </c>
      <c r="AK211" s="4">
        <v>2201215.2399999998</v>
      </c>
      <c r="AL211" s="4">
        <v>3488189.83</v>
      </c>
      <c r="AM211" s="4">
        <v>5077488.82</v>
      </c>
      <c r="AN211" s="4">
        <v>12187878.809999999</v>
      </c>
      <c r="AO211" s="4">
        <v>2726345.45</v>
      </c>
      <c r="AP211" s="4">
        <v>7066378.3899999997</v>
      </c>
      <c r="AQ211" s="4">
        <v>6392293.9500000011</v>
      </c>
      <c r="AR211" s="4">
        <v>957456.91999999993</v>
      </c>
      <c r="AS211" s="4">
        <v>529057.19999999995</v>
      </c>
      <c r="AT211" s="4">
        <v>1474250.4</v>
      </c>
      <c r="AU211" s="4">
        <v>2786892.14</v>
      </c>
      <c r="AV211" s="4">
        <v>77063705.599999994</v>
      </c>
      <c r="AW211" s="4">
        <v>2156215.04</v>
      </c>
      <c r="AX211" s="4">
        <v>1182887.51</v>
      </c>
      <c r="AY211" s="4">
        <v>3009424.88</v>
      </c>
      <c r="AZ211" s="4">
        <v>6417512.1400000006</v>
      </c>
      <c r="BA211" s="4">
        <v>2953059.6700000004</v>
      </c>
      <c r="BB211" s="4">
        <v>1215793.76</v>
      </c>
      <c r="BC211" s="4">
        <v>2535218.2099999995</v>
      </c>
      <c r="BD211" s="4">
        <v>32149514.170000002</v>
      </c>
      <c r="BE211" s="4">
        <v>991333.6</v>
      </c>
      <c r="BF211" s="4">
        <v>521973.26000000007</v>
      </c>
      <c r="BG211" s="4">
        <v>0</v>
      </c>
      <c r="BH211" s="4">
        <f t="shared" si="29"/>
        <v>471052601.83999991</v>
      </c>
    </row>
    <row r="212" spans="1:60" x14ac:dyDescent="0.2">
      <c r="A212" s="3">
        <v>40330</v>
      </c>
      <c r="B212" s="4">
        <v>21811811.289999999</v>
      </c>
      <c r="C212" s="4">
        <v>1989920.85</v>
      </c>
      <c r="D212" s="4">
        <v>10762496.75</v>
      </c>
      <c r="E212" s="4">
        <v>3606309.75</v>
      </c>
      <c r="F212" s="4">
        <v>2804811.28</v>
      </c>
      <c r="G212" s="4">
        <v>5838200.6900000004</v>
      </c>
      <c r="H212" s="4">
        <v>5759838.4900000002</v>
      </c>
      <c r="I212" s="4">
        <v>2084658.15</v>
      </c>
      <c r="J212" s="4">
        <v>5015513.08</v>
      </c>
      <c r="K212" s="4">
        <v>3263934.8699999996</v>
      </c>
      <c r="L212" s="4">
        <v>2646103.4400000004</v>
      </c>
      <c r="M212" s="4">
        <v>2186029.9</v>
      </c>
      <c r="N212" s="4">
        <v>16758989.92</v>
      </c>
      <c r="O212" s="4">
        <v>61290136.310000002</v>
      </c>
      <c r="P212" s="4">
        <v>2509189.6900000004</v>
      </c>
      <c r="Q212" s="4">
        <v>2137450.13</v>
      </c>
      <c r="R212" s="4">
        <v>1963574.04</v>
      </c>
      <c r="S212" s="4">
        <v>3626478.9699999997</v>
      </c>
      <c r="T212" s="4">
        <v>2766105.73</v>
      </c>
      <c r="U212" s="4">
        <v>304339.63</v>
      </c>
      <c r="V212" s="4">
        <v>3065392.33</v>
      </c>
      <c r="W212" s="4">
        <v>7123695.2400000002</v>
      </c>
      <c r="X212" s="4">
        <v>1083433.3599999999</v>
      </c>
      <c r="Y212" s="4">
        <v>3208665.84</v>
      </c>
      <c r="Z212" s="4">
        <v>2788830.96</v>
      </c>
      <c r="AA212" s="4">
        <v>39775355.849999994</v>
      </c>
      <c r="AB212" s="4">
        <v>2679100.3099999996</v>
      </c>
      <c r="AC212" s="4">
        <v>101330525.95</v>
      </c>
      <c r="AD212" s="4">
        <v>11406984.279999999</v>
      </c>
      <c r="AE212" s="4">
        <v>12957214.239999998</v>
      </c>
      <c r="AF212" s="4">
        <v>28104151.379999999</v>
      </c>
      <c r="AG212" s="4">
        <v>7354980.9699999997</v>
      </c>
      <c r="AH212" s="4">
        <v>24369260.719999999</v>
      </c>
      <c r="AI212" s="4">
        <v>1437838.85</v>
      </c>
      <c r="AJ212" s="4">
        <v>4225807.5199999996</v>
      </c>
      <c r="AK212" s="4">
        <v>3378633.59</v>
      </c>
      <c r="AL212" s="4">
        <v>4747087.6000000006</v>
      </c>
      <c r="AM212" s="4">
        <v>6984495.0099999998</v>
      </c>
      <c r="AN212" s="4">
        <v>16450740.34</v>
      </c>
      <c r="AO212" s="4">
        <v>4266748.93</v>
      </c>
      <c r="AP212" s="4">
        <v>9662727.3200000003</v>
      </c>
      <c r="AQ212" s="4">
        <v>7588046.9800000004</v>
      </c>
      <c r="AR212" s="4">
        <v>1626833.3299999998</v>
      </c>
      <c r="AS212" s="4">
        <v>984980.83000000007</v>
      </c>
      <c r="AT212" s="4">
        <v>2317819.59</v>
      </c>
      <c r="AU212" s="4">
        <v>4810923.4800000004</v>
      </c>
      <c r="AV212" s="4">
        <v>117021143.92</v>
      </c>
      <c r="AW212" s="4">
        <v>4134049.56</v>
      </c>
      <c r="AX212" s="4">
        <v>1380408.6099999999</v>
      </c>
      <c r="AY212" s="4">
        <v>4970756.1899999995</v>
      </c>
      <c r="AZ212" s="4">
        <v>11128250.279999999</v>
      </c>
      <c r="BA212" s="4">
        <v>4166257.4699999997</v>
      </c>
      <c r="BB212" s="4">
        <v>1667140.8900000001</v>
      </c>
      <c r="BC212" s="4">
        <v>3880641.06</v>
      </c>
      <c r="BD212" s="4">
        <v>48046635.359999999</v>
      </c>
      <c r="BE212" s="4">
        <v>1648574.9300000002</v>
      </c>
      <c r="BF212" s="4">
        <v>1250614.33</v>
      </c>
      <c r="BG212" s="4">
        <v>0</v>
      </c>
      <c r="BH212" s="4">
        <f t="shared" si="29"/>
        <v>672150640.3599999</v>
      </c>
    </row>
    <row r="213" spans="1:60" x14ac:dyDescent="0.2">
      <c r="A213" s="3">
        <v>40360</v>
      </c>
      <c r="B213" s="4">
        <v>18694021.039999999</v>
      </c>
      <c r="C213" s="4">
        <v>1255090.56</v>
      </c>
      <c r="D213" s="4">
        <v>8405595.120000001</v>
      </c>
      <c r="E213" s="4">
        <v>2530132.83</v>
      </c>
      <c r="F213" s="4">
        <v>2541901.88</v>
      </c>
      <c r="G213" s="4">
        <v>4355067.8499999996</v>
      </c>
      <c r="H213" s="4">
        <v>3991136.21</v>
      </c>
      <c r="I213" s="4">
        <v>1389356.44</v>
      </c>
      <c r="J213" s="4">
        <v>3859461.32</v>
      </c>
      <c r="K213" s="4">
        <v>2288152.8800000004</v>
      </c>
      <c r="L213" s="4">
        <v>1797099.7899999998</v>
      </c>
      <c r="M213" s="4">
        <v>1488651.6400000001</v>
      </c>
      <c r="N213" s="4">
        <v>12018891.52</v>
      </c>
      <c r="O213" s="4">
        <v>51751207.170000002</v>
      </c>
      <c r="P213" s="4">
        <v>2030081.19</v>
      </c>
      <c r="Q213" s="4">
        <v>1469732.35</v>
      </c>
      <c r="R213" s="4">
        <v>1411043.46</v>
      </c>
      <c r="S213" s="4">
        <v>2885643.06</v>
      </c>
      <c r="T213" s="4">
        <v>2063854.94</v>
      </c>
      <c r="U213" s="4">
        <v>250398.66000000003</v>
      </c>
      <c r="V213" s="4">
        <v>2259291.77</v>
      </c>
      <c r="W213" s="4">
        <v>5391792.2800000003</v>
      </c>
      <c r="X213" s="4">
        <v>692068.57000000007</v>
      </c>
      <c r="Y213" s="4">
        <v>1951213.8</v>
      </c>
      <c r="Z213" s="4">
        <v>1721784.84</v>
      </c>
      <c r="AA213" s="4">
        <v>32910182.16</v>
      </c>
      <c r="AB213" s="4">
        <v>1939025.02</v>
      </c>
      <c r="AC213" s="4">
        <v>79021736.379999995</v>
      </c>
      <c r="AD213" s="4">
        <v>7951336.46</v>
      </c>
      <c r="AE213" s="4">
        <v>9558841.3100000005</v>
      </c>
      <c r="AF213" s="4">
        <v>23463322.899999999</v>
      </c>
      <c r="AG213" s="4">
        <v>5401518.9400000004</v>
      </c>
      <c r="AH213" s="4">
        <v>17329368.57</v>
      </c>
      <c r="AI213" s="4">
        <v>1033061.88</v>
      </c>
      <c r="AJ213" s="4">
        <v>2963880.74</v>
      </c>
      <c r="AK213" s="4">
        <v>2854109.54</v>
      </c>
      <c r="AL213" s="4">
        <v>3712462.4400000004</v>
      </c>
      <c r="AM213" s="4">
        <v>5245198.76</v>
      </c>
      <c r="AN213" s="4">
        <v>12678530.810000001</v>
      </c>
      <c r="AO213" s="4">
        <v>3031422.55</v>
      </c>
      <c r="AP213" s="4">
        <v>8029002.8399999999</v>
      </c>
      <c r="AQ213" s="4">
        <v>6436982.5399999991</v>
      </c>
      <c r="AR213" s="4">
        <v>1083497.49</v>
      </c>
      <c r="AS213" s="4">
        <v>783629.55</v>
      </c>
      <c r="AT213" s="4">
        <v>1754875.98</v>
      </c>
      <c r="AU213" s="4">
        <v>3481541.9000000004</v>
      </c>
      <c r="AV213" s="4">
        <v>93347303.559999987</v>
      </c>
      <c r="AW213" s="4">
        <v>3027257.4799999995</v>
      </c>
      <c r="AX213" s="4">
        <v>1255968.26</v>
      </c>
      <c r="AY213" s="4">
        <v>3552909.46</v>
      </c>
      <c r="AZ213" s="4">
        <v>7564515.5699999994</v>
      </c>
      <c r="BA213" s="4">
        <v>4338803.25</v>
      </c>
      <c r="BB213" s="4">
        <v>1352288.6</v>
      </c>
      <c r="BC213" s="4">
        <v>3007111.7100000004</v>
      </c>
      <c r="BD213" s="4">
        <v>33635339.68</v>
      </c>
      <c r="BE213" s="4">
        <v>1150130.7699999998</v>
      </c>
      <c r="BF213" s="4">
        <v>714152.82000000007</v>
      </c>
      <c r="BG213" s="4">
        <v>0</v>
      </c>
      <c r="BH213" s="4">
        <f t="shared" si="29"/>
        <v>522101981.08999997</v>
      </c>
    </row>
    <row r="214" spans="1:60" x14ac:dyDescent="0.2">
      <c r="A214" s="3">
        <v>40391</v>
      </c>
      <c r="B214" s="4">
        <v>17595441.190000001</v>
      </c>
      <c r="C214" s="4">
        <v>1222486.3500000001</v>
      </c>
      <c r="D214" s="4">
        <v>8152960.5999999996</v>
      </c>
      <c r="E214" s="4">
        <v>2481447.65</v>
      </c>
      <c r="F214" s="4">
        <v>2408379.2599999998</v>
      </c>
      <c r="G214" s="4">
        <v>4353232.6899999995</v>
      </c>
      <c r="H214" s="4">
        <v>3844451.6599999997</v>
      </c>
      <c r="I214" s="4">
        <v>1389694.8900000001</v>
      </c>
      <c r="J214" s="4">
        <v>3805453.08</v>
      </c>
      <c r="K214" s="4">
        <v>2284936.33</v>
      </c>
      <c r="L214" s="4">
        <v>1753938.95</v>
      </c>
      <c r="M214" s="4">
        <v>1423560.76</v>
      </c>
      <c r="N214" s="4">
        <v>11801409.01</v>
      </c>
      <c r="O214" s="4">
        <v>50741290.130000003</v>
      </c>
      <c r="P214" s="4">
        <v>2027342</v>
      </c>
      <c r="Q214" s="4">
        <v>1424541.52</v>
      </c>
      <c r="R214" s="4">
        <v>1394295.21</v>
      </c>
      <c r="S214" s="4">
        <v>2782781.93</v>
      </c>
      <c r="T214" s="4">
        <v>1974776.0600000003</v>
      </c>
      <c r="U214" s="4">
        <v>238939.59999999998</v>
      </c>
      <c r="V214" s="4">
        <v>2197175.89</v>
      </c>
      <c r="W214" s="4">
        <v>5208863.88</v>
      </c>
      <c r="X214" s="4">
        <v>677031.75</v>
      </c>
      <c r="Y214" s="4">
        <v>1920587.75</v>
      </c>
      <c r="Z214" s="4">
        <v>1644366.59</v>
      </c>
      <c r="AA214" s="4">
        <v>31778300.769999996</v>
      </c>
      <c r="AB214" s="4">
        <v>1918836.2</v>
      </c>
      <c r="AC214" s="4">
        <v>78018253.75</v>
      </c>
      <c r="AD214" s="4">
        <v>7906116.4399999995</v>
      </c>
      <c r="AE214" s="4">
        <v>9171696.629999999</v>
      </c>
      <c r="AF214" s="4">
        <v>22738532.990000002</v>
      </c>
      <c r="AG214" s="4">
        <v>5339612.72</v>
      </c>
      <c r="AH214" s="4">
        <v>17236757.890000001</v>
      </c>
      <c r="AI214" s="4">
        <v>1034106.64</v>
      </c>
      <c r="AJ214" s="4">
        <v>2901065.36</v>
      </c>
      <c r="AK214" s="4">
        <v>2775863.34</v>
      </c>
      <c r="AL214" s="4">
        <v>3642579.16</v>
      </c>
      <c r="AM214" s="4">
        <v>5118498.24</v>
      </c>
      <c r="AN214" s="4">
        <v>12951100.460000001</v>
      </c>
      <c r="AO214" s="4">
        <v>2956213.99</v>
      </c>
      <c r="AP214" s="4">
        <v>7831148.4699999997</v>
      </c>
      <c r="AQ214" s="4">
        <v>6422807.9300000006</v>
      </c>
      <c r="AR214" s="4">
        <v>1025162.6</v>
      </c>
      <c r="AS214" s="4">
        <v>758256.39</v>
      </c>
      <c r="AT214" s="4">
        <v>1695094.65</v>
      </c>
      <c r="AU214" s="4">
        <v>3193186.0800000005</v>
      </c>
      <c r="AV214" s="4">
        <v>91349531.640000001</v>
      </c>
      <c r="AW214" s="4">
        <v>2817038.4299999997</v>
      </c>
      <c r="AX214" s="4">
        <v>1219296.8899999999</v>
      </c>
      <c r="AY214" s="4">
        <v>3327299.0599999996</v>
      </c>
      <c r="AZ214" s="4">
        <v>7407474.709999999</v>
      </c>
      <c r="BA214" s="4">
        <v>4219628.57</v>
      </c>
      <c r="BB214" s="4">
        <v>1292656.53</v>
      </c>
      <c r="BC214" s="4">
        <v>2766865.48</v>
      </c>
      <c r="BD214" s="4">
        <v>33220412.280000001</v>
      </c>
      <c r="BE214" s="4">
        <v>1101697.31</v>
      </c>
      <c r="BF214" s="4">
        <v>699705.91999999993</v>
      </c>
      <c r="BG214" s="4">
        <v>0</v>
      </c>
      <c r="BH214" s="4">
        <f t="shared" si="29"/>
        <v>510584182.24999988</v>
      </c>
    </row>
    <row r="215" spans="1:60" x14ac:dyDescent="0.2">
      <c r="A215" s="3">
        <v>40422</v>
      </c>
      <c r="B215" s="4">
        <v>19360092.52</v>
      </c>
      <c r="C215" s="4">
        <v>2311616.7400000002</v>
      </c>
      <c r="D215" s="4">
        <v>10283840.83</v>
      </c>
      <c r="E215" s="4">
        <v>3297401.54</v>
      </c>
      <c r="F215" s="4">
        <v>3164073.87</v>
      </c>
      <c r="G215" s="4">
        <v>5901202.4399999995</v>
      </c>
      <c r="H215" s="4">
        <v>5697778.4900000002</v>
      </c>
      <c r="I215" s="4">
        <v>1912217.31</v>
      </c>
      <c r="J215" s="4">
        <v>4565995.01</v>
      </c>
      <c r="K215" s="4">
        <v>3588179.84</v>
      </c>
      <c r="L215" s="4">
        <v>2608735.75</v>
      </c>
      <c r="M215" s="4">
        <v>1364713.0099999998</v>
      </c>
      <c r="N215" s="4">
        <v>16493742.199999999</v>
      </c>
      <c r="O215" s="4">
        <v>63887096.390000001</v>
      </c>
      <c r="P215" s="4">
        <v>3087065</v>
      </c>
      <c r="Q215" s="4">
        <v>2410077.62</v>
      </c>
      <c r="R215" s="4">
        <v>1621205.5899999999</v>
      </c>
      <c r="S215" s="4">
        <v>3539952</v>
      </c>
      <c r="T215" s="4">
        <v>2727903.2</v>
      </c>
      <c r="U215" s="4">
        <v>372893.08999999997</v>
      </c>
      <c r="V215" s="4">
        <v>3020738.87</v>
      </c>
      <c r="W215" s="4">
        <v>7405725.3799999999</v>
      </c>
      <c r="X215" s="4">
        <v>1147714.1499999999</v>
      </c>
      <c r="Y215" s="4">
        <v>2987128.39</v>
      </c>
      <c r="Z215" s="4">
        <v>2537636.81</v>
      </c>
      <c r="AA215" s="4">
        <v>36676563.069999993</v>
      </c>
      <c r="AB215" s="4">
        <v>2499734.62</v>
      </c>
      <c r="AC215" s="4">
        <v>94644619.599999994</v>
      </c>
      <c r="AD215" s="4">
        <v>9991008.0800000001</v>
      </c>
      <c r="AE215" s="4">
        <v>12353376.950000001</v>
      </c>
      <c r="AF215" s="4">
        <v>29600375.170000002</v>
      </c>
      <c r="AG215" s="4">
        <v>7685309.5899999999</v>
      </c>
      <c r="AH215" s="4">
        <v>22657968.920000002</v>
      </c>
      <c r="AI215" s="4">
        <v>1147797.1399999999</v>
      </c>
      <c r="AJ215" s="4">
        <v>4077241.19</v>
      </c>
      <c r="AK215" s="4">
        <v>3505127.7699999996</v>
      </c>
      <c r="AL215" s="4">
        <v>5141227.57</v>
      </c>
      <c r="AM215" s="4">
        <v>7031667.2599999998</v>
      </c>
      <c r="AN215" s="4">
        <v>15820684.420000002</v>
      </c>
      <c r="AO215" s="4">
        <v>4271229.38</v>
      </c>
      <c r="AP215" s="4">
        <v>9258451.3300000001</v>
      </c>
      <c r="AQ215" s="4">
        <v>7645472.2400000002</v>
      </c>
      <c r="AR215" s="4">
        <v>1568577.09</v>
      </c>
      <c r="AS215" s="4">
        <v>1184970.8</v>
      </c>
      <c r="AT215" s="4">
        <v>2258741.33</v>
      </c>
      <c r="AU215" s="4">
        <v>4479971.55</v>
      </c>
      <c r="AV215" s="4">
        <v>117667135.48999998</v>
      </c>
      <c r="AW215" s="4">
        <v>3650814.06</v>
      </c>
      <c r="AX215" s="4">
        <v>2193856.91</v>
      </c>
      <c r="AY215" s="4">
        <v>4368197.1099999994</v>
      </c>
      <c r="AZ215" s="4">
        <v>10495075.960000001</v>
      </c>
      <c r="BA215" s="4">
        <v>4576638.0999999996</v>
      </c>
      <c r="BB215" s="4">
        <v>1574146.2999999998</v>
      </c>
      <c r="BC215" s="4">
        <v>3531784.96</v>
      </c>
      <c r="BD215" s="4">
        <v>42906181.029999994</v>
      </c>
      <c r="BE215" s="4">
        <v>1466909.29</v>
      </c>
      <c r="BF215" s="4">
        <v>1247740.0899999999</v>
      </c>
      <c r="BG215" s="4">
        <v>0</v>
      </c>
      <c r="BH215" s="4">
        <f t="shared" si="29"/>
        <v>652473320.40999985</v>
      </c>
    </row>
    <row r="216" spans="1:60" x14ac:dyDescent="0.2">
      <c r="A216" s="3">
        <v>40452</v>
      </c>
      <c r="B216" s="4">
        <v>16889781.859999999</v>
      </c>
      <c r="C216" s="4">
        <v>1245675.83</v>
      </c>
      <c r="D216" s="4">
        <v>7714663.4199999999</v>
      </c>
      <c r="E216" s="4">
        <v>2419288.7999999998</v>
      </c>
      <c r="F216" s="4">
        <v>2269390.4699999997</v>
      </c>
      <c r="G216" s="4">
        <v>3678747.5100000002</v>
      </c>
      <c r="H216" s="4">
        <v>3993886.9399999995</v>
      </c>
      <c r="I216" s="4">
        <v>1220080.07</v>
      </c>
      <c r="J216" s="4">
        <v>3425605.6</v>
      </c>
      <c r="K216" s="4">
        <v>2081162.5</v>
      </c>
      <c r="L216" s="4">
        <v>1671383.91</v>
      </c>
      <c r="M216" s="4">
        <v>1324868.24</v>
      </c>
      <c r="N216" s="4">
        <v>11721587.32</v>
      </c>
      <c r="O216" s="4">
        <v>48948611.700000003</v>
      </c>
      <c r="P216" s="4">
        <v>1534157.09</v>
      </c>
      <c r="Q216" s="4">
        <v>1363660.4699999997</v>
      </c>
      <c r="R216" s="4">
        <v>1226335.67</v>
      </c>
      <c r="S216" s="4">
        <v>2317742.0699999998</v>
      </c>
      <c r="T216" s="4">
        <v>1762159.15</v>
      </c>
      <c r="U216" s="4">
        <v>141756.93</v>
      </c>
      <c r="V216" s="4">
        <v>1863724.08</v>
      </c>
      <c r="W216" s="4">
        <v>4781378.2699999996</v>
      </c>
      <c r="X216" s="4">
        <v>633592.62</v>
      </c>
      <c r="Y216" s="4">
        <v>1762240.0499999998</v>
      </c>
      <c r="Z216" s="4">
        <v>1505100.1400000001</v>
      </c>
      <c r="AA216" s="4">
        <v>30383490.149999999</v>
      </c>
      <c r="AB216" s="4">
        <v>1748196.2199999997</v>
      </c>
      <c r="AC216" s="4">
        <v>71759307.579999998</v>
      </c>
      <c r="AD216" s="4">
        <v>7483447.2700000005</v>
      </c>
      <c r="AE216" s="4">
        <v>8635501.0700000003</v>
      </c>
      <c r="AF216" s="4">
        <v>21964099.210000001</v>
      </c>
      <c r="AG216" s="4">
        <v>5434832.1100000003</v>
      </c>
      <c r="AH216" s="4">
        <v>17076527.100000001</v>
      </c>
      <c r="AI216" s="4">
        <v>932388.94</v>
      </c>
      <c r="AJ216" s="4">
        <v>2572349.13</v>
      </c>
      <c r="AK216" s="4">
        <v>2224738.44</v>
      </c>
      <c r="AL216" s="4">
        <v>3376691.46</v>
      </c>
      <c r="AM216" s="4">
        <v>4859242.3199999994</v>
      </c>
      <c r="AN216" s="4">
        <v>12022795.09</v>
      </c>
      <c r="AO216" s="4">
        <v>2881122.3600000003</v>
      </c>
      <c r="AP216" s="4">
        <v>6875397.04</v>
      </c>
      <c r="AQ216" s="4">
        <v>6000696.7199999997</v>
      </c>
      <c r="AR216" s="4">
        <v>956690.76</v>
      </c>
      <c r="AS216" s="4">
        <v>536619.23</v>
      </c>
      <c r="AT216" s="4">
        <v>1588620.9000000001</v>
      </c>
      <c r="AU216" s="4">
        <v>3014019.83</v>
      </c>
      <c r="AV216" s="4">
        <v>81745073.979999989</v>
      </c>
      <c r="AW216" s="4">
        <v>2198964.4300000002</v>
      </c>
      <c r="AX216" s="4">
        <v>1156595.68</v>
      </c>
      <c r="AY216" s="4">
        <v>3154392.7</v>
      </c>
      <c r="AZ216" s="4">
        <v>6834466.6400000006</v>
      </c>
      <c r="BA216" s="4">
        <v>3126339.2199999997</v>
      </c>
      <c r="BB216" s="4">
        <v>1251682.97</v>
      </c>
      <c r="BC216" s="4">
        <v>2501203.94</v>
      </c>
      <c r="BD216" s="4">
        <v>32365427.399999999</v>
      </c>
      <c r="BE216" s="4">
        <v>999055.61</v>
      </c>
      <c r="BF216" s="4">
        <v>593382.17999999993</v>
      </c>
      <c r="BG216" s="4">
        <v>0</v>
      </c>
      <c r="BH216" s="4">
        <f t="shared" si="29"/>
        <v>475749938.39000005</v>
      </c>
    </row>
    <row r="217" spans="1:60" x14ac:dyDescent="0.2">
      <c r="A217" s="3">
        <v>40483</v>
      </c>
      <c r="B217" s="4">
        <v>17349196.77</v>
      </c>
      <c r="C217" s="4">
        <v>1301205.6100000001</v>
      </c>
      <c r="D217" s="4">
        <v>7960273.9699999997</v>
      </c>
      <c r="E217" s="4">
        <v>2504763.0099999998</v>
      </c>
      <c r="F217" s="4">
        <v>2275331.7400000002</v>
      </c>
      <c r="G217" s="4">
        <v>4265345.09</v>
      </c>
      <c r="H217" s="4">
        <v>4026980.3699999996</v>
      </c>
      <c r="I217" s="4">
        <v>1271822.53</v>
      </c>
      <c r="J217" s="4">
        <v>3575095.58</v>
      </c>
      <c r="K217" s="4">
        <v>2122465.02</v>
      </c>
      <c r="L217" s="4">
        <v>1742577.28</v>
      </c>
      <c r="M217" s="4">
        <v>1339755.43</v>
      </c>
      <c r="N217" s="4">
        <v>11869065.369999999</v>
      </c>
      <c r="O217" s="4">
        <v>50197586.630000003</v>
      </c>
      <c r="P217" s="4">
        <v>1625134.2800000003</v>
      </c>
      <c r="Q217" s="4">
        <v>1402286.2000000002</v>
      </c>
      <c r="R217" s="4">
        <v>1215691.3699999999</v>
      </c>
      <c r="S217" s="4">
        <v>2411685.89</v>
      </c>
      <c r="T217" s="4">
        <v>1771130.13</v>
      </c>
      <c r="U217" s="4">
        <v>155629.35</v>
      </c>
      <c r="V217" s="4">
        <v>1899308.36</v>
      </c>
      <c r="W217" s="4">
        <v>5012644.0399999991</v>
      </c>
      <c r="X217" s="4">
        <v>657440.05000000005</v>
      </c>
      <c r="Y217" s="4">
        <v>1898638.66</v>
      </c>
      <c r="Z217" s="4">
        <v>1550285.79</v>
      </c>
      <c r="AA217" s="4">
        <v>32252958.970000003</v>
      </c>
      <c r="AB217" s="4">
        <v>1834819.3599999999</v>
      </c>
      <c r="AC217" s="4">
        <v>74920966.629999995</v>
      </c>
      <c r="AD217" s="4">
        <v>7795439.0499999998</v>
      </c>
      <c r="AE217" s="4">
        <v>8963987.5500000007</v>
      </c>
      <c r="AF217" s="4">
        <v>22656417.149999999</v>
      </c>
      <c r="AG217" s="4">
        <v>5780260.5099999998</v>
      </c>
      <c r="AH217" s="4">
        <v>17768625.100000001</v>
      </c>
      <c r="AI217" s="4">
        <v>960548.58000000007</v>
      </c>
      <c r="AJ217" s="4">
        <v>2671213.71</v>
      </c>
      <c r="AK217" s="4">
        <v>2316547</v>
      </c>
      <c r="AL217" s="4">
        <v>3793653.1399999997</v>
      </c>
      <c r="AM217" s="4">
        <v>5250425.92</v>
      </c>
      <c r="AN217" s="4">
        <v>12949927.279999999</v>
      </c>
      <c r="AO217" s="4">
        <v>2879542.3200000003</v>
      </c>
      <c r="AP217" s="4">
        <v>7206687.9900000002</v>
      </c>
      <c r="AQ217" s="4">
        <v>6284886.7899999991</v>
      </c>
      <c r="AR217" s="4">
        <v>1000614.1499999999</v>
      </c>
      <c r="AS217" s="4">
        <v>555962.15999999992</v>
      </c>
      <c r="AT217" s="4">
        <v>1686002.7000000002</v>
      </c>
      <c r="AU217" s="4">
        <v>3066516.3499999996</v>
      </c>
      <c r="AV217" s="4">
        <v>85590987.640000001</v>
      </c>
      <c r="AW217" s="4">
        <v>2320418.0499999998</v>
      </c>
      <c r="AX217" s="4">
        <v>1201506.8600000001</v>
      </c>
      <c r="AY217" s="4">
        <v>3246682.3</v>
      </c>
      <c r="AZ217" s="4">
        <v>7078215.8599999994</v>
      </c>
      <c r="BA217" s="4">
        <v>3270398.91</v>
      </c>
      <c r="BB217" s="4">
        <v>1299615.94</v>
      </c>
      <c r="BC217" s="4">
        <v>3263413.8899999997</v>
      </c>
      <c r="BD217" s="4">
        <v>33056729.850000001</v>
      </c>
      <c r="BE217" s="4">
        <v>1018966.81</v>
      </c>
      <c r="BF217" s="4">
        <v>595437.34</v>
      </c>
      <c r="BG217" s="4">
        <v>0</v>
      </c>
      <c r="BH217" s="4">
        <f t="shared" si="29"/>
        <v>495939714.38000005</v>
      </c>
    </row>
    <row r="218" spans="1:60" x14ac:dyDescent="0.2">
      <c r="A218" s="3">
        <v>40513</v>
      </c>
      <c r="B218" s="4">
        <v>22367996.66</v>
      </c>
      <c r="C218" s="4">
        <v>2083558.21</v>
      </c>
      <c r="D218" s="4">
        <v>10858649.280000001</v>
      </c>
      <c r="E218" s="4">
        <v>3808029.39</v>
      </c>
      <c r="F218" s="4">
        <v>3161038.95</v>
      </c>
      <c r="G218" s="4">
        <v>5520673.2400000002</v>
      </c>
      <c r="H218" s="4">
        <v>7001148.9900000002</v>
      </c>
      <c r="I218" s="4">
        <v>2049681.29</v>
      </c>
      <c r="J218" s="4">
        <v>4829067.3800000008</v>
      </c>
      <c r="K218" s="4">
        <v>3615292.8099999996</v>
      </c>
      <c r="L218" s="4">
        <v>2804445.64</v>
      </c>
      <c r="M218" s="4">
        <v>2340384.1900000004</v>
      </c>
      <c r="N218" s="4">
        <v>14870951.510000002</v>
      </c>
      <c r="O218" s="4">
        <v>66904258.109999999</v>
      </c>
      <c r="P218" s="4">
        <v>2341352.14</v>
      </c>
      <c r="Q218" s="4">
        <v>2193388.7999999998</v>
      </c>
      <c r="R218" s="4">
        <v>1783064.15</v>
      </c>
      <c r="S218" s="4">
        <v>3726845.0300000003</v>
      </c>
      <c r="T218" s="4">
        <v>2688778.64</v>
      </c>
      <c r="U218" s="4">
        <v>278362.29000000004</v>
      </c>
      <c r="V218" s="4">
        <v>3049234.1500000004</v>
      </c>
      <c r="W218" s="4">
        <v>7005867.4700000007</v>
      </c>
      <c r="X218" s="4">
        <v>1146216.31</v>
      </c>
      <c r="Y218" s="4">
        <v>3075728.29</v>
      </c>
      <c r="Z218" s="4">
        <v>2588191.92</v>
      </c>
      <c r="AA218" s="4">
        <v>42763340.200000003</v>
      </c>
      <c r="AB218" s="4">
        <v>2814054.7800000003</v>
      </c>
      <c r="AC218" s="4">
        <v>106266166.06</v>
      </c>
      <c r="AD218" s="4">
        <v>10560516.649999999</v>
      </c>
      <c r="AE218" s="4">
        <v>13193391.699999999</v>
      </c>
      <c r="AF218" s="4">
        <v>30424801.809999999</v>
      </c>
      <c r="AG218" s="4">
        <v>6303554.7200000007</v>
      </c>
      <c r="AH218" s="4">
        <v>22812645.309999999</v>
      </c>
      <c r="AI218" s="4">
        <v>1330282.5699999998</v>
      </c>
      <c r="AJ218" s="4">
        <v>4160927.72</v>
      </c>
      <c r="AK218" s="4">
        <v>3403797.7600000002</v>
      </c>
      <c r="AL218" s="4">
        <v>5320919.93</v>
      </c>
      <c r="AM218" s="4">
        <v>6795234.8599999994</v>
      </c>
      <c r="AN218" s="4">
        <v>18398119.510000002</v>
      </c>
      <c r="AO218" s="4">
        <v>4153526.8800000004</v>
      </c>
      <c r="AP218" s="4">
        <v>9887789.1400000006</v>
      </c>
      <c r="AQ218" s="4">
        <v>8578495.8200000003</v>
      </c>
      <c r="AR218" s="4">
        <v>1290267.68</v>
      </c>
      <c r="AS218" s="4">
        <v>1006951.2699999999</v>
      </c>
      <c r="AT218" s="4">
        <v>2388676.2599999998</v>
      </c>
      <c r="AU218" s="4">
        <v>4366081.4000000004</v>
      </c>
      <c r="AV218" s="4">
        <v>117511698.63</v>
      </c>
      <c r="AW218" s="4">
        <v>3140230.7299999995</v>
      </c>
      <c r="AX218" s="4">
        <v>2082042.2499999998</v>
      </c>
      <c r="AY218" s="4">
        <v>4596055</v>
      </c>
      <c r="AZ218" s="4">
        <v>10525123.029999999</v>
      </c>
      <c r="BA218" s="4">
        <v>3929053.25</v>
      </c>
      <c r="BB218" s="4">
        <v>1468953.51</v>
      </c>
      <c r="BC218" s="4">
        <v>3596791.33</v>
      </c>
      <c r="BD218" s="4">
        <v>46831068.640000001</v>
      </c>
      <c r="BE218" s="4">
        <v>1529627.0799999998</v>
      </c>
      <c r="BF218" s="4">
        <v>1131211.3599999999</v>
      </c>
      <c r="BG218" s="4">
        <v>0</v>
      </c>
      <c r="BH218" s="4">
        <f t="shared" si="29"/>
        <v>684653601.68000007</v>
      </c>
    </row>
    <row r="219" spans="1:60" ht="15.75" thickBot="1" x14ac:dyDescent="0.25">
      <c r="A219" s="3" t="s">
        <v>157</v>
      </c>
      <c r="B219" s="5">
        <f t="shared" ref="B219:BG219" si="30">SUM(B207:B218)</f>
        <v>222163448.31999999</v>
      </c>
      <c r="C219" s="5">
        <f t="shared" si="30"/>
        <v>17836921.48</v>
      </c>
      <c r="D219" s="5">
        <f t="shared" si="30"/>
        <v>105498793.45999999</v>
      </c>
      <c r="E219" s="5">
        <f t="shared" si="30"/>
        <v>33575286.939999998</v>
      </c>
      <c r="F219" s="5">
        <f t="shared" si="30"/>
        <v>30249987.580000002</v>
      </c>
      <c r="G219" s="5">
        <f t="shared" si="30"/>
        <v>53980265.519999988</v>
      </c>
      <c r="H219" s="5">
        <f t="shared" si="30"/>
        <v>57576621.219999999</v>
      </c>
      <c r="I219" s="5">
        <f t="shared" si="30"/>
        <v>18036220.380000003</v>
      </c>
      <c r="J219" s="5">
        <f t="shared" si="30"/>
        <v>46719838.609999999</v>
      </c>
      <c r="K219" s="5">
        <f t="shared" si="30"/>
        <v>30328552.539999999</v>
      </c>
      <c r="L219" s="5">
        <f t="shared" si="30"/>
        <v>24356617.84</v>
      </c>
      <c r="M219" s="5">
        <f t="shared" si="30"/>
        <v>18181719.02</v>
      </c>
      <c r="N219" s="5">
        <f t="shared" si="30"/>
        <v>151490460.31</v>
      </c>
      <c r="O219" s="5">
        <f t="shared" si="30"/>
        <v>647087776.47000003</v>
      </c>
      <c r="P219" s="5">
        <f t="shared" si="30"/>
        <v>23036588.860000003</v>
      </c>
      <c r="Q219" s="5">
        <f t="shared" si="30"/>
        <v>19523623.109999996</v>
      </c>
      <c r="R219" s="5">
        <f t="shared" si="30"/>
        <v>17133606.550000001</v>
      </c>
      <c r="S219" s="5">
        <f t="shared" si="30"/>
        <v>32808286.609999999</v>
      </c>
      <c r="T219" s="5">
        <f t="shared" si="30"/>
        <v>25282642.079999998</v>
      </c>
      <c r="U219" s="5">
        <f t="shared" si="30"/>
        <v>2434382.67</v>
      </c>
      <c r="V219" s="5">
        <f t="shared" si="30"/>
        <v>27027023</v>
      </c>
      <c r="W219" s="5">
        <f t="shared" si="30"/>
        <v>66088109.190000005</v>
      </c>
      <c r="X219" s="5">
        <f t="shared" si="30"/>
        <v>9648913.6500000004</v>
      </c>
      <c r="Y219" s="5">
        <f t="shared" si="30"/>
        <v>26202096.75</v>
      </c>
      <c r="Z219" s="5">
        <f t="shared" si="30"/>
        <v>22352097.189999998</v>
      </c>
      <c r="AA219" s="5">
        <f t="shared" si="30"/>
        <v>403608347.20999998</v>
      </c>
      <c r="AB219" s="5">
        <f t="shared" si="30"/>
        <v>24591503.550000001</v>
      </c>
      <c r="AC219" s="5">
        <f t="shared" si="30"/>
        <v>1008374663.6200001</v>
      </c>
      <c r="AD219" s="5">
        <f t="shared" si="30"/>
        <v>100532680.87</v>
      </c>
      <c r="AE219" s="5">
        <f t="shared" si="30"/>
        <v>121113970.69999999</v>
      </c>
      <c r="AF219" s="5">
        <f t="shared" si="30"/>
        <v>292633490.06000006</v>
      </c>
      <c r="AG219" s="5">
        <f t="shared" si="30"/>
        <v>69693287.939999998</v>
      </c>
      <c r="AH219" s="5">
        <f t="shared" si="30"/>
        <v>223110420.31999999</v>
      </c>
      <c r="AI219" s="5">
        <f t="shared" si="30"/>
        <v>13023659.16</v>
      </c>
      <c r="AJ219" s="5">
        <f t="shared" si="30"/>
        <v>37357240.409999996</v>
      </c>
      <c r="AK219" s="5">
        <f t="shared" si="30"/>
        <v>32016603.450000003</v>
      </c>
      <c r="AL219" s="5">
        <f t="shared" si="30"/>
        <v>47482647.080000006</v>
      </c>
      <c r="AM219" s="5">
        <f t="shared" si="30"/>
        <v>67507842.549999997</v>
      </c>
      <c r="AN219" s="5">
        <f t="shared" si="30"/>
        <v>165927567.82999998</v>
      </c>
      <c r="AO219" s="5">
        <f t="shared" si="30"/>
        <v>39208783.190000005</v>
      </c>
      <c r="AP219" s="5">
        <f t="shared" si="30"/>
        <v>94957195.209999993</v>
      </c>
      <c r="AQ219" s="5">
        <f t="shared" si="30"/>
        <v>82471366.560000002</v>
      </c>
      <c r="AR219" s="5">
        <f t="shared" si="30"/>
        <v>13469105.549999999</v>
      </c>
      <c r="AS219" s="5">
        <f t="shared" si="30"/>
        <v>8271026.8499999996</v>
      </c>
      <c r="AT219" s="5">
        <f t="shared" si="30"/>
        <v>20881622.890000001</v>
      </c>
      <c r="AU219" s="5">
        <f t="shared" si="30"/>
        <v>41513581.730000004</v>
      </c>
      <c r="AV219" s="5">
        <f t="shared" si="30"/>
        <v>1130885872.25</v>
      </c>
      <c r="AW219" s="5">
        <f t="shared" si="30"/>
        <v>32576736.939999998</v>
      </c>
      <c r="AX219" s="5">
        <f t="shared" si="30"/>
        <v>16597661.349999998</v>
      </c>
      <c r="AY219" s="5">
        <f t="shared" si="30"/>
        <v>43581358.399999991</v>
      </c>
      <c r="AZ219" s="5">
        <f t="shared" si="30"/>
        <v>96530309.969999999</v>
      </c>
      <c r="BA219" s="5">
        <f t="shared" si="30"/>
        <v>42872811.879999995</v>
      </c>
      <c r="BB219" s="5">
        <f t="shared" si="30"/>
        <v>16132985.49</v>
      </c>
      <c r="BC219" s="5">
        <f t="shared" si="30"/>
        <v>35695386.410000004</v>
      </c>
      <c r="BD219" s="5">
        <f t="shared" si="30"/>
        <v>441845931.11000001</v>
      </c>
      <c r="BE219" s="5">
        <f t="shared" si="30"/>
        <v>14180630.129999999</v>
      </c>
      <c r="BF219" s="5">
        <f t="shared" si="30"/>
        <v>9115426.8300000001</v>
      </c>
      <c r="BG219" s="5">
        <f t="shared" si="30"/>
        <v>0</v>
      </c>
      <c r="BH219" s="5">
        <f>SUM(BH207:BH218)</f>
        <v>6516381596.8400002</v>
      </c>
    </row>
    <row r="220" spans="1:60" ht="15.75" thickTop="1" x14ac:dyDescent="0.2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</row>
    <row r="221" spans="1:60" x14ac:dyDescent="0.2">
      <c r="A221" s="3">
        <v>39814</v>
      </c>
      <c r="B221" s="4">
        <v>18894713.25</v>
      </c>
      <c r="C221" s="4">
        <v>1265528.72</v>
      </c>
      <c r="D221" s="4">
        <v>9471083.879999999</v>
      </c>
      <c r="E221" s="4">
        <v>2666229.63</v>
      </c>
      <c r="F221" s="4">
        <v>2383800.91</v>
      </c>
      <c r="G221" s="4">
        <v>3857107.9</v>
      </c>
      <c r="H221" s="4">
        <v>4325247.0199999996</v>
      </c>
      <c r="I221" s="4">
        <v>1260887.8799999999</v>
      </c>
      <c r="J221" s="4">
        <v>3521212.2199999997</v>
      </c>
      <c r="K221" s="4">
        <v>2206951.4500000002</v>
      </c>
      <c r="L221" s="4">
        <v>1906436.1300000001</v>
      </c>
      <c r="M221" s="4">
        <v>1324316.24</v>
      </c>
      <c r="N221" s="4">
        <v>11266718.549999999</v>
      </c>
      <c r="O221" s="4">
        <v>51956265.610000007</v>
      </c>
      <c r="P221" s="4">
        <v>1907404.9300000002</v>
      </c>
      <c r="Q221" s="4">
        <v>1462483.4400000002</v>
      </c>
      <c r="R221" s="4">
        <v>1281587.07</v>
      </c>
      <c r="S221" s="4">
        <v>2278983.83</v>
      </c>
      <c r="T221" s="4">
        <v>2085965.52</v>
      </c>
      <c r="U221" s="4">
        <v>138843.62</v>
      </c>
      <c r="V221" s="4">
        <v>1886750.54</v>
      </c>
      <c r="W221" s="4">
        <v>4471918.8599999994</v>
      </c>
      <c r="X221" s="4">
        <v>611958.86</v>
      </c>
      <c r="Y221" s="4">
        <v>1882117.9399999997</v>
      </c>
      <c r="Z221" s="4">
        <v>1572418.1400000001</v>
      </c>
      <c r="AA221" s="4">
        <v>32246486.619999997</v>
      </c>
      <c r="AB221" s="4">
        <v>1811105.95</v>
      </c>
      <c r="AC221" s="4">
        <v>80135625.469999999</v>
      </c>
      <c r="AD221" s="4">
        <v>7373131.7599999988</v>
      </c>
      <c r="AE221" s="4">
        <v>8797556.2300000004</v>
      </c>
      <c r="AF221" s="4">
        <v>22466124.530000001</v>
      </c>
      <c r="AG221" s="4">
        <v>5403814.6800000006</v>
      </c>
      <c r="AH221" s="4">
        <v>17142551.759999998</v>
      </c>
      <c r="AI221" s="4">
        <v>1053763.48</v>
      </c>
      <c r="AJ221" s="4">
        <v>2379911.34</v>
      </c>
      <c r="AK221" s="4">
        <v>2154918.3000000003</v>
      </c>
      <c r="AL221" s="4">
        <v>3611492.52</v>
      </c>
      <c r="AM221" s="4">
        <v>5251315.21</v>
      </c>
      <c r="AN221" s="4">
        <v>14436938.6</v>
      </c>
      <c r="AO221" s="4">
        <v>3247761.1300000004</v>
      </c>
      <c r="AP221" s="4">
        <v>7244529.4900000002</v>
      </c>
      <c r="AQ221" s="4">
        <v>6757729.3799999999</v>
      </c>
      <c r="AR221" s="4">
        <v>952931.25</v>
      </c>
      <c r="AS221" s="4">
        <v>515648.32000000007</v>
      </c>
      <c r="AT221" s="4">
        <v>1354620.88</v>
      </c>
      <c r="AU221" s="4">
        <v>3104463.5200000005</v>
      </c>
      <c r="AV221" s="4">
        <v>90650878.890000015</v>
      </c>
      <c r="AW221" s="4">
        <v>2412959.3899999997</v>
      </c>
      <c r="AX221" s="4">
        <v>1322608.1499999999</v>
      </c>
      <c r="AY221" s="4">
        <v>3409459.5</v>
      </c>
      <c r="AZ221" s="4">
        <v>7469334.7699999996</v>
      </c>
      <c r="BA221" s="4">
        <v>3087154.6999999997</v>
      </c>
      <c r="BB221" s="4">
        <v>1089733.81</v>
      </c>
      <c r="BC221" s="4">
        <v>2513776.7599999998</v>
      </c>
      <c r="BD221" s="4">
        <v>38092852.220000006</v>
      </c>
      <c r="BE221" s="4">
        <v>1031102.3300000001</v>
      </c>
      <c r="BF221" s="4">
        <v>573277.34</v>
      </c>
      <c r="BG221" s="4">
        <v>0</v>
      </c>
      <c r="BH221" s="4">
        <f>SUM(B221:BG221)</f>
        <v>514982490.41999984</v>
      </c>
    </row>
    <row r="222" spans="1:60" x14ac:dyDescent="0.2">
      <c r="A222" s="3">
        <v>39845</v>
      </c>
      <c r="B222" s="4">
        <v>15455026.620000001</v>
      </c>
      <c r="C222" s="4">
        <v>1001116.48</v>
      </c>
      <c r="D222" s="4">
        <v>7899427.3900000006</v>
      </c>
      <c r="E222" s="4">
        <v>2031032.0899999999</v>
      </c>
      <c r="F222" s="4">
        <v>1859264.9200000002</v>
      </c>
      <c r="G222" s="4">
        <v>3072058.4</v>
      </c>
      <c r="H222" s="4">
        <v>3590347.7399999998</v>
      </c>
      <c r="I222" s="4">
        <v>1036067.8899999999</v>
      </c>
      <c r="J222" s="4">
        <v>2900991.91</v>
      </c>
      <c r="K222" s="4">
        <v>1651079.96</v>
      </c>
      <c r="L222" s="4">
        <v>1506984.5699999998</v>
      </c>
      <c r="M222" s="4">
        <v>1051836.98</v>
      </c>
      <c r="N222" s="4">
        <v>8893420.1999999993</v>
      </c>
      <c r="O222" s="4">
        <v>42472425.829999998</v>
      </c>
      <c r="P222" s="4">
        <v>1258090.1399999999</v>
      </c>
      <c r="Q222" s="4">
        <v>1091877.8999999999</v>
      </c>
      <c r="R222" s="4">
        <v>938209.33000000007</v>
      </c>
      <c r="S222" s="4">
        <v>1823618.6700000002</v>
      </c>
      <c r="T222" s="4">
        <v>1550807.38</v>
      </c>
      <c r="U222" s="4">
        <v>95796.98000000001</v>
      </c>
      <c r="V222" s="4">
        <v>1411430.74</v>
      </c>
      <c r="W222" s="4">
        <v>3516546.69</v>
      </c>
      <c r="X222" s="4">
        <v>476607.3</v>
      </c>
      <c r="Y222" s="4">
        <v>1432087.73</v>
      </c>
      <c r="Z222" s="4">
        <v>1135972.1000000001</v>
      </c>
      <c r="AA222" s="4">
        <v>26514854.93</v>
      </c>
      <c r="AB222" s="4">
        <v>1406292.07</v>
      </c>
      <c r="AC222" s="4">
        <v>64489518.390000001</v>
      </c>
      <c r="AD222" s="4">
        <v>6029743.8599999994</v>
      </c>
      <c r="AE222" s="4">
        <v>7027412.2100000009</v>
      </c>
      <c r="AF222" s="4">
        <v>18076967.77</v>
      </c>
      <c r="AG222" s="4">
        <v>4405708.01</v>
      </c>
      <c r="AH222" s="4">
        <v>13852187.870000001</v>
      </c>
      <c r="AI222" s="4">
        <v>864959.33000000007</v>
      </c>
      <c r="AJ222" s="4">
        <v>1808769.6099999999</v>
      </c>
      <c r="AK222" s="4">
        <v>1811905.53</v>
      </c>
      <c r="AL222" s="4">
        <v>3141542.52</v>
      </c>
      <c r="AM222" s="4">
        <v>3970322.29</v>
      </c>
      <c r="AN222" s="4">
        <v>11758099.130000001</v>
      </c>
      <c r="AO222" s="4">
        <v>2509762.33</v>
      </c>
      <c r="AP222" s="4">
        <v>5800616.1500000004</v>
      </c>
      <c r="AQ222" s="4">
        <v>5369907.8599999994</v>
      </c>
      <c r="AR222" s="4">
        <v>719935.03</v>
      </c>
      <c r="AS222" s="4">
        <v>388276.79</v>
      </c>
      <c r="AT222" s="4">
        <v>1001265.6100000001</v>
      </c>
      <c r="AU222" s="4">
        <v>2395182.0299999998</v>
      </c>
      <c r="AV222" s="4">
        <v>72759673.879999995</v>
      </c>
      <c r="AW222" s="4">
        <v>1807554.41</v>
      </c>
      <c r="AX222" s="4">
        <v>1108137.44</v>
      </c>
      <c r="AY222" s="4">
        <v>2713474.2399999998</v>
      </c>
      <c r="AZ222" s="4">
        <v>5783221.5600000005</v>
      </c>
      <c r="BA222" s="4">
        <v>2437716.7599999998</v>
      </c>
      <c r="BB222" s="4">
        <v>870685.49</v>
      </c>
      <c r="BC222" s="4">
        <v>1980781.7</v>
      </c>
      <c r="BD222" s="4">
        <v>31170365.16</v>
      </c>
      <c r="BE222" s="4">
        <v>919157.99</v>
      </c>
      <c r="BF222" s="4">
        <v>415352.27</v>
      </c>
      <c r="BG222" s="4">
        <v>0</v>
      </c>
      <c r="BH222" s="4">
        <f t="shared" ref="BH222:BH232" si="31">SUM(B222:BG222)</f>
        <v>414461476.16000003</v>
      </c>
    </row>
    <row r="223" spans="1:60" x14ac:dyDescent="0.2">
      <c r="A223" s="3">
        <v>39873</v>
      </c>
      <c r="B223" s="4">
        <v>21310577.100000001</v>
      </c>
      <c r="C223" s="4">
        <v>1978734.76</v>
      </c>
      <c r="D223" s="4">
        <v>11326728.359999999</v>
      </c>
      <c r="E223" s="4">
        <v>3732028</v>
      </c>
      <c r="F223" s="4">
        <v>3181176.06</v>
      </c>
      <c r="G223" s="4">
        <v>5568867.0600000005</v>
      </c>
      <c r="H223" s="4">
        <v>5056494.07</v>
      </c>
      <c r="I223" s="4">
        <v>2099409.9500000002</v>
      </c>
      <c r="J223" s="4">
        <v>4453390.2299999995</v>
      </c>
      <c r="K223" s="4">
        <v>3150092.64</v>
      </c>
      <c r="L223" s="4">
        <v>2309271.0499999998</v>
      </c>
      <c r="M223" s="4">
        <v>1740976.33</v>
      </c>
      <c r="N223" s="4">
        <v>13973291.91</v>
      </c>
      <c r="O223" s="4">
        <v>64175331.909999996</v>
      </c>
      <c r="P223" s="4">
        <v>2141030.66</v>
      </c>
      <c r="Q223" s="4">
        <v>2039077.72</v>
      </c>
      <c r="R223" s="4">
        <v>1915519.01</v>
      </c>
      <c r="S223" s="4">
        <v>3710702.3099999996</v>
      </c>
      <c r="T223" s="4">
        <v>2741919.84</v>
      </c>
      <c r="U223" s="4">
        <v>254450.53</v>
      </c>
      <c r="V223" s="4">
        <v>2642391.59</v>
      </c>
      <c r="W223" s="4">
        <v>6075264.4199999999</v>
      </c>
      <c r="X223" s="4">
        <v>1027511.8300000001</v>
      </c>
      <c r="Y223" s="4">
        <v>2531284.69</v>
      </c>
      <c r="Z223" s="4">
        <v>2356833.0700000003</v>
      </c>
      <c r="AA223" s="4">
        <v>34359582.100000001</v>
      </c>
      <c r="AB223" s="4">
        <v>2479026.12</v>
      </c>
      <c r="AC223" s="4">
        <v>83282440.829999998</v>
      </c>
      <c r="AD223" s="4">
        <v>10305557.149999999</v>
      </c>
      <c r="AE223" s="4">
        <v>12342367.990000002</v>
      </c>
      <c r="AF223" s="4">
        <v>26709570.18</v>
      </c>
      <c r="AG223" s="4">
        <v>5817851.3000000007</v>
      </c>
      <c r="AH223" s="4">
        <v>21447371</v>
      </c>
      <c r="AI223" s="4">
        <v>1686970.81</v>
      </c>
      <c r="AJ223" s="4">
        <v>3868570.3899999997</v>
      </c>
      <c r="AK223" s="4">
        <v>3049638.7</v>
      </c>
      <c r="AL223" s="4">
        <v>3987196.91</v>
      </c>
      <c r="AM223" s="4">
        <v>7713803.5499999998</v>
      </c>
      <c r="AN223" s="4">
        <v>14878386.58</v>
      </c>
      <c r="AO223" s="4">
        <v>4169464.21</v>
      </c>
      <c r="AP223" s="4">
        <v>8009492.0099999998</v>
      </c>
      <c r="AQ223" s="4">
        <v>8869845.6099999994</v>
      </c>
      <c r="AR223" s="4">
        <v>1280886.42</v>
      </c>
      <c r="AS223" s="4">
        <v>1081411.21</v>
      </c>
      <c r="AT223" s="4">
        <v>2369419.65</v>
      </c>
      <c r="AU223" s="4">
        <v>3807973.6499999994</v>
      </c>
      <c r="AV223" s="4">
        <v>95493952.300000012</v>
      </c>
      <c r="AW223" s="4">
        <v>3367154.4699999997</v>
      </c>
      <c r="AX223" s="4">
        <v>3210894.49</v>
      </c>
      <c r="AY223" s="4">
        <v>4244738.0600000005</v>
      </c>
      <c r="AZ223" s="4">
        <v>9052603.3100000005</v>
      </c>
      <c r="BA223" s="4">
        <v>3729595.54</v>
      </c>
      <c r="BB223" s="4">
        <v>1841337.1</v>
      </c>
      <c r="BC223" s="4">
        <v>3764445.48</v>
      </c>
      <c r="BD223" s="4">
        <v>35454914.060000002</v>
      </c>
      <c r="BE223" s="4">
        <v>1588887.9500000002</v>
      </c>
      <c r="BF223" s="4">
        <v>966222.07000000007</v>
      </c>
      <c r="BG223" s="4">
        <v>0</v>
      </c>
      <c r="BH223" s="4">
        <f t="shared" si="31"/>
        <v>595723926.30000007</v>
      </c>
    </row>
    <row r="224" spans="1:60" x14ac:dyDescent="0.2">
      <c r="A224" s="3">
        <v>39904</v>
      </c>
      <c r="B224" s="4">
        <v>15794296.09</v>
      </c>
      <c r="C224" s="4">
        <v>1185765.74</v>
      </c>
      <c r="D224" s="4">
        <v>7214138.0499999998</v>
      </c>
      <c r="E224" s="4">
        <v>2116256.67</v>
      </c>
      <c r="F224" s="4">
        <v>2028268.43</v>
      </c>
      <c r="G224" s="4">
        <v>3298570.26</v>
      </c>
      <c r="H224" s="4">
        <v>3467824.3400000003</v>
      </c>
      <c r="I224" s="4">
        <v>1166634.33</v>
      </c>
      <c r="J224" s="4">
        <v>3097325.0200000005</v>
      </c>
      <c r="K224" s="4">
        <v>2071547.3699999999</v>
      </c>
      <c r="L224" s="4">
        <v>1588437.6500000001</v>
      </c>
      <c r="M224" s="4">
        <v>1244168.8599999999</v>
      </c>
      <c r="N224" s="4">
        <v>9990934.7300000004</v>
      </c>
      <c r="O224" s="4">
        <v>44031970.780000001</v>
      </c>
      <c r="P224" s="4">
        <v>1348881.1800000002</v>
      </c>
      <c r="Q224" s="4">
        <v>1231897.8400000001</v>
      </c>
      <c r="R224" s="4">
        <v>1135217.04</v>
      </c>
      <c r="S224" s="4">
        <v>2061454.86</v>
      </c>
      <c r="T224" s="4">
        <v>1718641.15</v>
      </c>
      <c r="U224" s="4">
        <v>110660.99</v>
      </c>
      <c r="V224" s="4">
        <v>1650718.35</v>
      </c>
      <c r="W224" s="4">
        <v>3976129.78</v>
      </c>
      <c r="X224" s="4">
        <v>558723.15</v>
      </c>
      <c r="Y224" s="4">
        <v>1606848.4400000002</v>
      </c>
      <c r="Z224" s="4">
        <v>1441666.34</v>
      </c>
      <c r="AA224" s="4">
        <v>27707653.390000001</v>
      </c>
      <c r="AB224" s="4">
        <v>1633036.8499999999</v>
      </c>
      <c r="AC224" s="4">
        <v>67443698.780000001</v>
      </c>
      <c r="AD224" s="4">
        <v>6564981.1400000006</v>
      </c>
      <c r="AE224" s="4">
        <v>7361253.9699999997</v>
      </c>
      <c r="AF224" s="4">
        <v>19227267.629999999</v>
      </c>
      <c r="AG224" s="4">
        <v>4334056.7699999996</v>
      </c>
      <c r="AH224" s="4">
        <v>14722981.760000002</v>
      </c>
      <c r="AI224" s="4">
        <v>890306.06</v>
      </c>
      <c r="AJ224" s="4">
        <v>2296408.86</v>
      </c>
      <c r="AK224" s="4">
        <v>2088628.39</v>
      </c>
      <c r="AL224" s="4">
        <v>3280563.5900000003</v>
      </c>
      <c r="AM224" s="4">
        <v>4598508.08</v>
      </c>
      <c r="AN224" s="4">
        <v>11901847.690000001</v>
      </c>
      <c r="AO224" s="4">
        <v>2593391.13</v>
      </c>
      <c r="AP224" s="4">
        <v>6283145.8499999996</v>
      </c>
      <c r="AQ224" s="4">
        <v>5865567.7199999997</v>
      </c>
      <c r="AR224" s="4">
        <v>835899.98999999987</v>
      </c>
      <c r="AS224" s="4">
        <v>514204.61000000004</v>
      </c>
      <c r="AT224" s="4">
        <v>1180581.81</v>
      </c>
      <c r="AU224" s="4">
        <v>2652389.2999999998</v>
      </c>
      <c r="AV224" s="4">
        <v>80563141.560000002</v>
      </c>
      <c r="AW224" s="4">
        <v>2136955.34</v>
      </c>
      <c r="AX224" s="4">
        <v>1203010.98</v>
      </c>
      <c r="AY224" s="4">
        <v>2777316.98</v>
      </c>
      <c r="AZ224" s="4">
        <v>6244872.5599999996</v>
      </c>
      <c r="BA224" s="4">
        <v>2753063.01</v>
      </c>
      <c r="BB224" s="4">
        <v>1105319.3500000001</v>
      </c>
      <c r="BC224" s="4">
        <v>2382809.7000000002</v>
      </c>
      <c r="BD224" s="4">
        <v>31111069.149999999</v>
      </c>
      <c r="BE224" s="4">
        <v>953042.76</v>
      </c>
      <c r="BF224" s="4">
        <v>524546.81000000006</v>
      </c>
      <c r="BG224" s="4">
        <v>0</v>
      </c>
      <c r="BH224" s="4">
        <f t="shared" si="31"/>
        <v>440868499.01000005</v>
      </c>
    </row>
    <row r="225" spans="1:60" x14ac:dyDescent="0.2">
      <c r="A225" s="3">
        <v>39934</v>
      </c>
      <c r="B225" s="4">
        <v>17538098.789999999</v>
      </c>
      <c r="C225" s="4">
        <v>1181213.8999999999</v>
      </c>
      <c r="D225" s="4">
        <v>7151004.4399999995</v>
      </c>
      <c r="E225" s="4">
        <v>2093534.87</v>
      </c>
      <c r="F225" s="4">
        <v>2066032.96</v>
      </c>
      <c r="G225" s="4">
        <v>3411754.73</v>
      </c>
      <c r="H225" s="4">
        <v>3519823.6300000004</v>
      </c>
      <c r="I225" s="4">
        <v>1171872.42</v>
      </c>
      <c r="J225" s="4">
        <v>3074882.5</v>
      </c>
      <c r="K225" s="4">
        <v>1870900.6700000002</v>
      </c>
      <c r="L225" s="4">
        <v>1603569.4699999997</v>
      </c>
      <c r="M225" s="4">
        <v>1250233</v>
      </c>
      <c r="N225" s="4">
        <v>10554684.41</v>
      </c>
      <c r="O225" s="4">
        <v>44680003.170000002</v>
      </c>
      <c r="P225" s="4">
        <v>1351213.48</v>
      </c>
      <c r="Q225" s="4">
        <v>1271427.92</v>
      </c>
      <c r="R225" s="4">
        <v>1147884.05</v>
      </c>
      <c r="S225" s="4">
        <v>2072614.96</v>
      </c>
      <c r="T225" s="4">
        <v>1646467.9000000001</v>
      </c>
      <c r="U225" s="4">
        <v>113900.85999999999</v>
      </c>
      <c r="V225" s="4">
        <v>1686737.03</v>
      </c>
      <c r="W225" s="4">
        <v>4000661.02</v>
      </c>
      <c r="X225" s="4">
        <v>575441.51</v>
      </c>
      <c r="Y225" s="4">
        <v>1615899.76</v>
      </c>
      <c r="Z225" s="4">
        <v>1374765.61</v>
      </c>
      <c r="AA225" s="4">
        <v>27989628.259999998</v>
      </c>
      <c r="AB225" s="4">
        <v>1652085.48</v>
      </c>
      <c r="AC225" s="4">
        <v>69180816.439999998</v>
      </c>
      <c r="AD225" s="4">
        <v>6977370.7200000007</v>
      </c>
      <c r="AE225" s="4">
        <v>7511312.4700000007</v>
      </c>
      <c r="AF225" s="4">
        <v>19268781.989999998</v>
      </c>
      <c r="AG225" s="4">
        <v>4348436.9300000006</v>
      </c>
      <c r="AH225" s="4">
        <v>15455827.160000002</v>
      </c>
      <c r="AI225" s="4">
        <v>889017.11</v>
      </c>
      <c r="AJ225" s="4">
        <v>2278747.79</v>
      </c>
      <c r="AK225" s="4">
        <v>2400828.1100000003</v>
      </c>
      <c r="AL225" s="4">
        <v>3278858.98</v>
      </c>
      <c r="AM225" s="4">
        <v>4520304.12</v>
      </c>
      <c r="AN225" s="4">
        <v>12485639.84</v>
      </c>
      <c r="AO225" s="4">
        <v>2635329.92</v>
      </c>
      <c r="AP225" s="4">
        <v>6429938.7699999996</v>
      </c>
      <c r="AQ225" s="4">
        <v>5940072.6800000006</v>
      </c>
      <c r="AR225" s="4">
        <v>839831.90999999992</v>
      </c>
      <c r="AS225" s="4">
        <v>492208.9</v>
      </c>
      <c r="AT225" s="4">
        <v>1176926.07</v>
      </c>
      <c r="AU225" s="4">
        <v>2694043.0300000003</v>
      </c>
      <c r="AV225" s="4">
        <v>80519938.859999999</v>
      </c>
      <c r="AW225" s="4">
        <v>2774034.4299999997</v>
      </c>
      <c r="AX225" s="4">
        <v>1166659.42</v>
      </c>
      <c r="AY225" s="4">
        <v>2924423.71</v>
      </c>
      <c r="AZ225" s="4">
        <v>6154762.1899999995</v>
      </c>
      <c r="BA225" s="4">
        <v>2819431.15</v>
      </c>
      <c r="BB225" s="4">
        <v>1099006.1800000002</v>
      </c>
      <c r="BC225" s="4">
        <v>2337957.5</v>
      </c>
      <c r="BD225" s="4">
        <v>31756718.369999997</v>
      </c>
      <c r="BE225" s="4">
        <v>946999.3</v>
      </c>
      <c r="BF225" s="4">
        <v>518238.38</v>
      </c>
      <c r="BG225" s="4">
        <v>0</v>
      </c>
      <c r="BH225" s="4">
        <f t="shared" si="31"/>
        <v>449488799.23000008</v>
      </c>
    </row>
    <row r="226" spans="1:60" x14ac:dyDescent="0.2">
      <c r="A226" s="3">
        <v>39965</v>
      </c>
      <c r="B226" s="4">
        <v>21882538.199999999</v>
      </c>
      <c r="C226" s="4">
        <v>1837269.09</v>
      </c>
      <c r="D226" s="4">
        <v>10748135.949999999</v>
      </c>
      <c r="E226" s="4">
        <v>3468152.38</v>
      </c>
      <c r="F226" s="4">
        <v>3420986.57</v>
      </c>
      <c r="G226" s="4">
        <v>5916384.5200000005</v>
      </c>
      <c r="H226" s="4">
        <v>6215322.8300000001</v>
      </c>
      <c r="I226" s="4">
        <v>1818794.9300000002</v>
      </c>
      <c r="J226" s="4">
        <v>5702896.5</v>
      </c>
      <c r="K226" s="4">
        <v>4047543.3600000003</v>
      </c>
      <c r="L226" s="4">
        <v>2485272.86</v>
      </c>
      <c r="M226" s="4">
        <v>1851743.41</v>
      </c>
      <c r="N226" s="4">
        <v>13410892.970000001</v>
      </c>
      <c r="O226" s="4">
        <v>69656031.700000003</v>
      </c>
      <c r="P226" s="4">
        <v>2314703.17</v>
      </c>
      <c r="Q226" s="4">
        <v>2197269.98</v>
      </c>
      <c r="R226" s="4">
        <v>1936610.5</v>
      </c>
      <c r="S226" s="4">
        <v>3928998.01</v>
      </c>
      <c r="T226" s="4">
        <v>2876560.39</v>
      </c>
      <c r="U226" s="4">
        <v>247106.58000000002</v>
      </c>
      <c r="V226" s="4">
        <v>3065915.4099999997</v>
      </c>
      <c r="W226" s="4">
        <v>6165680.1500000004</v>
      </c>
      <c r="X226" s="4">
        <v>1105187.67</v>
      </c>
      <c r="Y226" s="4">
        <v>2909415.57</v>
      </c>
      <c r="Z226" s="4">
        <v>2454506.0700000003</v>
      </c>
      <c r="AA226" s="4">
        <v>36799198.370000005</v>
      </c>
      <c r="AB226" s="4">
        <v>2688733.95</v>
      </c>
      <c r="AC226" s="4">
        <v>94823332.010000005</v>
      </c>
      <c r="AD226" s="4">
        <v>11558674.200000001</v>
      </c>
      <c r="AE226" s="4">
        <v>13415282.989999998</v>
      </c>
      <c r="AF226" s="4">
        <v>28348531.039999999</v>
      </c>
      <c r="AG226" s="4">
        <v>6454457.580000001</v>
      </c>
      <c r="AH226" s="4">
        <v>23372793.600000001</v>
      </c>
      <c r="AI226" s="4">
        <v>1447077.51</v>
      </c>
      <c r="AJ226" s="4">
        <v>4377732.1500000004</v>
      </c>
      <c r="AK226" s="4">
        <v>3405904.5500000003</v>
      </c>
      <c r="AL226" s="4">
        <v>4811773.79</v>
      </c>
      <c r="AM226" s="4">
        <v>7579610.2300000004</v>
      </c>
      <c r="AN226" s="4">
        <v>16991086.960000001</v>
      </c>
      <c r="AO226" s="4">
        <v>3971586.1899999995</v>
      </c>
      <c r="AP226" s="4">
        <v>9297555.290000001</v>
      </c>
      <c r="AQ226" s="4">
        <v>8386012.8399999999</v>
      </c>
      <c r="AR226" s="4">
        <v>1561708.06</v>
      </c>
      <c r="AS226" s="4">
        <v>971944.97000000009</v>
      </c>
      <c r="AT226" s="4">
        <v>3033701.97</v>
      </c>
      <c r="AU226" s="4">
        <v>4256707.07</v>
      </c>
      <c r="AV226" s="4">
        <v>103394535.41</v>
      </c>
      <c r="AW226" s="4">
        <v>4007543.96</v>
      </c>
      <c r="AX226" s="4">
        <v>1860971.63</v>
      </c>
      <c r="AY226" s="4">
        <v>4659734.16</v>
      </c>
      <c r="AZ226" s="4">
        <v>9775207.3499999996</v>
      </c>
      <c r="BA226" s="4">
        <v>4626624.25</v>
      </c>
      <c r="BB226" s="4">
        <v>2253639.9699999997</v>
      </c>
      <c r="BC226" s="4">
        <v>3630392.6799999997</v>
      </c>
      <c r="BD226" s="4">
        <v>38386277.159999996</v>
      </c>
      <c r="BE226" s="4">
        <v>1724673.6599999997</v>
      </c>
      <c r="BF226" s="4">
        <v>1120438.24</v>
      </c>
      <c r="BG226" s="4">
        <v>0</v>
      </c>
      <c r="BH226" s="4">
        <f t="shared" si="31"/>
        <v>644657362.55999994</v>
      </c>
    </row>
    <row r="227" spans="1:60" x14ac:dyDescent="0.2">
      <c r="A227" s="3">
        <v>39995</v>
      </c>
      <c r="B227" s="4">
        <v>16481618.09</v>
      </c>
      <c r="C227" s="4">
        <v>1090967.6200000001</v>
      </c>
      <c r="D227" s="4">
        <v>7577557.7300000004</v>
      </c>
      <c r="E227" s="4">
        <v>2242659.5299999998</v>
      </c>
      <c r="F227" s="4">
        <v>2117282.5499999998</v>
      </c>
      <c r="G227" s="4">
        <v>3657542.2699999996</v>
      </c>
      <c r="H227" s="4">
        <v>3664383.9400000004</v>
      </c>
      <c r="I227" s="4">
        <v>1212879.1200000001</v>
      </c>
      <c r="J227" s="4">
        <v>3554539.0599999996</v>
      </c>
      <c r="K227" s="4">
        <v>2113381.29</v>
      </c>
      <c r="L227" s="4">
        <v>1573560.25</v>
      </c>
      <c r="M227" s="4">
        <v>1347865.01</v>
      </c>
      <c r="N227" s="4">
        <v>10540288.609999999</v>
      </c>
      <c r="O227" s="4">
        <v>44725250.609999999</v>
      </c>
      <c r="P227" s="4">
        <v>1892337.89</v>
      </c>
      <c r="Q227" s="4">
        <v>1339859.8699999999</v>
      </c>
      <c r="R227" s="4">
        <v>1223198.54</v>
      </c>
      <c r="S227" s="4">
        <v>2668749.21</v>
      </c>
      <c r="T227" s="4">
        <v>1910927.5699999998</v>
      </c>
      <c r="U227" s="4">
        <v>213825.97999999998</v>
      </c>
      <c r="V227" s="4">
        <v>1869101.96</v>
      </c>
      <c r="W227" s="4">
        <v>4392647.5</v>
      </c>
      <c r="X227" s="4">
        <v>614258.53</v>
      </c>
      <c r="Y227" s="4">
        <v>1756548.5499999998</v>
      </c>
      <c r="Z227" s="4">
        <v>1487910.35</v>
      </c>
      <c r="AA227" s="4">
        <v>28534401.080000002</v>
      </c>
      <c r="AB227" s="4">
        <v>1715937.35</v>
      </c>
      <c r="AC227" s="4">
        <v>70943207.909999996</v>
      </c>
      <c r="AD227" s="4">
        <v>6773616</v>
      </c>
      <c r="AE227" s="4">
        <v>8033910.1399999997</v>
      </c>
      <c r="AF227" s="4">
        <v>21439135.739999998</v>
      </c>
      <c r="AG227" s="4">
        <v>4576533.3499999996</v>
      </c>
      <c r="AH227" s="4">
        <v>16047233.84</v>
      </c>
      <c r="AI227" s="4">
        <v>949255.66</v>
      </c>
      <c r="AJ227" s="4">
        <v>2482604.86</v>
      </c>
      <c r="AK227" s="4">
        <v>2494830.14</v>
      </c>
      <c r="AL227" s="4">
        <v>3465459.02</v>
      </c>
      <c r="AM227" s="4">
        <v>4536160.6100000003</v>
      </c>
      <c r="AN227" s="4">
        <v>11871510.27</v>
      </c>
      <c r="AO227" s="4">
        <v>2706963.02</v>
      </c>
      <c r="AP227" s="4">
        <v>7034266.0700000003</v>
      </c>
      <c r="AQ227" s="4">
        <v>6018454.8000000007</v>
      </c>
      <c r="AR227" s="4">
        <v>942384.91999999993</v>
      </c>
      <c r="AS227" s="4">
        <v>648837.95000000007</v>
      </c>
      <c r="AT227" s="4">
        <v>1343204.76</v>
      </c>
      <c r="AU227" s="4">
        <v>2934037.16</v>
      </c>
      <c r="AV227" s="4">
        <v>84180232.749999985</v>
      </c>
      <c r="AW227" s="4">
        <v>2796767.51</v>
      </c>
      <c r="AX227" s="4">
        <v>1131391.77</v>
      </c>
      <c r="AY227" s="4">
        <v>2856217.0300000003</v>
      </c>
      <c r="AZ227" s="4">
        <v>6679384.9100000001</v>
      </c>
      <c r="BA227" s="4">
        <v>4000961.4699999997</v>
      </c>
      <c r="BB227" s="4">
        <v>1243640.1000000001</v>
      </c>
      <c r="BC227" s="4">
        <v>2432087.73</v>
      </c>
      <c r="BD227" s="4">
        <v>31249530.490000002</v>
      </c>
      <c r="BE227" s="4">
        <v>1036835.21</v>
      </c>
      <c r="BF227" s="4">
        <v>597894</v>
      </c>
      <c r="BG227" s="4">
        <v>0</v>
      </c>
      <c r="BH227" s="4">
        <f t="shared" si="31"/>
        <v>464966029.25</v>
      </c>
    </row>
    <row r="228" spans="1:60" x14ac:dyDescent="0.2">
      <c r="A228" s="3">
        <v>40026</v>
      </c>
      <c r="B228" s="4">
        <v>17033365.59</v>
      </c>
      <c r="C228" s="4">
        <v>1164685.8199999998</v>
      </c>
      <c r="D228" s="4">
        <v>7759555.9799999995</v>
      </c>
      <c r="E228" s="4">
        <v>2234707.38</v>
      </c>
      <c r="F228" s="4">
        <v>2217092.16</v>
      </c>
      <c r="G228" s="4">
        <v>3803450.2800000003</v>
      </c>
      <c r="H228" s="4">
        <v>3734883.52</v>
      </c>
      <c r="I228" s="4">
        <v>1234043.7</v>
      </c>
      <c r="J228" s="4">
        <v>3621941.9600000004</v>
      </c>
      <c r="K228" s="4">
        <v>2115963.36</v>
      </c>
      <c r="L228" s="4">
        <v>1638503.66</v>
      </c>
      <c r="M228" s="4">
        <v>1375658.2</v>
      </c>
      <c r="N228" s="4">
        <v>10741362.920000002</v>
      </c>
      <c r="O228" s="4">
        <v>47511843.210000001</v>
      </c>
      <c r="P228" s="4">
        <v>1904316.46</v>
      </c>
      <c r="Q228" s="4">
        <v>1412998.14</v>
      </c>
      <c r="R228" s="4">
        <v>1294476.21</v>
      </c>
      <c r="S228" s="4">
        <v>2698018.37</v>
      </c>
      <c r="T228" s="4">
        <v>1929399.8900000001</v>
      </c>
      <c r="U228" s="4">
        <v>202127.66000000003</v>
      </c>
      <c r="V228" s="4">
        <v>1937975.6400000004</v>
      </c>
      <c r="W228" s="4">
        <v>4632781.7</v>
      </c>
      <c r="X228" s="4">
        <v>652612.6</v>
      </c>
      <c r="Y228" s="4">
        <v>1834298.72</v>
      </c>
      <c r="Z228" s="4">
        <v>1538279.0599999998</v>
      </c>
      <c r="AA228" s="4">
        <v>29152813.450000003</v>
      </c>
      <c r="AB228" s="4">
        <v>1797425.9100000001</v>
      </c>
      <c r="AC228" s="4">
        <v>73872941.920000002</v>
      </c>
      <c r="AD228" s="4">
        <v>7087538.8700000001</v>
      </c>
      <c r="AE228" s="4">
        <v>8253543.1000000006</v>
      </c>
      <c r="AF228" s="4">
        <v>21551683.729999997</v>
      </c>
      <c r="AG228" s="4">
        <v>4748467.42</v>
      </c>
      <c r="AH228" s="4">
        <v>16182326.210000001</v>
      </c>
      <c r="AI228" s="4">
        <v>958063.21</v>
      </c>
      <c r="AJ228" s="4">
        <v>2573518.02</v>
      </c>
      <c r="AK228" s="4">
        <v>2608569.38</v>
      </c>
      <c r="AL228" s="4">
        <v>3574768.3800000004</v>
      </c>
      <c r="AM228" s="4">
        <v>4733954.26</v>
      </c>
      <c r="AN228" s="4">
        <v>11946683.83</v>
      </c>
      <c r="AO228" s="4">
        <v>2837422.56</v>
      </c>
      <c r="AP228" s="4">
        <v>7241105.169999999</v>
      </c>
      <c r="AQ228" s="4">
        <v>6179457.2699999996</v>
      </c>
      <c r="AR228" s="4">
        <v>938853.52</v>
      </c>
      <c r="AS228" s="4">
        <v>680164.28</v>
      </c>
      <c r="AT228" s="4">
        <v>1383600.3</v>
      </c>
      <c r="AU228" s="4">
        <v>3054708.7199999997</v>
      </c>
      <c r="AV228" s="4">
        <v>88038784.780000001</v>
      </c>
      <c r="AW228" s="4">
        <v>2850073.88</v>
      </c>
      <c r="AX228" s="4">
        <v>1415897.97</v>
      </c>
      <c r="AY228" s="4">
        <v>2976883.2199999997</v>
      </c>
      <c r="AZ228" s="4">
        <v>6909257.1799999988</v>
      </c>
      <c r="BA228" s="4">
        <v>4076749.54</v>
      </c>
      <c r="BB228" s="4">
        <v>1303881</v>
      </c>
      <c r="BC228" s="4">
        <v>2518374.35</v>
      </c>
      <c r="BD228" s="4">
        <v>31960840.82</v>
      </c>
      <c r="BE228" s="4">
        <v>1044338.02</v>
      </c>
      <c r="BF228" s="4">
        <v>639531.12</v>
      </c>
      <c r="BG228" s="4">
        <v>0</v>
      </c>
      <c r="BH228" s="4">
        <f t="shared" si="31"/>
        <v>481316563.57999998</v>
      </c>
    </row>
    <row r="229" spans="1:60" x14ac:dyDescent="0.2">
      <c r="A229" s="3">
        <v>40057</v>
      </c>
      <c r="B229" s="4">
        <v>20279002.270000003</v>
      </c>
      <c r="C229" s="4">
        <v>2282600.42</v>
      </c>
      <c r="D229" s="4">
        <v>10801343.100000001</v>
      </c>
      <c r="E229" s="4">
        <v>3990414.42</v>
      </c>
      <c r="F229" s="4">
        <v>3545535.0999999996</v>
      </c>
      <c r="G229" s="4">
        <v>6939082.9499999993</v>
      </c>
      <c r="H229" s="4">
        <v>4962834.25</v>
      </c>
      <c r="I229" s="4">
        <v>2077929.2999999998</v>
      </c>
      <c r="J229" s="4">
        <v>5008116.0200000005</v>
      </c>
      <c r="K229" s="4">
        <v>3458149.67</v>
      </c>
      <c r="L229" s="4">
        <v>2634043.21</v>
      </c>
      <c r="M229" s="4">
        <v>2229803.46</v>
      </c>
      <c r="N229" s="4">
        <v>14515467.32</v>
      </c>
      <c r="O229" s="4">
        <v>69745776.25</v>
      </c>
      <c r="P229" s="4">
        <v>2838369</v>
      </c>
      <c r="Q229" s="4">
        <v>2049658.1599999997</v>
      </c>
      <c r="R229" s="4">
        <v>1912569.17</v>
      </c>
      <c r="S229" s="4">
        <v>3501155.19</v>
      </c>
      <c r="T229" s="4">
        <v>2704466.9299999997</v>
      </c>
      <c r="U229" s="4">
        <v>590596.18999999994</v>
      </c>
      <c r="V229" s="4">
        <v>3664730.79</v>
      </c>
      <c r="W229" s="4">
        <v>7523901.4499999993</v>
      </c>
      <c r="X229" s="4">
        <v>1155550.4000000001</v>
      </c>
      <c r="Y229" s="4">
        <v>2984098.42</v>
      </c>
      <c r="Z229" s="4">
        <v>2695908.09</v>
      </c>
      <c r="AA229" s="4">
        <v>43758604.380000003</v>
      </c>
      <c r="AB229" s="4">
        <v>2549506.9500000002</v>
      </c>
      <c r="AC229" s="4">
        <v>102165383.5</v>
      </c>
      <c r="AD229" s="4">
        <v>10885129.379999999</v>
      </c>
      <c r="AE229" s="4">
        <v>14702261.059999999</v>
      </c>
      <c r="AF229" s="4">
        <v>29291017.900000002</v>
      </c>
      <c r="AG229" s="4">
        <v>7436358.4100000001</v>
      </c>
      <c r="AH229" s="4">
        <v>22003230.550000001</v>
      </c>
      <c r="AI229" s="4">
        <v>1614632.48</v>
      </c>
      <c r="AJ229" s="4">
        <v>4616167.1500000004</v>
      </c>
      <c r="AK229" s="4">
        <v>3815585.21</v>
      </c>
      <c r="AL229" s="4">
        <v>5045964.53</v>
      </c>
      <c r="AM229" s="4">
        <v>6973887.2299999995</v>
      </c>
      <c r="AN229" s="4">
        <v>17852108.879999999</v>
      </c>
      <c r="AO229" s="4">
        <v>3952129.9</v>
      </c>
      <c r="AP229" s="4">
        <v>9505286.129999999</v>
      </c>
      <c r="AQ229" s="4">
        <v>7377768.4499999993</v>
      </c>
      <c r="AR229" s="4">
        <v>1375708.3900000001</v>
      </c>
      <c r="AS229" s="4">
        <v>1588956.11</v>
      </c>
      <c r="AT229" s="4">
        <v>2958415.4899999998</v>
      </c>
      <c r="AU229" s="4">
        <v>4754524.42</v>
      </c>
      <c r="AV229" s="4">
        <v>114360410.5</v>
      </c>
      <c r="AW229" s="4">
        <v>3982935.1900000004</v>
      </c>
      <c r="AX229" s="4">
        <v>2327127.62</v>
      </c>
      <c r="AY229" s="4">
        <v>5131382.51</v>
      </c>
      <c r="AZ229" s="4">
        <v>10838684.67</v>
      </c>
      <c r="BA229" s="4">
        <v>4727979.9000000004</v>
      </c>
      <c r="BB229" s="4">
        <v>1559078.06</v>
      </c>
      <c r="BC229" s="4">
        <v>4329858.34</v>
      </c>
      <c r="BD229" s="4">
        <v>41564454.030000001</v>
      </c>
      <c r="BE229" s="4">
        <v>1780601.29</v>
      </c>
      <c r="BF229" s="4">
        <v>1472084.67</v>
      </c>
      <c r="BG229" s="4">
        <v>0</v>
      </c>
      <c r="BH229" s="4">
        <f t="shared" si="31"/>
        <v>680388324.80999982</v>
      </c>
    </row>
    <row r="230" spans="1:60" x14ac:dyDescent="0.2">
      <c r="A230" s="3">
        <v>40087</v>
      </c>
      <c r="B230" s="4">
        <v>17236674.719999999</v>
      </c>
      <c r="C230" s="4">
        <v>1151777.23</v>
      </c>
      <c r="D230" s="4">
        <v>7893191.5499999998</v>
      </c>
      <c r="E230" s="4">
        <v>2325133</v>
      </c>
      <c r="F230" s="4">
        <v>2130930.94</v>
      </c>
      <c r="G230" s="4">
        <v>3594879.61</v>
      </c>
      <c r="H230" s="4">
        <v>3837517.7500000005</v>
      </c>
      <c r="I230" s="4">
        <v>1192553.04</v>
      </c>
      <c r="J230" s="4">
        <v>3425324.52</v>
      </c>
      <c r="K230" s="4">
        <v>2107095.14</v>
      </c>
      <c r="L230" s="4">
        <v>1628557.7899999998</v>
      </c>
      <c r="M230" s="4">
        <v>1334712.6099999999</v>
      </c>
      <c r="N230" s="4">
        <v>10728233.32</v>
      </c>
      <c r="O230" s="4">
        <v>46234988.43</v>
      </c>
      <c r="P230" s="4">
        <v>1567821.87</v>
      </c>
      <c r="Q230" s="4">
        <v>1321917.1299999999</v>
      </c>
      <c r="R230" s="4">
        <v>1199870.6499999999</v>
      </c>
      <c r="S230" s="4">
        <v>2361037.15</v>
      </c>
      <c r="T230" s="4">
        <v>1761760.6800000002</v>
      </c>
      <c r="U230" s="4">
        <v>128046.14</v>
      </c>
      <c r="V230" s="4">
        <v>1823335.4500000002</v>
      </c>
      <c r="W230" s="4">
        <v>4505806.68</v>
      </c>
      <c r="X230" s="4">
        <v>647580.63</v>
      </c>
      <c r="Y230" s="4">
        <v>1790945.05</v>
      </c>
      <c r="Z230" s="4">
        <v>1480117.11</v>
      </c>
      <c r="AA230" s="4">
        <v>29064848.460000001</v>
      </c>
      <c r="AB230" s="4">
        <v>1781776.5999999999</v>
      </c>
      <c r="AC230" s="4">
        <v>73019739.829999998</v>
      </c>
      <c r="AD230" s="4">
        <v>6937511.1900000004</v>
      </c>
      <c r="AE230" s="4">
        <v>8360592.5099999998</v>
      </c>
      <c r="AF230" s="4">
        <v>21393824.899999999</v>
      </c>
      <c r="AG230" s="4">
        <v>5219605.879999999</v>
      </c>
      <c r="AH230" s="4">
        <v>16177414.32</v>
      </c>
      <c r="AI230" s="4">
        <v>924696.46000000008</v>
      </c>
      <c r="AJ230" s="4">
        <v>2594738.0599999996</v>
      </c>
      <c r="AK230" s="4">
        <v>2309723.35</v>
      </c>
      <c r="AL230" s="4">
        <v>3386902.0700000003</v>
      </c>
      <c r="AM230" s="4">
        <v>4901375.75</v>
      </c>
      <c r="AN230" s="4">
        <v>11691503.170000002</v>
      </c>
      <c r="AO230" s="4">
        <v>2869935.08</v>
      </c>
      <c r="AP230" s="4">
        <v>6794543.5700000003</v>
      </c>
      <c r="AQ230" s="4">
        <v>6012580.5899999999</v>
      </c>
      <c r="AR230" s="4">
        <v>938610.79</v>
      </c>
      <c r="AS230" s="4">
        <v>545929.01</v>
      </c>
      <c r="AT230" s="4">
        <v>1449730.1399999997</v>
      </c>
      <c r="AU230" s="4">
        <v>2883331.3800000004</v>
      </c>
      <c r="AV230" s="4">
        <v>80623390.469999999</v>
      </c>
      <c r="AW230" s="4">
        <v>2311346.5100000002</v>
      </c>
      <c r="AX230" s="4">
        <v>1170684.6399999999</v>
      </c>
      <c r="AY230" s="4">
        <v>3031798.6599999997</v>
      </c>
      <c r="AZ230" s="4">
        <v>6715448.4000000004</v>
      </c>
      <c r="BA230" s="4">
        <v>3092759.52</v>
      </c>
      <c r="BB230" s="4">
        <v>1188502.5699999998</v>
      </c>
      <c r="BC230" s="4">
        <v>2442825.5700000003</v>
      </c>
      <c r="BD230" s="4">
        <v>33235000.059999999</v>
      </c>
      <c r="BE230" s="4">
        <v>987812.2</v>
      </c>
      <c r="BF230" s="4">
        <v>582780.38</v>
      </c>
      <c r="BG230" s="4">
        <v>0</v>
      </c>
      <c r="BH230" s="4">
        <f t="shared" si="31"/>
        <v>468051070.27999991</v>
      </c>
    </row>
    <row r="231" spans="1:60" x14ac:dyDescent="0.2">
      <c r="A231" s="3">
        <v>40118</v>
      </c>
      <c r="B231" s="4">
        <v>17124555.329999998</v>
      </c>
      <c r="C231" s="4">
        <v>1083699.92</v>
      </c>
      <c r="D231" s="4">
        <v>7519562.9899999993</v>
      </c>
      <c r="E231" s="4">
        <v>2262258.4300000002</v>
      </c>
      <c r="F231" s="4">
        <v>2031492.0699999998</v>
      </c>
      <c r="G231" s="4">
        <v>3415187.54</v>
      </c>
      <c r="H231" s="4">
        <v>3699456.65</v>
      </c>
      <c r="I231" s="4">
        <v>1156801.17</v>
      </c>
      <c r="J231" s="4">
        <v>3335022.2199999997</v>
      </c>
      <c r="K231" s="4">
        <v>1994013.41</v>
      </c>
      <c r="L231" s="4">
        <v>1600404.4800000002</v>
      </c>
      <c r="M231" s="4">
        <v>1270014.6399999999</v>
      </c>
      <c r="N231" s="4">
        <v>10383575.84</v>
      </c>
      <c r="O231" s="4">
        <v>45746359.040000007</v>
      </c>
      <c r="P231" s="4">
        <v>1542124.6300000001</v>
      </c>
      <c r="Q231" s="4">
        <v>1288654.1200000001</v>
      </c>
      <c r="R231" s="4">
        <v>1232085.05</v>
      </c>
      <c r="S231" s="4">
        <v>2291238.0499999998</v>
      </c>
      <c r="T231" s="4">
        <v>1687907.96</v>
      </c>
      <c r="U231" s="4">
        <v>137415.51999999999</v>
      </c>
      <c r="V231" s="4">
        <v>1747357.49</v>
      </c>
      <c r="W231" s="4">
        <v>4400844.25</v>
      </c>
      <c r="X231" s="4">
        <v>576305.07000000007</v>
      </c>
      <c r="Y231" s="4">
        <v>1683277.5699999998</v>
      </c>
      <c r="Z231" s="4">
        <v>1431456.9399999997</v>
      </c>
      <c r="AA231" s="4">
        <v>28581676.84</v>
      </c>
      <c r="AB231" s="4">
        <v>1725099.9</v>
      </c>
      <c r="AC231" s="4">
        <v>71699896.950000003</v>
      </c>
      <c r="AD231" s="4">
        <v>6894165.3999999994</v>
      </c>
      <c r="AE231" s="4">
        <v>8168605.1100000003</v>
      </c>
      <c r="AF231" s="4">
        <v>20797840.740000002</v>
      </c>
      <c r="AG231" s="4">
        <v>5139015.6100000003</v>
      </c>
      <c r="AH231" s="4">
        <v>15806546.450000001</v>
      </c>
      <c r="AI231" s="4">
        <v>913321.97000000009</v>
      </c>
      <c r="AJ231" s="4">
        <v>2552582.8899999997</v>
      </c>
      <c r="AK231" s="4">
        <v>2143276.5099999998</v>
      </c>
      <c r="AL231" s="4">
        <v>3260765.52</v>
      </c>
      <c r="AM231" s="4">
        <v>4622143.1900000004</v>
      </c>
      <c r="AN231" s="4">
        <v>11761391.75</v>
      </c>
      <c r="AO231" s="4">
        <v>2766528.6100000003</v>
      </c>
      <c r="AP231" s="4">
        <v>6759157.6400000006</v>
      </c>
      <c r="AQ231" s="4">
        <v>5940321.1299999999</v>
      </c>
      <c r="AR231" s="4">
        <v>906490.17999999993</v>
      </c>
      <c r="AS231" s="4">
        <v>522699.55</v>
      </c>
      <c r="AT231" s="4">
        <v>1414965.09</v>
      </c>
      <c r="AU231" s="4">
        <v>2808874.28</v>
      </c>
      <c r="AV231" s="4">
        <v>78375075.030000001</v>
      </c>
      <c r="AW231" s="4">
        <v>2275938.7000000002</v>
      </c>
      <c r="AX231" s="4">
        <v>1129821.03</v>
      </c>
      <c r="AY231" s="4">
        <v>2985293.47</v>
      </c>
      <c r="AZ231" s="4">
        <v>6609100.4800000004</v>
      </c>
      <c r="BA231" s="4">
        <v>3051132.63</v>
      </c>
      <c r="BB231" s="4">
        <v>1171312.9300000002</v>
      </c>
      <c r="BC231" s="4">
        <v>2849268.14</v>
      </c>
      <c r="BD231" s="4">
        <v>31525664.090000004</v>
      </c>
      <c r="BE231" s="4">
        <v>948217.46000000008</v>
      </c>
      <c r="BF231" s="4">
        <v>544512.82000000007</v>
      </c>
      <c r="BG231" s="4">
        <v>0</v>
      </c>
      <c r="BH231" s="4">
        <f t="shared" si="31"/>
        <v>457291772.47000003</v>
      </c>
    </row>
    <row r="232" spans="1:60" x14ac:dyDescent="0.2">
      <c r="A232" s="3">
        <v>40148</v>
      </c>
      <c r="B232" s="4">
        <v>19839625.580000002</v>
      </c>
      <c r="C232" s="4">
        <v>1988738.19</v>
      </c>
      <c r="D232" s="4">
        <v>9809091.1099999994</v>
      </c>
      <c r="E232" s="4">
        <v>3323361.65</v>
      </c>
      <c r="F232" s="4">
        <v>2862532.83</v>
      </c>
      <c r="G232" s="4">
        <v>5713393.6299999999</v>
      </c>
      <c r="H232" s="4">
        <v>4790205.57</v>
      </c>
      <c r="I232" s="4">
        <v>1756655.78</v>
      </c>
      <c r="J232" s="4">
        <v>3799197.7</v>
      </c>
      <c r="K232" s="4">
        <v>2806285.39</v>
      </c>
      <c r="L232" s="4">
        <v>2396559.85</v>
      </c>
      <c r="M232" s="4">
        <v>1950565.75</v>
      </c>
      <c r="N232" s="4">
        <v>14711723.240000002</v>
      </c>
      <c r="O232" s="4">
        <v>63723644.729999989</v>
      </c>
      <c r="P232" s="4">
        <v>2051557.94</v>
      </c>
      <c r="Q232" s="4">
        <v>1798034.2199999997</v>
      </c>
      <c r="R232" s="4">
        <v>1496477.06</v>
      </c>
      <c r="S232" s="4">
        <v>2687938.58</v>
      </c>
      <c r="T232" s="4">
        <v>2406944.84</v>
      </c>
      <c r="U232" s="4">
        <v>229301.47</v>
      </c>
      <c r="V232" s="4">
        <v>2259993.41</v>
      </c>
      <c r="W232" s="4">
        <v>6691741.1999999993</v>
      </c>
      <c r="X232" s="4">
        <v>926249.85999999987</v>
      </c>
      <c r="Y232" s="4">
        <v>2172983.35</v>
      </c>
      <c r="Z232" s="4">
        <v>2011705.8599999999</v>
      </c>
      <c r="AA232" s="4">
        <v>40953109.439999998</v>
      </c>
      <c r="AB232" s="4">
        <v>1861195.78</v>
      </c>
      <c r="AC232" s="4">
        <v>98478274.370000005</v>
      </c>
      <c r="AD232" s="4">
        <v>9189534.4800000004</v>
      </c>
      <c r="AE232" s="4">
        <v>10725686.66</v>
      </c>
      <c r="AF232" s="4">
        <v>29218488.490000002</v>
      </c>
      <c r="AG232" s="4">
        <v>6570150.1899999995</v>
      </c>
      <c r="AH232" s="4">
        <v>21694159.07</v>
      </c>
      <c r="AI232" s="4">
        <v>1203183.47</v>
      </c>
      <c r="AJ232" s="4">
        <v>3368669.7</v>
      </c>
      <c r="AK232" s="4">
        <v>3105920.01</v>
      </c>
      <c r="AL232" s="4">
        <v>5057255.09</v>
      </c>
      <c r="AM232" s="4">
        <v>5971219.04</v>
      </c>
      <c r="AN232" s="4">
        <v>16556874.659999998</v>
      </c>
      <c r="AO232" s="4">
        <v>3371201.94</v>
      </c>
      <c r="AP232" s="4">
        <v>8472636.6099999994</v>
      </c>
      <c r="AQ232" s="4">
        <v>7469585.2299999986</v>
      </c>
      <c r="AR232" s="4">
        <v>1105782.52</v>
      </c>
      <c r="AS232" s="4">
        <v>801736.03</v>
      </c>
      <c r="AT232" s="4">
        <v>1900684.38</v>
      </c>
      <c r="AU232" s="4">
        <v>3735033.16</v>
      </c>
      <c r="AV232" s="4">
        <v>100052695.69</v>
      </c>
      <c r="AW232" s="4">
        <v>2700941.71</v>
      </c>
      <c r="AX232" s="4">
        <v>1600339.01</v>
      </c>
      <c r="AY232" s="4">
        <v>4273180.42</v>
      </c>
      <c r="AZ232" s="4">
        <v>9178019.7799999993</v>
      </c>
      <c r="BA232" s="4">
        <v>3652152.59</v>
      </c>
      <c r="BB232" s="4">
        <v>1260991.1099999999</v>
      </c>
      <c r="BC232" s="4">
        <v>3623120.3499999996</v>
      </c>
      <c r="BD232" s="4">
        <v>39605568.990000002</v>
      </c>
      <c r="BE232" s="4">
        <v>1252427.48</v>
      </c>
      <c r="BF232" s="4">
        <v>1031143.6000000001</v>
      </c>
      <c r="BG232" s="4">
        <v>0</v>
      </c>
      <c r="BH232" s="4">
        <f t="shared" si="31"/>
        <v>613245469.84000015</v>
      </c>
    </row>
    <row r="233" spans="1:60" ht="15.75" thickBot="1" x14ac:dyDescent="0.25">
      <c r="A233" s="3" t="s">
        <v>153</v>
      </c>
      <c r="B233" s="5">
        <f t="shared" ref="B233:AG233" si="32">SUM(B221:B232)</f>
        <v>218870091.63000003</v>
      </c>
      <c r="C233" s="5">
        <f t="shared" si="32"/>
        <v>17212097.890000001</v>
      </c>
      <c r="D233" s="5">
        <f t="shared" si="32"/>
        <v>105170820.52999999</v>
      </c>
      <c r="E233" s="5">
        <f t="shared" si="32"/>
        <v>32485768.049999997</v>
      </c>
      <c r="F233" s="5">
        <f t="shared" si="32"/>
        <v>29844395.500000007</v>
      </c>
      <c r="G233" s="5">
        <f t="shared" si="32"/>
        <v>52248279.149999999</v>
      </c>
      <c r="H233" s="5">
        <f t="shared" si="32"/>
        <v>50864341.310000002</v>
      </c>
      <c r="I233" s="5">
        <f t="shared" si="32"/>
        <v>17184529.509999998</v>
      </c>
      <c r="J233" s="5">
        <f t="shared" si="32"/>
        <v>45494839.860000007</v>
      </c>
      <c r="K233" s="5">
        <f t="shared" si="32"/>
        <v>29593003.709999997</v>
      </c>
      <c r="L233" s="5">
        <f t="shared" si="32"/>
        <v>22871600.970000003</v>
      </c>
      <c r="M233" s="5">
        <f t="shared" si="32"/>
        <v>17971894.489999998</v>
      </c>
      <c r="N233" s="5">
        <f t="shared" si="32"/>
        <v>139710594.02000001</v>
      </c>
      <c r="O233" s="5">
        <f t="shared" si="32"/>
        <v>634659891.26999998</v>
      </c>
      <c r="P233" s="5">
        <f t="shared" si="32"/>
        <v>22117851.350000001</v>
      </c>
      <c r="Q233" s="5">
        <f t="shared" si="32"/>
        <v>18505156.439999998</v>
      </c>
      <c r="R233" s="5">
        <f t="shared" si="32"/>
        <v>16713703.680000002</v>
      </c>
      <c r="S233" s="5">
        <f t="shared" si="32"/>
        <v>32084509.189999998</v>
      </c>
      <c r="T233" s="5">
        <f t="shared" si="32"/>
        <v>25021770.050000001</v>
      </c>
      <c r="U233" s="5">
        <f t="shared" si="32"/>
        <v>2462072.52</v>
      </c>
      <c r="V233" s="5">
        <f t="shared" si="32"/>
        <v>25646438.399999999</v>
      </c>
      <c r="W233" s="5">
        <f t="shared" si="32"/>
        <v>60353923.700000003</v>
      </c>
      <c r="X233" s="5">
        <f t="shared" si="32"/>
        <v>8927987.4100000001</v>
      </c>
      <c r="Y233" s="5">
        <f t="shared" si="32"/>
        <v>24199805.790000003</v>
      </c>
      <c r="Z233" s="5">
        <f t="shared" si="32"/>
        <v>20981538.740000002</v>
      </c>
      <c r="AA233" s="5">
        <f t="shared" si="32"/>
        <v>385662857.31999999</v>
      </c>
      <c r="AB233" s="5">
        <f t="shared" si="32"/>
        <v>23101222.910000004</v>
      </c>
      <c r="AC233" s="5">
        <f t="shared" si="32"/>
        <v>949534876.4000001</v>
      </c>
      <c r="AD233" s="5">
        <f t="shared" si="32"/>
        <v>96576954.150000006</v>
      </c>
      <c r="AE233" s="5">
        <f t="shared" si="32"/>
        <v>114699784.44</v>
      </c>
      <c r="AF233" s="5">
        <f t="shared" si="32"/>
        <v>277789234.63999999</v>
      </c>
      <c r="AG233" s="5">
        <f t="shared" si="32"/>
        <v>64454456.129999995</v>
      </c>
      <c r="AH233" s="5">
        <f t="shared" ref="AH233:BG233" si="33">SUM(AH221:AH232)</f>
        <v>213904623.59</v>
      </c>
      <c r="AI233" s="5">
        <f t="shared" si="33"/>
        <v>13395247.550000003</v>
      </c>
      <c r="AJ233" s="5">
        <f t="shared" si="33"/>
        <v>35198420.82</v>
      </c>
      <c r="AK233" s="5">
        <f t="shared" si="33"/>
        <v>31389728.18</v>
      </c>
      <c r="AL233" s="5">
        <f t="shared" si="33"/>
        <v>45902542.920000002</v>
      </c>
      <c r="AM233" s="5">
        <f t="shared" si="33"/>
        <v>65372603.559999995</v>
      </c>
      <c r="AN233" s="5">
        <f t="shared" si="33"/>
        <v>164132071.35999998</v>
      </c>
      <c r="AO233" s="5">
        <f t="shared" si="33"/>
        <v>37631476.019999996</v>
      </c>
      <c r="AP233" s="5">
        <f t="shared" si="33"/>
        <v>88872272.75</v>
      </c>
      <c r="AQ233" s="5">
        <f t="shared" si="33"/>
        <v>80187303.560000002</v>
      </c>
      <c r="AR233" s="5">
        <f t="shared" si="33"/>
        <v>12399022.98</v>
      </c>
      <c r="AS233" s="5">
        <f t="shared" si="33"/>
        <v>8752017.7300000004</v>
      </c>
      <c r="AT233" s="5">
        <f t="shared" si="33"/>
        <v>20567116.150000002</v>
      </c>
      <c r="AU233" s="5">
        <f t="shared" si="33"/>
        <v>39081267.719999999</v>
      </c>
      <c r="AV233" s="5">
        <f t="shared" si="33"/>
        <v>1069012710.1199999</v>
      </c>
      <c r="AW233" s="5">
        <f t="shared" si="33"/>
        <v>33424205.5</v>
      </c>
      <c r="AX233" s="5">
        <f t="shared" si="33"/>
        <v>18647544.150000002</v>
      </c>
      <c r="AY233" s="5">
        <f t="shared" si="33"/>
        <v>41983901.960000001</v>
      </c>
      <c r="AZ233" s="5">
        <f t="shared" si="33"/>
        <v>91409897.160000011</v>
      </c>
      <c r="BA233" s="5">
        <f t="shared" si="33"/>
        <v>42055321.060000002</v>
      </c>
      <c r="BB233" s="5">
        <f t="shared" si="33"/>
        <v>15987127.67</v>
      </c>
      <c r="BC233" s="5">
        <f t="shared" si="33"/>
        <v>34805698.300000004</v>
      </c>
      <c r="BD233" s="5">
        <f t="shared" si="33"/>
        <v>415113254.60000002</v>
      </c>
      <c r="BE233" s="5">
        <f t="shared" si="33"/>
        <v>14214095.650000002</v>
      </c>
      <c r="BF233" s="5">
        <f t="shared" si="33"/>
        <v>8986021.7000000011</v>
      </c>
      <c r="BG233" s="5">
        <f t="shared" si="33"/>
        <v>0</v>
      </c>
      <c r="BH233" s="5">
        <f>SUM(BH221:BH232)</f>
        <v>6225441783.9099998</v>
      </c>
    </row>
    <row r="234" spans="1:60" ht="15.75" thickTop="1" x14ac:dyDescent="0.2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</row>
    <row r="235" spans="1:60" x14ac:dyDescent="0.2">
      <c r="A235" s="3">
        <v>39448</v>
      </c>
      <c r="B235" s="4">
        <v>19417199.25</v>
      </c>
      <c r="C235" s="4">
        <v>1242213.02</v>
      </c>
      <c r="D235" s="4">
        <v>8401671.5199999996</v>
      </c>
      <c r="E235" s="4">
        <v>2552405.3199999998</v>
      </c>
      <c r="F235" s="4">
        <v>2387338.4</v>
      </c>
      <c r="G235" s="4">
        <v>3736898.66</v>
      </c>
      <c r="H235" s="4">
        <v>4342083.1900000004</v>
      </c>
      <c r="I235" s="4">
        <v>1246171.93</v>
      </c>
      <c r="J235" s="4">
        <v>3532414.93</v>
      </c>
      <c r="K235" s="4">
        <v>2072086.65</v>
      </c>
      <c r="L235" s="4">
        <v>1882453.82</v>
      </c>
      <c r="M235" s="4">
        <v>1391892.19</v>
      </c>
      <c r="N235" s="4">
        <v>11429335.560000001</v>
      </c>
      <c r="O235" s="4">
        <v>52802291.740000002</v>
      </c>
      <c r="P235" s="4">
        <v>1479112.84</v>
      </c>
      <c r="Q235" s="4">
        <v>1391477.95</v>
      </c>
      <c r="R235" s="4">
        <v>1280998.29</v>
      </c>
      <c r="S235" s="4">
        <v>2130302.1800000002</v>
      </c>
      <c r="T235" s="4">
        <v>1945303.98</v>
      </c>
      <c r="U235" s="4">
        <v>140033.42000000001</v>
      </c>
      <c r="V235" s="4">
        <v>1777120.67</v>
      </c>
      <c r="W235" s="4">
        <v>4399230.7</v>
      </c>
      <c r="X235" s="4">
        <v>591393.34</v>
      </c>
      <c r="Y235" s="4">
        <v>1678614.49</v>
      </c>
      <c r="Z235" s="4">
        <v>1492170.28</v>
      </c>
      <c r="AA235" s="4">
        <v>32815696.300000001</v>
      </c>
      <c r="AB235" s="4">
        <v>1751240.42</v>
      </c>
      <c r="AC235" s="4">
        <v>84007199.830000013</v>
      </c>
      <c r="AD235" s="4">
        <v>7725782.21</v>
      </c>
      <c r="AE235" s="4">
        <v>8831869.3300000001</v>
      </c>
      <c r="AF235" s="4">
        <v>23607307.370000001</v>
      </c>
      <c r="AG235" s="4">
        <v>5293432.07</v>
      </c>
      <c r="AH235" s="4">
        <v>17568843.670000002</v>
      </c>
      <c r="AI235" s="4">
        <v>1041443.86</v>
      </c>
      <c r="AJ235" s="4">
        <v>2330909.39</v>
      </c>
      <c r="AK235" s="4">
        <v>2265982.73</v>
      </c>
      <c r="AL235" s="4">
        <v>3528667.24</v>
      </c>
      <c r="AM235" s="4">
        <v>4728040.8</v>
      </c>
      <c r="AN235" s="4">
        <v>14318907.449999999</v>
      </c>
      <c r="AO235" s="4">
        <v>2969252.94</v>
      </c>
      <c r="AP235" s="4">
        <v>7331752.0599999996</v>
      </c>
      <c r="AQ235" s="4">
        <v>6710073.4199999999</v>
      </c>
      <c r="AR235" s="4">
        <v>878048.98</v>
      </c>
      <c r="AS235" s="4">
        <v>487708.46</v>
      </c>
      <c r="AT235" s="4">
        <v>1310333.1000000001</v>
      </c>
      <c r="AU235" s="4">
        <v>2737787.32</v>
      </c>
      <c r="AV235" s="4">
        <v>93863251.799999997</v>
      </c>
      <c r="AW235" s="4">
        <v>2306151.88</v>
      </c>
      <c r="AX235" s="4">
        <v>1440254.44</v>
      </c>
      <c r="AY235" s="4">
        <v>3606964.37</v>
      </c>
      <c r="AZ235" s="4">
        <v>7509203.6300000008</v>
      </c>
      <c r="BA235" s="4">
        <v>3142674.43</v>
      </c>
      <c r="BB235" s="4">
        <v>1104651.31</v>
      </c>
      <c r="BC235" s="4">
        <v>2221222.02</v>
      </c>
      <c r="BD235" s="4">
        <v>38651163.759999998</v>
      </c>
      <c r="BE235" s="4">
        <v>908367.54</v>
      </c>
      <c r="BF235" s="4">
        <v>475776.06</v>
      </c>
      <c r="BG235" s="4">
        <v>0</v>
      </c>
      <c r="BH235" s="4">
        <f>SUM(B235:BG235)</f>
        <v>522212174.51000011</v>
      </c>
    </row>
    <row r="236" spans="1:60" x14ac:dyDescent="0.2">
      <c r="A236" s="3">
        <v>39479</v>
      </c>
      <c r="B236" s="4">
        <v>16581400.190000001</v>
      </c>
      <c r="C236" s="4">
        <v>1056771.78</v>
      </c>
      <c r="D236" s="4">
        <v>7368871.2600000007</v>
      </c>
      <c r="E236" s="4">
        <v>2140216.9</v>
      </c>
      <c r="F236" s="4">
        <v>1967168.39</v>
      </c>
      <c r="G236" s="4">
        <v>3181042.72</v>
      </c>
      <c r="H236" s="4">
        <v>3879201.32</v>
      </c>
      <c r="I236" s="4">
        <v>1083829.55</v>
      </c>
      <c r="J236" s="4">
        <v>3097758.79</v>
      </c>
      <c r="K236" s="4">
        <v>1707957.83</v>
      </c>
      <c r="L236" s="4">
        <v>1551618.89</v>
      </c>
      <c r="M236" s="4">
        <v>1156892.3799999999</v>
      </c>
      <c r="N236" s="4">
        <v>9998136.8499999996</v>
      </c>
      <c r="O236" s="4">
        <v>45393158.890000001</v>
      </c>
      <c r="P236" s="4">
        <v>1266855.55</v>
      </c>
      <c r="Q236" s="4">
        <v>1181777.6000000001</v>
      </c>
      <c r="R236" s="4">
        <v>1067126.9099999999</v>
      </c>
      <c r="S236" s="4">
        <v>1805316</v>
      </c>
      <c r="T236" s="4">
        <v>1643548.08</v>
      </c>
      <c r="U236" s="4">
        <v>129063.59</v>
      </c>
      <c r="V236" s="4">
        <v>1493735.44</v>
      </c>
      <c r="W236" s="4">
        <v>3857893.46</v>
      </c>
      <c r="X236" s="4">
        <v>496347.46</v>
      </c>
      <c r="Y236" s="4">
        <v>1524024.73</v>
      </c>
      <c r="Z236" s="4">
        <v>1258732.55</v>
      </c>
      <c r="AA236" s="4">
        <v>29742287.23</v>
      </c>
      <c r="AB236" s="4">
        <v>1452362.77</v>
      </c>
      <c r="AC236" s="4">
        <v>72168058.189999998</v>
      </c>
      <c r="AD236" s="4">
        <v>7400039.3200000003</v>
      </c>
      <c r="AE236" s="4">
        <v>7567733.419999999</v>
      </c>
      <c r="AF236" s="4">
        <v>20018569.199999999</v>
      </c>
      <c r="AG236" s="4">
        <v>4485191.5599999996</v>
      </c>
      <c r="AH236" s="4">
        <v>15057992.41</v>
      </c>
      <c r="AI236" s="4">
        <v>906031.86</v>
      </c>
      <c r="AJ236" s="4">
        <v>2041928.9</v>
      </c>
      <c r="AK236" s="4">
        <v>1960823.86</v>
      </c>
      <c r="AL236" s="4">
        <v>3003480.47</v>
      </c>
      <c r="AM236" s="4">
        <v>3966674.86</v>
      </c>
      <c r="AN236" s="4">
        <v>12366225.170000002</v>
      </c>
      <c r="AO236" s="4">
        <v>2555222.58</v>
      </c>
      <c r="AP236" s="4">
        <v>6737828.1699999999</v>
      </c>
      <c r="AQ236" s="4">
        <v>5797100.0099999998</v>
      </c>
      <c r="AR236" s="4">
        <v>749597.27</v>
      </c>
      <c r="AS236" s="4">
        <v>419802.47</v>
      </c>
      <c r="AT236" s="4">
        <v>1117089.83</v>
      </c>
      <c r="AU236" s="4">
        <v>2373933.94</v>
      </c>
      <c r="AV236" s="4">
        <v>82869102.589999989</v>
      </c>
      <c r="AW236" s="4">
        <v>1987327.8</v>
      </c>
      <c r="AX236" s="4">
        <v>1244742.07</v>
      </c>
      <c r="AY236" s="4">
        <v>2814643.33</v>
      </c>
      <c r="AZ236" s="4">
        <v>6924417.9100000001</v>
      </c>
      <c r="BA236" s="4">
        <v>2681994.87</v>
      </c>
      <c r="BB236" s="4">
        <v>964899.48</v>
      </c>
      <c r="BC236" s="4">
        <v>1908745.94</v>
      </c>
      <c r="BD236" s="4">
        <v>32969453.140000001</v>
      </c>
      <c r="BE236" s="4">
        <v>776753.78</v>
      </c>
      <c r="BF236" s="4">
        <v>404410.95</v>
      </c>
      <c r="BG236" s="4">
        <v>0</v>
      </c>
      <c r="BH236" s="4">
        <f t="shared" ref="BH236:BH246" si="34">SUM(B236:BG236)</f>
        <v>453322912.45999998</v>
      </c>
    </row>
    <row r="237" spans="1:60" x14ac:dyDescent="0.2">
      <c r="A237" s="3">
        <v>39508</v>
      </c>
      <c r="B237" s="4">
        <v>23539810.880000003</v>
      </c>
      <c r="C237" s="4">
        <v>1926761.43</v>
      </c>
      <c r="D237" s="4">
        <v>12411021.439999999</v>
      </c>
      <c r="E237" s="4">
        <v>3813582.68</v>
      </c>
      <c r="F237" s="4">
        <v>2952283.65</v>
      </c>
      <c r="G237" s="4">
        <v>5456853.8100000005</v>
      </c>
      <c r="H237" s="4">
        <v>5129885.26</v>
      </c>
      <c r="I237" s="4">
        <v>2066396.82</v>
      </c>
      <c r="J237" s="4">
        <v>4450954.93</v>
      </c>
      <c r="K237" s="4">
        <v>3462608.16</v>
      </c>
      <c r="L237" s="4">
        <v>2629063.5099999998</v>
      </c>
      <c r="M237" s="4">
        <v>1997260.83</v>
      </c>
      <c r="N237" s="4">
        <v>13333753.579999998</v>
      </c>
      <c r="O237" s="4">
        <v>64898543.909999996</v>
      </c>
      <c r="P237" s="4">
        <v>2435173.88</v>
      </c>
      <c r="Q237" s="4">
        <v>2080053.63</v>
      </c>
      <c r="R237" s="4">
        <v>1558761.9</v>
      </c>
      <c r="S237" s="4">
        <v>3841901.27</v>
      </c>
      <c r="T237" s="4">
        <v>2952183.55</v>
      </c>
      <c r="U237" s="4">
        <v>238994.62</v>
      </c>
      <c r="V237" s="4">
        <v>2829785.77</v>
      </c>
      <c r="W237" s="4">
        <v>6585769.9100000001</v>
      </c>
      <c r="X237" s="4">
        <v>1148874.33</v>
      </c>
      <c r="Y237" s="4">
        <v>2942961.26</v>
      </c>
      <c r="Z237" s="4">
        <v>2204274.36</v>
      </c>
      <c r="AA237" s="4">
        <v>40830992.650000006</v>
      </c>
      <c r="AB237" s="4">
        <v>2849582.17</v>
      </c>
      <c r="AC237" s="4">
        <v>95605522.359999999</v>
      </c>
      <c r="AD237" s="4">
        <v>10603525.510000002</v>
      </c>
      <c r="AE237" s="4">
        <v>11463610.770000001</v>
      </c>
      <c r="AF237" s="4">
        <v>27893560.699999999</v>
      </c>
      <c r="AG237" s="4">
        <v>6726547.5700000003</v>
      </c>
      <c r="AH237" s="4">
        <v>20802370.009999998</v>
      </c>
      <c r="AI237" s="4">
        <v>1620020.76</v>
      </c>
      <c r="AJ237" s="4">
        <v>3372011.11</v>
      </c>
      <c r="AK237" s="4">
        <v>3091058.33</v>
      </c>
      <c r="AL237" s="4">
        <v>5680343.8799999999</v>
      </c>
      <c r="AM237" s="4">
        <v>7882989.2000000002</v>
      </c>
      <c r="AN237" s="4">
        <v>17962500.550000001</v>
      </c>
      <c r="AO237" s="4">
        <v>4565983.57</v>
      </c>
      <c r="AP237" s="4">
        <v>8994930.6699999999</v>
      </c>
      <c r="AQ237" s="4">
        <v>9280087.8300000001</v>
      </c>
      <c r="AR237" s="4">
        <v>1398217.83</v>
      </c>
      <c r="AS237" s="4">
        <v>721881.43</v>
      </c>
      <c r="AT237" s="4">
        <v>1697102.3</v>
      </c>
      <c r="AU237" s="4">
        <v>4658280.41</v>
      </c>
      <c r="AV237" s="4">
        <v>108749805.03</v>
      </c>
      <c r="AW237" s="4">
        <v>3603821.77</v>
      </c>
      <c r="AX237" s="4">
        <v>1658566.81</v>
      </c>
      <c r="AY237" s="4">
        <v>5110589.04</v>
      </c>
      <c r="AZ237" s="4">
        <v>9318209.7300000004</v>
      </c>
      <c r="BA237" s="4">
        <v>3793586.38</v>
      </c>
      <c r="BB237" s="4">
        <v>2052488.49</v>
      </c>
      <c r="BC237" s="4">
        <v>3833479.3</v>
      </c>
      <c r="BD237" s="4">
        <v>46870143.219999999</v>
      </c>
      <c r="BE237" s="4">
        <v>1737512.4</v>
      </c>
      <c r="BF237" s="4">
        <v>988007.87</v>
      </c>
      <c r="BG237" s="4">
        <v>0</v>
      </c>
      <c r="BH237" s="4">
        <f t="shared" si="34"/>
        <v>652304845.01999986</v>
      </c>
    </row>
    <row r="238" spans="1:60" x14ac:dyDescent="0.2">
      <c r="A238" s="3">
        <v>39539</v>
      </c>
      <c r="B238" s="4">
        <v>16993094.559999999</v>
      </c>
      <c r="C238" s="4">
        <v>1294600.6499999999</v>
      </c>
      <c r="D238" s="4">
        <v>7446978.9100000001</v>
      </c>
      <c r="E238" s="4">
        <v>2316761.9</v>
      </c>
      <c r="F238" s="4">
        <v>2203572.7999999998</v>
      </c>
      <c r="G238" s="4">
        <v>3545170.33</v>
      </c>
      <c r="H238" s="4">
        <v>3726937.05</v>
      </c>
      <c r="I238" s="4">
        <v>1281690.6399999999</v>
      </c>
      <c r="J238" s="4">
        <v>3237876.96</v>
      </c>
      <c r="K238" s="4">
        <v>1992140.67</v>
      </c>
      <c r="L238" s="4">
        <v>1727773.39</v>
      </c>
      <c r="M238" s="4">
        <v>1385481.31</v>
      </c>
      <c r="N238" s="4">
        <v>11317596.389999999</v>
      </c>
      <c r="O238" s="4">
        <v>48332790.810000002</v>
      </c>
      <c r="P238" s="4">
        <v>1434744.14</v>
      </c>
      <c r="Q238" s="4">
        <v>1254464.19</v>
      </c>
      <c r="R238" s="4">
        <v>1251182.6000000001</v>
      </c>
      <c r="S238" s="4">
        <v>2213419.84</v>
      </c>
      <c r="T238" s="4">
        <v>1896210.54</v>
      </c>
      <c r="U238" s="4">
        <v>137587.51</v>
      </c>
      <c r="V238" s="4">
        <v>1825421.14</v>
      </c>
      <c r="W238" s="4">
        <v>4352016.97</v>
      </c>
      <c r="X238" s="4">
        <v>618941.86</v>
      </c>
      <c r="Y238" s="4">
        <v>1694048.3</v>
      </c>
      <c r="Z238" s="4">
        <v>1598192.27</v>
      </c>
      <c r="AA238" s="4">
        <v>30346352.799999997</v>
      </c>
      <c r="AB238" s="4">
        <v>1820213.3</v>
      </c>
      <c r="AC238" s="4">
        <v>75305117.049999997</v>
      </c>
      <c r="AD238" s="4">
        <v>6959049.2599999998</v>
      </c>
      <c r="AE238" s="4">
        <v>8304207.0500000007</v>
      </c>
      <c r="AF238" s="4">
        <v>21135246.780000001</v>
      </c>
      <c r="AG238" s="4">
        <v>4680496.32</v>
      </c>
      <c r="AH238" s="4">
        <v>16111344.219999999</v>
      </c>
      <c r="AI238" s="4">
        <v>1048077.71</v>
      </c>
      <c r="AJ238" s="4">
        <v>2456238.17</v>
      </c>
      <c r="AK238" s="4">
        <v>2350439.75</v>
      </c>
      <c r="AL238" s="4">
        <v>3539172.78</v>
      </c>
      <c r="AM238" s="4">
        <v>4693757</v>
      </c>
      <c r="AN238" s="4">
        <v>12599594.560000001</v>
      </c>
      <c r="AO238" s="4">
        <v>2664719.4700000002</v>
      </c>
      <c r="AP238" s="4">
        <v>6933946.4000000004</v>
      </c>
      <c r="AQ238" s="4">
        <v>6382264.3099999996</v>
      </c>
      <c r="AR238" s="4">
        <v>976306.78</v>
      </c>
      <c r="AS238" s="4">
        <v>526959.99</v>
      </c>
      <c r="AT238" s="4">
        <v>1288307.29</v>
      </c>
      <c r="AU238" s="4">
        <v>2750007.25</v>
      </c>
      <c r="AV238" s="4">
        <v>88244350.929999992</v>
      </c>
      <c r="AW238" s="4">
        <v>2400593.79</v>
      </c>
      <c r="AX238" s="4">
        <v>1236655.57</v>
      </c>
      <c r="AY238" s="4">
        <v>2997531.68</v>
      </c>
      <c r="AZ238" s="4">
        <v>6742317.9799999995</v>
      </c>
      <c r="BA238" s="4">
        <v>2973324.84</v>
      </c>
      <c r="BB238" s="4">
        <v>1140527.76</v>
      </c>
      <c r="BC238" s="4">
        <v>2499196.02</v>
      </c>
      <c r="BD238" s="4">
        <v>34363116.469999999</v>
      </c>
      <c r="BE238" s="4">
        <v>1041395.8</v>
      </c>
      <c r="BF238" s="4">
        <v>557100.53</v>
      </c>
      <c r="BG238" s="4">
        <v>0</v>
      </c>
      <c r="BH238" s="4">
        <f t="shared" si="34"/>
        <v>482146625.33999997</v>
      </c>
    </row>
    <row r="239" spans="1:60" x14ac:dyDescent="0.2">
      <c r="A239" s="3">
        <v>39569</v>
      </c>
      <c r="B239" s="4">
        <v>17883282.609999999</v>
      </c>
      <c r="C239" s="4">
        <v>1302719.76</v>
      </c>
      <c r="D239" s="4">
        <v>7854071.2699999996</v>
      </c>
      <c r="E239" s="4">
        <v>2365806.0499999998</v>
      </c>
      <c r="F239" s="4">
        <v>2241116.62</v>
      </c>
      <c r="G239" s="4">
        <v>3673230.01</v>
      </c>
      <c r="H239" s="4">
        <v>3803642.73</v>
      </c>
      <c r="I239" s="4">
        <v>1276376.51</v>
      </c>
      <c r="J239" s="4">
        <v>3384419.43</v>
      </c>
      <c r="K239" s="4">
        <v>2070890.01</v>
      </c>
      <c r="L239" s="4">
        <v>1803515.95</v>
      </c>
      <c r="M239" s="4">
        <v>1391324.49</v>
      </c>
      <c r="N239" s="4">
        <v>11372920.130000001</v>
      </c>
      <c r="O239" s="4">
        <v>49230876.870000005</v>
      </c>
      <c r="P239" s="4">
        <v>1419216.14</v>
      </c>
      <c r="Q239" s="4">
        <v>1256777.21</v>
      </c>
      <c r="R239" s="4">
        <v>1307459.76</v>
      </c>
      <c r="S239" s="4">
        <v>2276035.25</v>
      </c>
      <c r="T239" s="4">
        <v>1901576.62</v>
      </c>
      <c r="U239" s="4">
        <v>142191.32999999999</v>
      </c>
      <c r="V239" s="4">
        <v>1896034.77</v>
      </c>
      <c r="W239" s="4">
        <v>4462272.5999999996</v>
      </c>
      <c r="X239" s="4">
        <v>621621.84</v>
      </c>
      <c r="Y239" s="4">
        <v>1765228.36</v>
      </c>
      <c r="Z239" s="4">
        <v>1605963.6</v>
      </c>
      <c r="AA239" s="4">
        <v>30776328.770000003</v>
      </c>
      <c r="AB239" s="4">
        <v>1805557.79</v>
      </c>
      <c r="AC239" s="4">
        <v>77930320.670000002</v>
      </c>
      <c r="AD239" s="4">
        <v>7060039.6500000004</v>
      </c>
      <c r="AE239" s="4">
        <v>8465172.6699999999</v>
      </c>
      <c r="AF239" s="4">
        <v>22056374.899999999</v>
      </c>
      <c r="AG239" s="4">
        <v>4816051.67</v>
      </c>
      <c r="AH239" s="4">
        <v>16154761.040000001</v>
      </c>
      <c r="AI239" s="4">
        <v>1068031.31</v>
      </c>
      <c r="AJ239" s="4">
        <v>2537975.98</v>
      </c>
      <c r="AK239" s="4">
        <v>2397302.3199999998</v>
      </c>
      <c r="AL239" s="4">
        <v>3651278.85</v>
      </c>
      <c r="AM239" s="4">
        <v>4872831.32</v>
      </c>
      <c r="AN239" s="4">
        <v>13001522.23</v>
      </c>
      <c r="AO239" s="4">
        <v>2749507.63</v>
      </c>
      <c r="AP239" s="4">
        <v>7089018.5500000007</v>
      </c>
      <c r="AQ239" s="4">
        <v>6496580.7000000002</v>
      </c>
      <c r="AR239" s="4">
        <v>988137.93</v>
      </c>
      <c r="AS239" s="4">
        <v>515980.85</v>
      </c>
      <c r="AT239" s="4">
        <v>1328097.03</v>
      </c>
      <c r="AU239" s="4">
        <v>2835370.28</v>
      </c>
      <c r="AV239" s="4">
        <v>91428825.99000001</v>
      </c>
      <c r="AW239" s="4">
        <v>2445126.66</v>
      </c>
      <c r="AX239" s="4">
        <v>1300085.26</v>
      </c>
      <c r="AY239" s="4">
        <v>3095087.32</v>
      </c>
      <c r="AZ239" s="4">
        <v>6958164.6699999999</v>
      </c>
      <c r="BA239" s="4">
        <v>3036029.22</v>
      </c>
      <c r="BB239" s="4">
        <v>1179898.5</v>
      </c>
      <c r="BC239" s="4">
        <v>2507625.4900000002</v>
      </c>
      <c r="BD239" s="4">
        <v>35841086.329999998</v>
      </c>
      <c r="BE239" s="4">
        <v>1029400.71</v>
      </c>
      <c r="BF239" s="4">
        <v>541143.23</v>
      </c>
      <c r="BG239" s="4">
        <v>0</v>
      </c>
      <c r="BH239" s="4">
        <f t="shared" si="34"/>
        <v>496267285.44000006</v>
      </c>
    </row>
    <row r="240" spans="1:60" x14ac:dyDescent="0.2">
      <c r="A240" s="3">
        <v>39600</v>
      </c>
      <c r="B240" s="4">
        <v>23658149.030000001</v>
      </c>
      <c r="C240" s="4">
        <v>2044480.48</v>
      </c>
      <c r="D240" s="4">
        <v>11948310.93</v>
      </c>
      <c r="E240" s="4">
        <v>3289662.36</v>
      </c>
      <c r="F240" s="4">
        <v>3144452.59</v>
      </c>
      <c r="G240" s="4">
        <v>5709484.8099999996</v>
      </c>
      <c r="H240" s="4">
        <v>5773211.5199999996</v>
      </c>
      <c r="I240" s="4">
        <v>2425132.39</v>
      </c>
      <c r="J240" s="4">
        <v>5488858.1099999994</v>
      </c>
      <c r="K240" s="4">
        <v>3926350.96</v>
      </c>
      <c r="L240" s="4">
        <v>2620878.94</v>
      </c>
      <c r="M240" s="4">
        <v>2330023.35</v>
      </c>
      <c r="N240" s="4">
        <v>14809837.07</v>
      </c>
      <c r="O240" s="4">
        <v>66736192.459999993</v>
      </c>
      <c r="P240" s="4">
        <v>2692938.63</v>
      </c>
      <c r="Q240" s="4">
        <v>2127971.75</v>
      </c>
      <c r="R240" s="4">
        <v>1838164.59</v>
      </c>
      <c r="S240" s="4">
        <v>3064729.66</v>
      </c>
      <c r="T240" s="4">
        <v>2961075.22</v>
      </c>
      <c r="U240" s="4">
        <v>240315.18</v>
      </c>
      <c r="V240" s="4">
        <v>2807202.33</v>
      </c>
      <c r="W240" s="4">
        <v>7040248.2600000007</v>
      </c>
      <c r="X240" s="4">
        <v>1058628.98</v>
      </c>
      <c r="Y240" s="4">
        <v>2976141.32</v>
      </c>
      <c r="Z240" s="4">
        <v>2480654.61</v>
      </c>
      <c r="AA240" s="4">
        <v>42235715.950000003</v>
      </c>
      <c r="AB240" s="4">
        <v>2631148.5</v>
      </c>
      <c r="AC240" s="4">
        <v>102353120.13</v>
      </c>
      <c r="AD240" s="4">
        <v>9332469.75</v>
      </c>
      <c r="AE240" s="4">
        <v>11797539.73</v>
      </c>
      <c r="AF240" s="4">
        <v>28281378.07</v>
      </c>
      <c r="AG240" s="4">
        <v>7009886.5899999999</v>
      </c>
      <c r="AH240" s="4">
        <v>24458221.729999997</v>
      </c>
      <c r="AI240" s="4">
        <v>1269269.43</v>
      </c>
      <c r="AJ240" s="4">
        <v>4280657.6100000003</v>
      </c>
      <c r="AK240" s="4">
        <v>3881032.65</v>
      </c>
      <c r="AL240" s="4">
        <v>5966392.6199999992</v>
      </c>
      <c r="AM240" s="4">
        <v>7934070.0600000005</v>
      </c>
      <c r="AN240" s="4">
        <v>14316431.919999998</v>
      </c>
      <c r="AO240" s="4">
        <v>4552325.51</v>
      </c>
      <c r="AP240" s="4">
        <v>10506044.949999999</v>
      </c>
      <c r="AQ240" s="4">
        <v>8307708.629999999</v>
      </c>
      <c r="AR240" s="4">
        <v>1546159.91</v>
      </c>
      <c r="AS240" s="4">
        <v>920293.15</v>
      </c>
      <c r="AT240" s="4">
        <v>1728017.89</v>
      </c>
      <c r="AU240" s="4">
        <v>4418839.83</v>
      </c>
      <c r="AV240" s="4">
        <v>115478290.93000001</v>
      </c>
      <c r="AW240" s="4">
        <v>4049416.47</v>
      </c>
      <c r="AX240" s="4">
        <v>2250720.67</v>
      </c>
      <c r="AY240" s="4">
        <v>4974134.33</v>
      </c>
      <c r="AZ240" s="4">
        <v>10720552.91</v>
      </c>
      <c r="BA240" s="4">
        <v>4855826.5199999996</v>
      </c>
      <c r="BB240" s="4">
        <v>2207109.87</v>
      </c>
      <c r="BC240" s="4">
        <v>4188898.64</v>
      </c>
      <c r="BD240" s="4">
        <v>46753414.530000001</v>
      </c>
      <c r="BE240" s="4">
        <v>1899773.62</v>
      </c>
      <c r="BF240" s="4">
        <v>1105089.8799999999</v>
      </c>
      <c r="BG240" s="4">
        <v>0</v>
      </c>
      <c r="BH240" s="4">
        <f t="shared" si="34"/>
        <v>679403048.50999987</v>
      </c>
    </row>
    <row r="241" spans="1:60" x14ac:dyDescent="0.2">
      <c r="A241" s="3">
        <v>39630</v>
      </c>
      <c r="B241" s="4">
        <v>18094007.780000001</v>
      </c>
      <c r="C241" s="4">
        <v>1280141.04</v>
      </c>
      <c r="D241" s="4">
        <v>8776919.9000000004</v>
      </c>
      <c r="E241" s="4">
        <v>2422087.58</v>
      </c>
      <c r="F241" s="4">
        <v>2475442.41</v>
      </c>
      <c r="G241" s="4">
        <v>4164986.21</v>
      </c>
      <c r="H241" s="4">
        <v>3896741.19</v>
      </c>
      <c r="I241" s="4">
        <v>1465647.8</v>
      </c>
      <c r="J241" s="4">
        <v>3758737.3</v>
      </c>
      <c r="K241" s="4">
        <v>2322746.06</v>
      </c>
      <c r="L241" s="4">
        <v>1771540.36</v>
      </c>
      <c r="M241" s="4">
        <v>1560099.58</v>
      </c>
      <c r="N241" s="4">
        <v>11795074.939999999</v>
      </c>
      <c r="O241" s="4">
        <v>53041055.340000004</v>
      </c>
      <c r="P241" s="4">
        <v>2038843.17</v>
      </c>
      <c r="Q241" s="4">
        <v>1521025.43</v>
      </c>
      <c r="R241" s="4">
        <v>1437413.29</v>
      </c>
      <c r="S241" s="4">
        <v>2836529.5</v>
      </c>
      <c r="T241" s="4">
        <v>2186242.7999999998</v>
      </c>
      <c r="U241" s="4">
        <v>231160.72</v>
      </c>
      <c r="V241" s="4">
        <v>2251196.89</v>
      </c>
      <c r="W241" s="4">
        <v>5319096.4800000004</v>
      </c>
      <c r="X241" s="4">
        <v>725485.52</v>
      </c>
      <c r="Y241" s="4">
        <v>1944330.12</v>
      </c>
      <c r="Z241" s="4">
        <v>1780810.4</v>
      </c>
      <c r="AA241" s="4">
        <v>32513685.699999996</v>
      </c>
      <c r="AB241" s="4">
        <v>1986356.46</v>
      </c>
      <c r="AC241" s="4">
        <v>80356825.960000008</v>
      </c>
      <c r="AD241" s="4">
        <v>7592794.9299999997</v>
      </c>
      <c r="AE241" s="4">
        <v>9222169.3900000006</v>
      </c>
      <c r="AF241" s="4">
        <v>23482848.640000001</v>
      </c>
      <c r="AG241" s="4">
        <v>5362434.78</v>
      </c>
      <c r="AH241" s="4">
        <v>17819214.490000002</v>
      </c>
      <c r="AI241" s="4">
        <v>996968.17</v>
      </c>
      <c r="AJ241" s="4">
        <v>2792762.74</v>
      </c>
      <c r="AK241" s="4">
        <v>2990716.55</v>
      </c>
      <c r="AL241" s="4">
        <v>3961595.68</v>
      </c>
      <c r="AM241" s="4">
        <v>5138524.6500000004</v>
      </c>
      <c r="AN241" s="4">
        <v>13281950.459999997</v>
      </c>
      <c r="AO241" s="4">
        <v>3169495.86</v>
      </c>
      <c r="AP241" s="4">
        <v>8134360.6100000003</v>
      </c>
      <c r="AQ241" s="4">
        <v>6508467.8199999994</v>
      </c>
      <c r="AR241" s="4">
        <v>1189674.8400000001</v>
      </c>
      <c r="AS241" s="4">
        <v>680838.78</v>
      </c>
      <c r="AT241" s="4">
        <v>1666538.02</v>
      </c>
      <c r="AU241" s="4">
        <v>3237273.76</v>
      </c>
      <c r="AV241" s="4">
        <v>97457793.5</v>
      </c>
      <c r="AW241" s="4">
        <v>3095592.75</v>
      </c>
      <c r="AX241" s="4">
        <v>1312524.21</v>
      </c>
      <c r="AY241" s="4">
        <v>3302731.66</v>
      </c>
      <c r="AZ241" s="4">
        <v>8024445.0600000005</v>
      </c>
      <c r="BA241" s="4">
        <v>4604476.8600000003</v>
      </c>
      <c r="BB241" s="4">
        <v>1306007.3899999999</v>
      </c>
      <c r="BC241" s="4">
        <v>2786631.17</v>
      </c>
      <c r="BD241" s="4">
        <v>35647779.5</v>
      </c>
      <c r="BE241" s="4">
        <v>1144787.42</v>
      </c>
      <c r="BF241" s="4">
        <v>693413.5</v>
      </c>
      <c r="BG241" s="4">
        <v>0</v>
      </c>
      <c r="BH241" s="4">
        <f t="shared" si="34"/>
        <v>530559043.11999995</v>
      </c>
    </row>
    <row r="242" spans="1:60" x14ac:dyDescent="0.2">
      <c r="A242" s="3">
        <v>39661</v>
      </c>
      <c r="B242" s="4">
        <v>18466661.920000002</v>
      </c>
      <c r="C242" s="4">
        <v>1250709.8500000001</v>
      </c>
      <c r="D242" s="4">
        <v>8828620.2300000004</v>
      </c>
      <c r="E242" s="4">
        <v>2450996.4700000002</v>
      </c>
      <c r="F242" s="4">
        <v>2401959.38</v>
      </c>
      <c r="G242" s="4">
        <v>4174758.9699999997</v>
      </c>
      <c r="H242" s="4">
        <v>3919819.26</v>
      </c>
      <c r="I242" s="4">
        <v>1533817.3599999999</v>
      </c>
      <c r="J242" s="4">
        <v>3635544.7399999998</v>
      </c>
      <c r="K242" s="4">
        <v>2471498.0099999998</v>
      </c>
      <c r="L242" s="4">
        <v>1788507.1999999997</v>
      </c>
      <c r="M242" s="4">
        <v>1559655.6600000001</v>
      </c>
      <c r="N242" s="4">
        <v>11826939.48</v>
      </c>
      <c r="O242" s="4">
        <v>49844163.43</v>
      </c>
      <c r="P242" s="4">
        <v>1997829.2999999998</v>
      </c>
      <c r="Q242" s="4">
        <v>1471977.9100000001</v>
      </c>
      <c r="R242" s="4">
        <v>1425473.6900000002</v>
      </c>
      <c r="S242" s="4">
        <v>2806671.37</v>
      </c>
      <c r="T242" s="4">
        <v>2372346.71</v>
      </c>
      <c r="U242" s="4">
        <v>224731.07</v>
      </c>
      <c r="V242" s="4">
        <v>2207102.7399999998</v>
      </c>
      <c r="W242" s="4">
        <v>5285156.1100000003</v>
      </c>
      <c r="X242" s="4">
        <v>663444.8899999999</v>
      </c>
      <c r="Y242" s="4">
        <v>1885737.7200000002</v>
      </c>
      <c r="Z242" s="4">
        <v>1778069.91</v>
      </c>
      <c r="AA242" s="4">
        <v>32179679.16</v>
      </c>
      <c r="AB242" s="4">
        <v>1989790.25</v>
      </c>
      <c r="AC242" s="4">
        <v>81056620.11999999</v>
      </c>
      <c r="AD242" s="4">
        <v>7583882.1299999999</v>
      </c>
      <c r="AE242" s="4">
        <v>9010008.4700000007</v>
      </c>
      <c r="AF242" s="4">
        <v>22840242.23</v>
      </c>
      <c r="AG242" s="4">
        <v>5198352.26</v>
      </c>
      <c r="AH242" s="4">
        <v>17603707.670000002</v>
      </c>
      <c r="AI242" s="4">
        <v>978711.82000000007</v>
      </c>
      <c r="AJ242" s="4">
        <v>2692193.84</v>
      </c>
      <c r="AK242" s="4">
        <v>2928199.3299999996</v>
      </c>
      <c r="AL242" s="4">
        <v>4007969.08</v>
      </c>
      <c r="AM242" s="4">
        <v>5158987</v>
      </c>
      <c r="AN242" s="4">
        <v>13208743.509999998</v>
      </c>
      <c r="AO242" s="4">
        <v>2887754.98</v>
      </c>
      <c r="AP242" s="4">
        <v>7953266.5899999999</v>
      </c>
      <c r="AQ242" s="4">
        <v>6497655.0099999998</v>
      </c>
      <c r="AR242" s="4">
        <v>1152724.72</v>
      </c>
      <c r="AS242" s="4">
        <v>661133.86</v>
      </c>
      <c r="AT242" s="4">
        <v>1582191.53</v>
      </c>
      <c r="AU242" s="4">
        <v>3225431.9099999997</v>
      </c>
      <c r="AV242" s="4">
        <v>96794904.469999999</v>
      </c>
      <c r="AW242" s="4">
        <v>3048655.55</v>
      </c>
      <c r="AX242" s="4">
        <v>1296726.3800000001</v>
      </c>
      <c r="AY242" s="4">
        <v>3368895.7700000005</v>
      </c>
      <c r="AZ242" s="4">
        <v>7757747.4199999999</v>
      </c>
      <c r="BA242" s="4">
        <v>4531504.57</v>
      </c>
      <c r="BB242" s="4">
        <v>1271738.7999999998</v>
      </c>
      <c r="BC242" s="4">
        <v>2698250.5999999996</v>
      </c>
      <c r="BD242" s="4">
        <v>36673184.109999999</v>
      </c>
      <c r="BE242" s="4">
        <v>1115218.8</v>
      </c>
      <c r="BF242" s="4">
        <v>653429.69000000006</v>
      </c>
      <c r="BG242" s="4">
        <v>0</v>
      </c>
      <c r="BH242" s="4">
        <f t="shared" si="34"/>
        <v>525879695.00999999</v>
      </c>
    </row>
    <row r="243" spans="1:60" x14ac:dyDescent="0.2">
      <c r="A243" s="3">
        <v>39692</v>
      </c>
      <c r="B243" s="4">
        <v>25660941.699999999</v>
      </c>
      <c r="C243" s="4">
        <v>2039733.5499999998</v>
      </c>
      <c r="D243" s="4">
        <v>11343912.379999999</v>
      </c>
      <c r="E243" s="4">
        <v>3726097.01</v>
      </c>
      <c r="F243" s="4">
        <v>3713668.37</v>
      </c>
      <c r="G243" s="4">
        <v>6099074.75</v>
      </c>
      <c r="H243" s="4">
        <v>6475099.4399999995</v>
      </c>
      <c r="I243" s="4">
        <v>1888378.5699999998</v>
      </c>
      <c r="J243" s="4">
        <v>6195315.9800000004</v>
      </c>
      <c r="K243" s="4">
        <v>4047148.6500000004</v>
      </c>
      <c r="L243" s="4">
        <v>2450941.9500000002</v>
      </c>
      <c r="M243" s="4">
        <v>2458750.65</v>
      </c>
      <c r="N243" s="4">
        <v>17961556.330000002</v>
      </c>
      <c r="O243" s="4">
        <v>68508836.069999993</v>
      </c>
      <c r="P243" s="4">
        <v>3599106.7</v>
      </c>
      <c r="Q243" s="4">
        <v>2624415.0300000003</v>
      </c>
      <c r="R243" s="4">
        <v>2168899.9500000002</v>
      </c>
      <c r="S243" s="4">
        <v>4592736.040000001</v>
      </c>
      <c r="T243" s="4">
        <v>3306334.34</v>
      </c>
      <c r="U243" s="4">
        <v>436246.64</v>
      </c>
      <c r="V243" s="4">
        <v>3168970.39</v>
      </c>
      <c r="W243" s="4">
        <v>6371797.4800000004</v>
      </c>
      <c r="X243" s="4">
        <v>1239186.25</v>
      </c>
      <c r="Y243" s="4">
        <v>3375246.24</v>
      </c>
      <c r="Z243" s="4">
        <v>2464380.9500000002</v>
      </c>
      <c r="AA243" s="4">
        <v>43748140.740000002</v>
      </c>
      <c r="AB243" s="4">
        <v>2727803.21</v>
      </c>
      <c r="AC243" s="4">
        <v>98882122.390000001</v>
      </c>
      <c r="AD243" s="4">
        <v>10282042.989999998</v>
      </c>
      <c r="AE243" s="4">
        <v>12099160.859999999</v>
      </c>
      <c r="AF243" s="4">
        <v>33627156.740000002</v>
      </c>
      <c r="AG243" s="4">
        <v>7085661.3700000001</v>
      </c>
      <c r="AH243" s="4">
        <v>24354742.609999999</v>
      </c>
      <c r="AI243" s="4">
        <v>1486890.68</v>
      </c>
      <c r="AJ243" s="4">
        <v>4167817.3600000003</v>
      </c>
      <c r="AK243" s="4">
        <v>3937381.16</v>
      </c>
      <c r="AL243" s="4">
        <v>5733404.4700000007</v>
      </c>
      <c r="AM243" s="4">
        <v>7169294.1900000004</v>
      </c>
      <c r="AN243" s="4">
        <v>17983155.309999999</v>
      </c>
      <c r="AO243" s="4">
        <v>4473761.79</v>
      </c>
      <c r="AP243" s="4">
        <v>10362859.66</v>
      </c>
      <c r="AQ243" s="4">
        <v>9482481.3399999999</v>
      </c>
      <c r="AR243" s="4">
        <v>1317778.23</v>
      </c>
      <c r="AS243" s="4">
        <v>1348854.6400000001</v>
      </c>
      <c r="AT243" s="4">
        <v>2188103.5300000003</v>
      </c>
      <c r="AU243" s="4">
        <v>4959522.84</v>
      </c>
      <c r="AV243" s="4">
        <v>121054678.83000001</v>
      </c>
      <c r="AW243" s="4">
        <v>5107551.75</v>
      </c>
      <c r="AX243" s="4">
        <v>2264565.2599999998</v>
      </c>
      <c r="AY243" s="4">
        <v>4563029.7299999995</v>
      </c>
      <c r="AZ243" s="4">
        <v>11226205.08</v>
      </c>
      <c r="BA243" s="4">
        <v>5761109.9900000002</v>
      </c>
      <c r="BB243" s="4">
        <v>2404627.79</v>
      </c>
      <c r="BC243" s="4">
        <v>4479709.5399999991</v>
      </c>
      <c r="BD243" s="4">
        <v>46658998.320000008</v>
      </c>
      <c r="BE243" s="4">
        <v>1732425.76</v>
      </c>
      <c r="BF243" s="4">
        <v>1399817.02</v>
      </c>
      <c r="BG243" s="4">
        <v>0</v>
      </c>
      <c r="BH243" s="4">
        <f t="shared" si="34"/>
        <v>709987630.59000003</v>
      </c>
    </row>
    <row r="244" spans="1:60" x14ac:dyDescent="0.2">
      <c r="A244" s="3">
        <v>39722</v>
      </c>
      <c r="B244" s="4">
        <v>17212598.880000003</v>
      </c>
      <c r="C244" s="4">
        <v>1167077.51</v>
      </c>
      <c r="D244" s="4">
        <v>7626041.8700000001</v>
      </c>
      <c r="E244" s="4">
        <v>2289693.15</v>
      </c>
      <c r="F244" s="4">
        <v>2134341.02</v>
      </c>
      <c r="G244" s="4">
        <v>3368393.58</v>
      </c>
      <c r="H244" s="4">
        <v>3795791.69</v>
      </c>
      <c r="I244" s="4">
        <v>1245843.73</v>
      </c>
      <c r="J244" s="4">
        <v>3307445.5300000003</v>
      </c>
      <c r="K244" s="4">
        <v>2009470.55</v>
      </c>
      <c r="L244" s="4">
        <v>1641525.76</v>
      </c>
      <c r="M244" s="4">
        <v>1360389.18</v>
      </c>
      <c r="N244" s="4">
        <v>10985607.75</v>
      </c>
      <c r="O244" s="4">
        <v>46584170.369999997</v>
      </c>
      <c r="P244" s="4">
        <v>1538555.14</v>
      </c>
      <c r="Q244" s="4">
        <v>1249708.5899999999</v>
      </c>
      <c r="R244" s="4">
        <v>1234697.04</v>
      </c>
      <c r="S244" s="4">
        <v>2141072.4400000004</v>
      </c>
      <c r="T244" s="4">
        <v>1817261.3200000003</v>
      </c>
      <c r="U244" s="4">
        <v>149637.65</v>
      </c>
      <c r="V244" s="4">
        <v>1810353.08</v>
      </c>
      <c r="W244" s="4">
        <v>4596946.21</v>
      </c>
      <c r="X244" s="4">
        <v>581560.98</v>
      </c>
      <c r="Y244" s="4">
        <v>1718756.06</v>
      </c>
      <c r="Z244" s="4">
        <v>1498107.42</v>
      </c>
      <c r="AA244" s="4">
        <v>29649643.190000005</v>
      </c>
      <c r="AB244" s="4">
        <v>1714777.8499999999</v>
      </c>
      <c r="AC244" s="4">
        <v>74361402.120000005</v>
      </c>
      <c r="AD244" s="4">
        <v>6958260.29</v>
      </c>
      <c r="AE244" s="4">
        <v>8381627.2200000007</v>
      </c>
      <c r="AF244" s="4">
        <v>21668572.030000001</v>
      </c>
      <c r="AG244" s="4">
        <v>4828432.8899999997</v>
      </c>
      <c r="AH244" s="4">
        <v>16964700.920000002</v>
      </c>
      <c r="AI244" s="4">
        <v>947653.41999999993</v>
      </c>
      <c r="AJ244" s="4">
        <v>2341161.56</v>
      </c>
      <c r="AK244" s="4">
        <v>2380187.4</v>
      </c>
      <c r="AL244" s="4">
        <v>3560057.7299999995</v>
      </c>
      <c r="AM244" s="4">
        <v>4803641.8500000006</v>
      </c>
      <c r="AN244" s="4">
        <v>12698867.120000001</v>
      </c>
      <c r="AO244" s="4">
        <v>2787580.14</v>
      </c>
      <c r="AP244" s="4">
        <v>7040980.8799999999</v>
      </c>
      <c r="AQ244" s="4">
        <v>5967480.8399999999</v>
      </c>
      <c r="AR244" s="4">
        <v>953353.35</v>
      </c>
      <c r="AS244" s="4">
        <v>526767.28</v>
      </c>
      <c r="AT244" s="4">
        <v>1447034.6500000001</v>
      </c>
      <c r="AU244" s="4">
        <v>2865173.0500000003</v>
      </c>
      <c r="AV244" s="4">
        <v>83576337.909999996</v>
      </c>
      <c r="AW244" s="4">
        <v>2349960.77</v>
      </c>
      <c r="AX244" s="4">
        <v>1249211.46</v>
      </c>
      <c r="AY244" s="4">
        <v>3064781.6399999997</v>
      </c>
      <c r="AZ244" s="4">
        <v>6973273.4099999992</v>
      </c>
      <c r="BA244" s="4">
        <v>3400860.55</v>
      </c>
      <c r="BB244" s="4">
        <v>1143819.76</v>
      </c>
      <c r="BC244" s="4">
        <v>2417337.7400000002</v>
      </c>
      <c r="BD244" s="4">
        <v>34420124.609999999</v>
      </c>
      <c r="BE244" s="4">
        <v>955190.27999999991</v>
      </c>
      <c r="BF244" s="4">
        <v>589693.24</v>
      </c>
      <c r="BG244" s="4">
        <v>0</v>
      </c>
      <c r="BH244" s="4">
        <f t="shared" si="34"/>
        <v>476052993.64999992</v>
      </c>
    </row>
    <row r="245" spans="1:60" x14ac:dyDescent="0.2">
      <c r="A245" s="3">
        <v>39753</v>
      </c>
      <c r="B245" s="4">
        <v>16878502.23</v>
      </c>
      <c r="C245" s="4">
        <v>1137290.3999999999</v>
      </c>
      <c r="D245" s="4">
        <v>7579734.5899999999</v>
      </c>
      <c r="E245" s="4">
        <v>2216917.7999999998</v>
      </c>
      <c r="F245" s="4">
        <v>2062718.42</v>
      </c>
      <c r="G245" s="4">
        <v>3315693.13</v>
      </c>
      <c r="H245" s="4">
        <v>3677379.23</v>
      </c>
      <c r="I245" s="4">
        <v>1204998.76</v>
      </c>
      <c r="J245" s="4">
        <v>3402157.6</v>
      </c>
      <c r="K245" s="4">
        <v>1969371.55</v>
      </c>
      <c r="L245" s="4">
        <v>1655522</v>
      </c>
      <c r="M245" s="4">
        <v>1358273.3699999999</v>
      </c>
      <c r="N245" s="4">
        <v>10827980.82</v>
      </c>
      <c r="O245" s="4">
        <v>45624104.560000002</v>
      </c>
      <c r="P245" s="4">
        <v>1542729.6600000001</v>
      </c>
      <c r="Q245" s="4">
        <v>1291348.42</v>
      </c>
      <c r="R245" s="4">
        <v>1211699.4000000001</v>
      </c>
      <c r="S245" s="4">
        <v>2174861.79</v>
      </c>
      <c r="T245" s="4">
        <v>1865334.8599999999</v>
      </c>
      <c r="U245" s="4">
        <v>150150.43</v>
      </c>
      <c r="V245" s="4">
        <v>1791296.9000000001</v>
      </c>
      <c r="W245" s="4">
        <v>4609331.9700000007</v>
      </c>
      <c r="X245" s="4">
        <v>587197.06999999995</v>
      </c>
      <c r="Y245" s="4">
        <v>1690465.3100000003</v>
      </c>
      <c r="Z245" s="4">
        <v>1500951.3599999999</v>
      </c>
      <c r="AA245" s="4">
        <v>29547695.059999999</v>
      </c>
      <c r="AB245" s="4">
        <v>1726704.2000000002</v>
      </c>
      <c r="AC245" s="4">
        <v>72935221.390000001</v>
      </c>
      <c r="AD245" s="4">
        <v>6844684.6199999992</v>
      </c>
      <c r="AE245" s="4">
        <v>8190882.4900000002</v>
      </c>
      <c r="AF245" s="4">
        <v>20961042.310000002</v>
      </c>
      <c r="AG245" s="4">
        <v>4711106.3</v>
      </c>
      <c r="AH245" s="4">
        <v>16151377.25</v>
      </c>
      <c r="AI245" s="4">
        <v>918180.9</v>
      </c>
      <c r="AJ245" s="4">
        <v>2267054.7999999998</v>
      </c>
      <c r="AK245" s="4">
        <v>2306806.13</v>
      </c>
      <c r="AL245" s="4">
        <v>3423543.07</v>
      </c>
      <c r="AM245" s="4">
        <v>4642425.55</v>
      </c>
      <c r="AN245" s="4">
        <v>11928828.09</v>
      </c>
      <c r="AO245" s="4">
        <v>2733730.1500000004</v>
      </c>
      <c r="AP245" s="4">
        <v>6955972.1400000006</v>
      </c>
      <c r="AQ245" s="4">
        <v>5838712.3000000007</v>
      </c>
      <c r="AR245" s="4">
        <v>980725.2699999999</v>
      </c>
      <c r="AS245" s="4">
        <v>533245.87</v>
      </c>
      <c r="AT245" s="4">
        <v>1442675.3499999999</v>
      </c>
      <c r="AU245" s="4">
        <v>2806776.9400000004</v>
      </c>
      <c r="AV245" s="4">
        <v>82047214.449999988</v>
      </c>
      <c r="AW245" s="4">
        <v>2275496.25</v>
      </c>
      <c r="AX245" s="4">
        <v>1301317.44</v>
      </c>
      <c r="AY245" s="4">
        <v>2979595.15</v>
      </c>
      <c r="AZ245" s="4">
        <v>6790035.54</v>
      </c>
      <c r="BA245" s="4">
        <v>3190279.3100000005</v>
      </c>
      <c r="BB245" s="4">
        <v>1094552.3400000001</v>
      </c>
      <c r="BC245" s="4">
        <v>2437691.6300000004</v>
      </c>
      <c r="BD245" s="4">
        <v>33041884.950000003</v>
      </c>
      <c r="BE245" s="4">
        <v>945549.88000000012</v>
      </c>
      <c r="BF245" s="4">
        <v>571489.06999999995</v>
      </c>
      <c r="BG245" s="4">
        <v>0</v>
      </c>
      <c r="BH245" s="4">
        <f t="shared" si="34"/>
        <v>465848507.81999987</v>
      </c>
    </row>
    <row r="246" spans="1:60" x14ac:dyDescent="0.2">
      <c r="A246" s="3">
        <v>39783</v>
      </c>
      <c r="B246" s="4">
        <v>22877010.920000002</v>
      </c>
      <c r="C246" s="4">
        <v>1851682.8800000001</v>
      </c>
      <c r="D246" s="4">
        <v>10064590.610000001</v>
      </c>
      <c r="E246" s="4">
        <v>3299603.08</v>
      </c>
      <c r="F246" s="4">
        <v>2799720.23</v>
      </c>
      <c r="G246" s="4">
        <v>5200264.96</v>
      </c>
      <c r="H246" s="4">
        <v>5587745.6500000004</v>
      </c>
      <c r="I246" s="4">
        <v>1581570.8599999999</v>
      </c>
      <c r="J246" s="4">
        <v>4712318.9800000004</v>
      </c>
      <c r="K246" s="4">
        <v>2901151.25</v>
      </c>
      <c r="L246" s="4">
        <v>2281244.7000000002</v>
      </c>
      <c r="M246" s="4">
        <v>1971357.5</v>
      </c>
      <c r="N246" s="4">
        <v>15303212.630000001</v>
      </c>
      <c r="O246" s="4">
        <v>64409038.090000004</v>
      </c>
      <c r="P246" s="4">
        <v>2276439.2200000002</v>
      </c>
      <c r="Q246" s="4">
        <v>2550669.11</v>
      </c>
      <c r="R246" s="4">
        <v>1917422.98</v>
      </c>
      <c r="S246" s="4">
        <v>4426783.4000000004</v>
      </c>
      <c r="T246" s="4">
        <v>2516847.08</v>
      </c>
      <c r="U246" s="4">
        <v>301765.83</v>
      </c>
      <c r="V246" s="4">
        <v>2664920.13</v>
      </c>
      <c r="W246" s="4">
        <v>5889519.75</v>
      </c>
      <c r="X246" s="4">
        <v>1130176.05</v>
      </c>
      <c r="Y246" s="4">
        <v>2718397.0100000002</v>
      </c>
      <c r="Z246" s="4">
        <v>2196214.42</v>
      </c>
      <c r="AA246" s="4">
        <v>36683163.780000001</v>
      </c>
      <c r="AB246" s="4">
        <v>3072950.85</v>
      </c>
      <c r="AC246" s="4">
        <v>90792446.039999992</v>
      </c>
      <c r="AD246" s="4">
        <v>9789342.8300000001</v>
      </c>
      <c r="AE246" s="4">
        <v>11081696.23</v>
      </c>
      <c r="AF246" s="4">
        <v>28184630.300000004</v>
      </c>
      <c r="AG246" s="4">
        <v>5939738.7299999995</v>
      </c>
      <c r="AH246" s="4">
        <v>20248096.280000001</v>
      </c>
      <c r="AI246" s="4">
        <v>1693602.1400000001</v>
      </c>
      <c r="AJ246" s="4">
        <v>4200491.6399999997</v>
      </c>
      <c r="AK246" s="4">
        <v>3071509.6599999997</v>
      </c>
      <c r="AL246" s="4">
        <v>4997509.34</v>
      </c>
      <c r="AM246" s="4">
        <v>7079169.0499999998</v>
      </c>
      <c r="AN246" s="4">
        <v>16050707.07</v>
      </c>
      <c r="AO246" s="4">
        <v>4382313.8800000008</v>
      </c>
      <c r="AP246" s="4">
        <v>8832616.0500000007</v>
      </c>
      <c r="AQ246" s="4">
        <v>8660579.5199999996</v>
      </c>
      <c r="AR246" s="4">
        <v>1270653.8500000001</v>
      </c>
      <c r="AS246" s="4">
        <v>991887.77</v>
      </c>
      <c r="AT246" s="4">
        <v>1935703.84</v>
      </c>
      <c r="AU246" s="4">
        <v>4797423.84</v>
      </c>
      <c r="AV246" s="4">
        <v>104630354.06999999</v>
      </c>
      <c r="AW246" s="4">
        <v>3601329.1</v>
      </c>
      <c r="AX246" s="4">
        <v>2162321.81</v>
      </c>
      <c r="AY246" s="4">
        <v>4403117.4399999995</v>
      </c>
      <c r="AZ246" s="4">
        <v>9831177.7699999996</v>
      </c>
      <c r="BA246" s="4">
        <v>3809950.65</v>
      </c>
      <c r="BB246" s="4">
        <v>1895561.27</v>
      </c>
      <c r="BC246" s="4">
        <v>3743659.7</v>
      </c>
      <c r="BD246" s="4">
        <v>41008551.170000002</v>
      </c>
      <c r="BE246" s="4">
        <v>1639866.7699999998</v>
      </c>
      <c r="BF246" s="4">
        <v>1174602.56</v>
      </c>
      <c r="BG246" s="4">
        <v>0</v>
      </c>
      <c r="BH246" s="4">
        <f t="shared" si="34"/>
        <v>625086392.31999981</v>
      </c>
    </row>
    <row r="247" spans="1:60" ht="15.75" thickBot="1" x14ac:dyDescent="0.25">
      <c r="A247" s="3" t="s">
        <v>151</v>
      </c>
      <c r="B247" s="5">
        <f t="shared" ref="B247:AG247" si="35">SUM(B235:B246)</f>
        <v>237262659.94999999</v>
      </c>
      <c r="C247" s="5">
        <f t="shared" si="35"/>
        <v>17594182.349999998</v>
      </c>
      <c r="D247" s="5">
        <f t="shared" si="35"/>
        <v>109650744.91</v>
      </c>
      <c r="E247" s="5">
        <f t="shared" si="35"/>
        <v>32883830.299999997</v>
      </c>
      <c r="F247" s="5">
        <f t="shared" si="35"/>
        <v>30483782.279999997</v>
      </c>
      <c r="G247" s="5">
        <f t="shared" si="35"/>
        <v>51625851.940000005</v>
      </c>
      <c r="H247" s="5">
        <f t="shared" si="35"/>
        <v>54007537.529999994</v>
      </c>
      <c r="I247" s="5">
        <f t="shared" si="35"/>
        <v>18299854.920000002</v>
      </c>
      <c r="J247" s="5">
        <f t="shared" si="35"/>
        <v>48203803.280000001</v>
      </c>
      <c r="K247" s="5">
        <f t="shared" si="35"/>
        <v>30953420.350000001</v>
      </c>
      <c r="L247" s="5">
        <f t="shared" si="35"/>
        <v>23804586.469999999</v>
      </c>
      <c r="M247" s="5">
        <f t="shared" si="35"/>
        <v>19921400.490000002</v>
      </c>
      <c r="N247" s="5">
        <f t="shared" si="35"/>
        <v>150961951.53</v>
      </c>
      <c r="O247" s="5">
        <f t="shared" si="35"/>
        <v>655405222.54000008</v>
      </c>
      <c r="P247" s="5">
        <f t="shared" si="35"/>
        <v>23721544.369999997</v>
      </c>
      <c r="Q247" s="5">
        <f t="shared" si="35"/>
        <v>20001666.82</v>
      </c>
      <c r="R247" s="5">
        <f t="shared" si="35"/>
        <v>17699300.399999999</v>
      </c>
      <c r="S247" s="5">
        <f t="shared" si="35"/>
        <v>34310358.740000002</v>
      </c>
      <c r="T247" s="5">
        <f t="shared" si="35"/>
        <v>27364265.100000001</v>
      </c>
      <c r="U247" s="5">
        <f t="shared" si="35"/>
        <v>2521877.9900000002</v>
      </c>
      <c r="V247" s="5">
        <f t="shared" si="35"/>
        <v>26523140.249999996</v>
      </c>
      <c r="W247" s="5">
        <f t="shared" si="35"/>
        <v>62769279.899999999</v>
      </c>
      <c r="X247" s="5">
        <f t="shared" si="35"/>
        <v>9462858.5700000003</v>
      </c>
      <c r="Y247" s="5">
        <f t="shared" si="35"/>
        <v>25913950.919999998</v>
      </c>
      <c r="Z247" s="5">
        <f t="shared" si="35"/>
        <v>21858522.130000003</v>
      </c>
      <c r="AA247" s="5">
        <f t="shared" si="35"/>
        <v>411069381.33000004</v>
      </c>
      <c r="AB247" s="5">
        <f t="shared" si="35"/>
        <v>25528487.770000003</v>
      </c>
      <c r="AC247" s="5">
        <f t="shared" si="35"/>
        <v>1005753976.25</v>
      </c>
      <c r="AD247" s="5">
        <f t="shared" si="35"/>
        <v>98131913.49000001</v>
      </c>
      <c r="AE247" s="5">
        <f t="shared" si="35"/>
        <v>114415677.63000001</v>
      </c>
      <c r="AF247" s="5">
        <f t="shared" si="35"/>
        <v>293756929.26999998</v>
      </c>
      <c r="AG247" s="5">
        <f t="shared" si="35"/>
        <v>66137332.109999985</v>
      </c>
      <c r="AH247" s="5">
        <f t="shared" ref="AH247:BG247" si="36">SUM(AH235:AH246)</f>
        <v>223295372.30000004</v>
      </c>
      <c r="AI247" s="5">
        <f t="shared" si="36"/>
        <v>13974882.060000001</v>
      </c>
      <c r="AJ247" s="5">
        <f t="shared" si="36"/>
        <v>35481203.099999994</v>
      </c>
      <c r="AK247" s="5">
        <f t="shared" si="36"/>
        <v>33561439.869999997</v>
      </c>
      <c r="AL247" s="5">
        <f t="shared" si="36"/>
        <v>51053415.209999993</v>
      </c>
      <c r="AM247" s="5">
        <f t="shared" si="36"/>
        <v>68070405.530000001</v>
      </c>
      <c r="AN247" s="5">
        <f t="shared" si="36"/>
        <v>169717433.44</v>
      </c>
      <c r="AO247" s="5">
        <f t="shared" si="36"/>
        <v>40491648.500000007</v>
      </c>
      <c r="AP247" s="5">
        <f t="shared" si="36"/>
        <v>96873576.729999989</v>
      </c>
      <c r="AQ247" s="5">
        <f t="shared" si="36"/>
        <v>85929191.729999989</v>
      </c>
      <c r="AR247" s="5">
        <f t="shared" si="36"/>
        <v>13401378.959999999</v>
      </c>
      <c r="AS247" s="5">
        <f t="shared" si="36"/>
        <v>8335354.5500000007</v>
      </c>
      <c r="AT247" s="5">
        <f t="shared" si="36"/>
        <v>18731194.359999999</v>
      </c>
      <c r="AU247" s="5">
        <f t="shared" si="36"/>
        <v>41665821.36999999</v>
      </c>
      <c r="AV247" s="5">
        <f t="shared" si="36"/>
        <v>1166194910.5</v>
      </c>
      <c r="AW247" s="5">
        <f t="shared" si="36"/>
        <v>36271024.539999999</v>
      </c>
      <c r="AX247" s="5">
        <f t="shared" si="36"/>
        <v>18717691.380000003</v>
      </c>
      <c r="AY247" s="5">
        <f t="shared" si="36"/>
        <v>44281101.459999993</v>
      </c>
      <c r="AZ247" s="5">
        <f t="shared" si="36"/>
        <v>98775751.109999999</v>
      </c>
      <c r="BA247" s="5">
        <f t="shared" si="36"/>
        <v>45781618.189999998</v>
      </c>
      <c r="BB247" s="5">
        <f t="shared" si="36"/>
        <v>17765882.760000002</v>
      </c>
      <c r="BC247" s="5">
        <f t="shared" si="36"/>
        <v>35722447.789999999</v>
      </c>
      <c r="BD247" s="5">
        <f t="shared" si="36"/>
        <v>462898900.11000007</v>
      </c>
      <c r="BE247" s="5">
        <f t="shared" si="36"/>
        <v>14926242.76</v>
      </c>
      <c r="BF247" s="5">
        <f t="shared" si="36"/>
        <v>9153973.6000000015</v>
      </c>
      <c r="BG247" s="5">
        <f t="shared" si="36"/>
        <v>0</v>
      </c>
      <c r="BH247" s="5">
        <f>SUM(BH235:BH246)</f>
        <v>6619071153.7899981</v>
      </c>
    </row>
    <row r="248" spans="1:60" ht="15.75" thickTop="1" x14ac:dyDescent="0.2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</row>
    <row r="249" spans="1:60" x14ac:dyDescent="0.2">
      <c r="A249" s="3">
        <v>39083</v>
      </c>
      <c r="B249" s="4">
        <v>19191428.490000002</v>
      </c>
      <c r="C249" s="4">
        <v>1230971.3500000001</v>
      </c>
      <c r="D249" s="4">
        <v>8244580.8099999996</v>
      </c>
      <c r="E249" s="4">
        <v>2577763.69</v>
      </c>
      <c r="F249" s="4">
        <v>2292550.64</v>
      </c>
      <c r="G249" s="4">
        <v>4524621.79</v>
      </c>
      <c r="H249" s="4">
        <v>4283154.6399999997</v>
      </c>
      <c r="I249" s="4">
        <v>1129769.8700000001</v>
      </c>
      <c r="J249" s="4">
        <v>3098619.92</v>
      </c>
      <c r="K249" s="4">
        <v>2179695.69</v>
      </c>
      <c r="L249" s="4">
        <v>1780156.26</v>
      </c>
      <c r="M249" s="4">
        <v>1314676.51</v>
      </c>
      <c r="N249" s="4">
        <v>11786317.32</v>
      </c>
      <c r="O249" s="4">
        <v>50623577.910000004</v>
      </c>
      <c r="P249" s="4">
        <v>1614536.32</v>
      </c>
      <c r="Q249" s="4">
        <v>1258776.18</v>
      </c>
      <c r="R249" s="4">
        <v>1301493.75</v>
      </c>
      <c r="S249" s="4">
        <v>2144576.29</v>
      </c>
      <c r="T249" s="4">
        <v>1867284.84</v>
      </c>
      <c r="U249" s="4">
        <v>125434.74</v>
      </c>
      <c r="V249" s="4">
        <v>1660508.91</v>
      </c>
      <c r="W249" s="4">
        <v>4396089.47</v>
      </c>
      <c r="X249" s="4">
        <v>545366.32999999996</v>
      </c>
      <c r="Y249" s="4">
        <v>1664191.17</v>
      </c>
      <c r="Z249" s="4">
        <v>1399907.68</v>
      </c>
      <c r="AA249" s="4">
        <v>32136857.460000001</v>
      </c>
      <c r="AB249" s="4">
        <v>1842308.7</v>
      </c>
      <c r="AC249" s="4">
        <v>82465937.929999992</v>
      </c>
      <c r="AD249" s="4">
        <v>7153867.4000000004</v>
      </c>
      <c r="AE249" s="4">
        <v>9323335.5800000001</v>
      </c>
      <c r="AF249" s="4">
        <v>23206100.810000002</v>
      </c>
      <c r="AG249" s="4">
        <v>5058668.83</v>
      </c>
      <c r="AH249" s="4">
        <v>17839583.869999997</v>
      </c>
      <c r="AI249" s="4">
        <v>908197.25</v>
      </c>
      <c r="AJ249" s="4">
        <v>1872604.56</v>
      </c>
      <c r="AK249" s="4">
        <v>2285294.94</v>
      </c>
      <c r="AL249" s="4">
        <v>3214376.03</v>
      </c>
      <c r="AM249" s="4">
        <v>4601246.33</v>
      </c>
      <c r="AN249" s="4">
        <v>12910557.770000001</v>
      </c>
      <c r="AO249" s="4">
        <v>4004153.37</v>
      </c>
      <c r="AP249" s="4">
        <v>7384943.6399999997</v>
      </c>
      <c r="AQ249" s="4">
        <v>7104471.0999999996</v>
      </c>
      <c r="AR249" s="4">
        <v>952691.94</v>
      </c>
      <c r="AS249" s="4">
        <v>489583.54</v>
      </c>
      <c r="AT249" s="4">
        <v>1259318.3</v>
      </c>
      <c r="AU249" s="4">
        <v>2708305.54</v>
      </c>
      <c r="AV249" s="4">
        <v>93824293.069999993</v>
      </c>
      <c r="AW249" s="4">
        <v>2142100.7599999998</v>
      </c>
      <c r="AX249" s="4">
        <v>1300230.3400000001</v>
      </c>
      <c r="AY249" s="4">
        <v>3238879.21</v>
      </c>
      <c r="AZ249" s="4">
        <v>7569958.3100000005</v>
      </c>
      <c r="BA249" s="4">
        <v>3090569.61</v>
      </c>
      <c r="BB249" s="4">
        <v>1102965.83</v>
      </c>
      <c r="BC249" s="4">
        <v>2220941.06</v>
      </c>
      <c r="BD249" s="4">
        <v>38597924.379999995</v>
      </c>
      <c r="BE249" s="4">
        <v>921440.25</v>
      </c>
      <c r="BF249" s="4">
        <v>535497.06000000006</v>
      </c>
      <c r="BG249" s="4">
        <v>0</v>
      </c>
      <c r="BH249" s="4">
        <f>SUM(B249:BG249)</f>
        <v>515503255.33999991</v>
      </c>
    </row>
    <row r="250" spans="1:60" x14ac:dyDescent="0.2">
      <c r="A250" s="3">
        <v>39114</v>
      </c>
      <c r="B250" s="4">
        <v>16386271.430000002</v>
      </c>
      <c r="C250" s="4">
        <v>1047099.88</v>
      </c>
      <c r="D250" s="4">
        <v>6823080.4399999995</v>
      </c>
      <c r="E250" s="4">
        <v>2178087.91</v>
      </c>
      <c r="F250" s="4">
        <v>1995253.96</v>
      </c>
      <c r="G250" s="4">
        <v>3901026.52</v>
      </c>
      <c r="H250" s="4">
        <v>3616207.7</v>
      </c>
      <c r="I250" s="4">
        <v>923693.93</v>
      </c>
      <c r="J250" s="4">
        <v>2645417.61</v>
      </c>
      <c r="K250" s="4">
        <v>1756997.33</v>
      </c>
      <c r="L250" s="4">
        <v>1445338.58</v>
      </c>
      <c r="M250" s="4">
        <v>1100923.08</v>
      </c>
      <c r="N250" s="4">
        <v>9703743.0700000003</v>
      </c>
      <c r="O250" s="4">
        <v>42724022.810000002</v>
      </c>
      <c r="P250" s="4">
        <v>1289881.28</v>
      </c>
      <c r="Q250" s="4">
        <v>1036599.59</v>
      </c>
      <c r="R250" s="4">
        <v>977305.97</v>
      </c>
      <c r="S250" s="4">
        <v>1726568.32</v>
      </c>
      <c r="T250" s="4">
        <v>1528765.06</v>
      </c>
      <c r="U250" s="4">
        <v>106308.42</v>
      </c>
      <c r="V250" s="4">
        <v>1347589.17</v>
      </c>
      <c r="W250" s="4">
        <v>3750888.42</v>
      </c>
      <c r="X250" s="4">
        <v>447997.04</v>
      </c>
      <c r="Y250" s="4">
        <v>1410579.73</v>
      </c>
      <c r="Z250" s="4">
        <v>1130471.71</v>
      </c>
      <c r="AA250" s="4">
        <v>26524112.34</v>
      </c>
      <c r="AB250" s="4">
        <v>1466063.01</v>
      </c>
      <c r="AC250" s="4">
        <v>69759935.700000003</v>
      </c>
      <c r="AD250" s="4">
        <v>6041845.3200000003</v>
      </c>
      <c r="AE250" s="4">
        <v>7767687.9200000009</v>
      </c>
      <c r="AF250" s="4">
        <v>19505954.57</v>
      </c>
      <c r="AG250" s="4">
        <v>4227442.5199999996</v>
      </c>
      <c r="AH250" s="4">
        <v>14515029.720000001</v>
      </c>
      <c r="AI250" s="4">
        <v>750377.75</v>
      </c>
      <c r="AJ250" s="4">
        <v>1548327.94</v>
      </c>
      <c r="AK250" s="4">
        <v>1885577.51</v>
      </c>
      <c r="AL250" s="4">
        <v>2642496.31</v>
      </c>
      <c r="AM250" s="4">
        <v>3798369.56</v>
      </c>
      <c r="AN250" s="4">
        <v>10637473.859999999</v>
      </c>
      <c r="AO250" s="4">
        <v>2413960.88</v>
      </c>
      <c r="AP250" s="4">
        <v>6154459.75</v>
      </c>
      <c r="AQ250" s="4">
        <v>5902730.3000000007</v>
      </c>
      <c r="AR250" s="4">
        <v>787324.63</v>
      </c>
      <c r="AS250" s="4">
        <v>385114.54</v>
      </c>
      <c r="AT250" s="4">
        <v>1054365.5900000001</v>
      </c>
      <c r="AU250" s="4">
        <v>2205412.37</v>
      </c>
      <c r="AV250" s="4">
        <v>78473037.280000001</v>
      </c>
      <c r="AW250" s="4">
        <v>1723186.17</v>
      </c>
      <c r="AX250" s="4">
        <v>1114064.8</v>
      </c>
      <c r="AY250" s="4">
        <v>2773561.37</v>
      </c>
      <c r="AZ250" s="4">
        <v>6234146.5500000007</v>
      </c>
      <c r="BA250" s="4">
        <v>2567202.7400000002</v>
      </c>
      <c r="BB250" s="4">
        <v>910209.94</v>
      </c>
      <c r="BC250" s="4">
        <v>1885294.89</v>
      </c>
      <c r="BD250" s="4">
        <v>32380484.5</v>
      </c>
      <c r="BE250" s="4">
        <v>744848.21</v>
      </c>
      <c r="BF250" s="4">
        <v>384824.18</v>
      </c>
      <c r="BG250" s="4">
        <v>0</v>
      </c>
      <c r="BH250" s="4">
        <f t="shared" ref="BH250:BH260" si="37">SUM(B250:BG250)</f>
        <v>430165041.67999995</v>
      </c>
    </row>
    <row r="251" spans="1:60" x14ac:dyDescent="0.2">
      <c r="A251" s="3">
        <v>39142</v>
      </c>
      <c r="B251" s="4">
        <v>19723218.170000002</v>
      </c>
      <c r="C251" s="4">
        <v>1731676.75</v>
      </c>
      <c r="D251" s="4">
        <v>9586451.1600000001</v>
      </c>
      <c r="E251" s="4">
        <v>2706633.59</v>
      </c>
      <c r="F251" s="4">
        <v>2433731.59</v>
      </c>
      <c r="G251" s="4">
        <v>5490461.2400000002</v>
      </c>
      <c r="H251" s="4">
        <v>4565685.99</v>
      </c>
      <c r="I251" s="4">
        <v>2172879.9700000002</v>
      </c>
      <c r="J251" s="4">
        <v>4191976.33</v>
      </c>
      <c r="K251" s="4">
        <v>2753897.63</v>
      </c>
      <c r="L251" s="4">
        <v>2381794.29</v>
      </c>
      <c r="M251" s="4">
        <v>2420641.0099999998</v>
      </c>
      <c r="N251" s="4">
        <v>13922290.949999999</v>
      </c>
      <c r="O251" s="4">
        <v>60633220.599999994</v>
      </c>
      <c r="P251" s="4">
        <v>2254616.0099999998</v>
      </c>
      <c r="Q251" s="4">
        <v>2097349.5099999998</v>
      </c>
      <c r="R251" s="4">
        <v>1777459.78</v>
      </c>
      <c r="S251" s="4">
        <v>2740204.2</v>
      </c>
      <c r="T251" s="4">
        <v>2749681.28</v>
      </c>
      <c r="U251" s="4">
        <v>267474.32</v>
      </c>
      <c r="V251" s="4">
        <v>2424866.77</v>
      </c>
      <c r="W251" s="4">
        <v>5692576.6099999994</v>
      </c>
      <c r="X251" s="4">
        <v>1064567.02</v>
      </c>
      <c r="Y251" s="4">
        <v>2656553.14</v>
      </c>
      <c r="Z251" s="4">
        <v>2044090.88</v>
      </c>
      <c r="AA251" s="4">
        <v>33343378.129999999</v>
      </c>
      <c r="AB251" s="4">
        <v>2300189.7999999998</v>
      </c>
      <c r="AC251" s="4">
        <v>88420058.359999999</v>
      </c>
      <c r="AD251" s="4">
        <v>8234249.9600000009</v>
      </c>
      <c r="AE251" s="4">
        <v>11438455.699999999</v>
      </c>
      <c r="AF251" s="4">
        <v>25323570.649999999</v>
      </c>
      <c r="AG251" s="4">
        <v>5666440.5499999998</v>
      </c>
      <c r="AH251" s="4">
        <v>18433586.57</v>
      </c>
      <c r="AI251" s="4">
        <v>1284713.69</v>
      </c>
      <c r="AJ251" s="4">
        <v>2760191.37</v>
      </c>
      <c r="AK251" s="4">
        <v>2955744.29</v>
      </c>
      <c r="AL251" s="4">
        <v>3919900.74</v>
      </c>
      <c r="AM251" s="4">
        <v>5813578.1899999995</v>
      </c>
      <c r="AN251" s="4">
        <v>15442042.869999999</v>
      </c>
      <c r="AO251" s="4">
        <v>3653971.1</v>
      </c>
      <c r="AP251" s="4">
        <v>7661427.7699999996</v>
      </c>
      <c r="AQ251" s="4">
        <v>6134984.6199999992</v>
      </c>
      <c r="AR251" s="4">
        <v>827867.3</v>
      </c>
      <c r="AS251" s="4">
        <v>717297.18</v>
      </c>
      <c r="AT251" s="4">
        <v>1747082.57</v>
      </c>
      <c r="AU251" s="4">
        <v>3508592.88</v>
      </c>
      <c r="AV251" s="4">
        <v>101696594.13</v>
      </c>
      <c r="AW251" s="4">
        <v>2945468.33</v>
      </c>
      <c r="AX251" s="4">
        <v>1705763.62</v>
      </c>
      <c r="AY251" s="4">
        <v>4317805.1100000003</v>
      </c>
      <c r="AZ251" s="4">
        <v>9481882.1899999995</v>
      </c>
      <c r="BA251" s="4">
        <v>3397284.96</v>
      </c>
      <c r="BB251" s="4">
        <v>1545788.93</v>
      </c>
      <c r="BC251" s="4">
        <v>3134582.7</v>
      </c>
      <c r="BD251" s="4">
        <v>40145589.490000002</v>
      </c>
      <c r="BE251" s="4">
        <v>1295134.6100000001</v>
      </c>
      <c r="BF251" s="4">
        <v>1093631.1599999999</v>
      </c>
      <c r="BG251" s="4">
        <v>0</v>
      </c>
      <c r="BH251" s="4">
        <f t="shared" si="37"/>
        <v>580830848.30999994</v>
      </c>
    </row>
    <row r="252" spans="1:60" x14ac:dyDescent="0.2">
      <c r="A252" s="3">
        <v>39173</v>
      </c>
      <c r="B252" s="4">
        <v>17589325.240000002</v>
      </c>
      <c r="C252" s="4">
        <v>1195055.19</v>
      </c>
      <c r="D252" s="4">
        <v>7772004.1700000009</v>
      </c>
      <c r="E252" s="4">
        <v>2289177.7999999998</v>
      </c>
      <c r="F252" s="4">
        <v>2130015.08</v>
      </c>
      <c r="G252" s="4">
        <v>4393744.7300000004</v>
      </c>
      <c r="H252" s="4">
        <v>3677384.43</v>
      </c>
      <c r="I252" s="4">
        <v>1181487.8700000001</v>
      </c>
      <c r="J252" s="4">
        <v>3093714.09</v>
      </c>
      <c r="K252" s="4">
        <v>2186287.9</v>
      </c>
      <c r="L252" s="4">
        <v>1722641.76</v>
      </c>
      <c r="M252" s="4">
        <v>1391177.83</v>
      </c>
      <c r="N252" s="4">
        <v>11698662.57</v>
      </c>
      <c r="O252" s="4">
        <v>46681323.480000004</v>
      </c>
      <c r="P252" s="4">
        <v>1446232.33</v>
      </c>
      <c r="Q252" s="4">
        <v>1241945.3899999999</v>
      </c>
      <c r="R252" s="4">
        <v>1238320.1000000001</v>
      </c>
      <c r="S252" s="4">
        <v>2226261.5499999998</v>
      </c>
      <c r="T252" s="4">
        <v>1776481.06</v>
      </c>
      <c r="U252" s="4">
        <v>144505.35</v>
      </c>
      <c r="V252" s="4">
        <v>1670618.18</v>
      </c>
      <c r="W252" s="4">
        <v>4282086.3899999997</v>
      </c>
      <c r="X252" s="4">
        <v>603833.14</v>
      </c>
      <c r="Y252" s="4">
        <v>1740012.51</v>
      </c>
      <c r="Z252" s="4">
        <v>1573650.61</v>
      </c>
      <c r="AA252" s="4">
        <v>30726019.459999997</v>
      </c>
      <c r="AB252" s="4">
        <v>1857025.13</v>
      </c>
      <c r="AC252" s="4">
        <v>76371739.50999999</v>
      </c>
      <c r="AD252" s="4">
        <v>6952127.040000001</v>
      </c>
      <c r="AE252" s="4">
        <v>8763661.7400000002</v>
      </c>
      <c r="AF252" s="4">
        <v>22170475.609999999</v>
      </c>
      <c r="AG252" s="4">
        <v>4387704.87</v>
      </c>
      <c r="AH252" s="4">
        <v>16227359.699999999</v>
      </c>
      <c r="AI252" s="4">
        <v>929107.93</v>
      </c>
      <c r="AJ252" s="4">
        <v>2647576.73</v>
      </c>
      <c r="AK252" s="4">
        <v>2429649.4700000002</v>
      </c>
      <c r="AL252" s="4">
        <v>3369027.7</v>
      </c>
      <c r="AM252" s="4">
        <v>4807615.1500000004</v>
      </c>
      <c r="AN252" s="4">
        <v>12360493.550000001</v>
      </c>
      <c r="AO252" s="4">
        <v>2646052.04</v>
      </c>
      <c r="AP252" s="4">
        <v>7017045.0499999998</v>
      </c>
      <c r="AQ252" s="4">
        <v>6316391</v>
      </c>
      <c r="AR252" s="4">
        <v>958086.02</v>
      </c>
      <c r="AS252" s="4">
        <v>483982.93</v>
      </c>
      <c r="AT252" s="4">
        <v>1299351.1599999999</v>
      </c>
      <c r="AU252" s="4">
        <v>2810680.81</v>
      </c>
      <c r="AV252" s="4">
        <v>90461521.870000005</v>
      </c>
      <c r="AW252" s="4">
        <v>2302885.25</v>
      </c>
      <c r="AX252" s="4">
        <v>1270296.52</v>
      </c>
      <c r="AY252" s="4">
        <v>2975306.84</v>
      </c>
      <c r="AZ252" s="4">
        <v>7014069.8800000008</v>
      </c>
      <c r="BA252" s="4">
        <v>3036741.73</v>
      </c>
      <c r="BB252" s="4">
        <v>1119996.8</v>
      </c>
      <c r="BC252" s="4">
        <v>2398748.29</v>
      </c>
      <c r="BD252" s="4">
        <v>34100863.329999998</v>
      </c>
      <c r="BE252" s="4">
        <v>1002944.79</v>
      </c>
      <c r="BF252" s="4">
        <v>556243.99</v>
      </c>
      <c r="BG252" s="4">
        <v>0</v>
      </c>
      <c r="BH252" s="4">
        <f t="shared" si="37"/>
        <v>486716740.6400001</v>
      </c>
    </row>
    <row r="253" spans="1:60" x14ac:dyDescent="0.2">
      <c r="A253" s="3">
        <v>39203</v>
      </c>
      <c r="B253" s="4">
        <v>17279103.359999999</v>
      </c>
      <c r="C253" s="4">
        <v>1214223.82</v>
      </c>
      <c r="D253" s="4">
        <v>7607705.75</v>
      </c>
      <c r="E253" s="4">
        <v>2315152.12</v>
      </c>
      <c r="F253" s="4">
        <v>2162478.25</v>
      </c>
      <c r="G253" s="4">
        <v>4380037.8899999997</v>
      </c>
      <c r="H253" s="4">
        <v>3705023.68</v>
      </c>
      <c r="I253" s="4">
        <v>1269586.1100000001</v>
      </c>
      <c r="J253" s="4">
        <v>3089391.53</v>
      </c>
      <c r="K253" s="4">
        <v>2171762.2799999998</v>
      </c>
      <c r="L253" s="4">
        <v>1749257.03</v>
      </c>
      <c r="M253" s="4">
        <v>1422662</v>
      </c>
      <c r="N253" s="4">
        <v>11395795.77</v>
      </c>
      <c r="O253" s="4">
        <v>46860547.329999998</v>
      </c>
      <c r="P253" s="4">
        <v>1412585.66</v>
      </c>
      <c r="Q253" s="4">
        <v>1243389.6000000001</v>
      </c>
      <c r="R253" s="4">
        <v>1274672.96</v>
      </c>
      <c r="S253" s="4">
        <v>2275773.84</v>
      </c>
      <c r="T253" s="4">
        <v>1798921.52</v>
      </c>
      <c r="U253" s="4">
        <v>151346.15</v>
      </c>
      <c r="V253" s="4">
        <v>1684753.41</v>
      </c>
      <c r="W253" s="4">
        <v>4322169.2</v>
      </c>
      <c r="X253" s="4">
        <v>630327.79</v>
      </c>
      <c r="Y253" s="4">
        <v>1774159.47</v>
      </c>
      <c r="Z253" s="4">
        <v>1617831.62</v>
      </c>
      <c r="AA253" s="4">
        <v>30292226.27</v>
      </c>
      <c r="AB253" s="4">
        <v>1871526.21</v>
      </c>
      <c r="AC253" s="4">
        <v>76538129.879999995</v>
      </c>
      <c r="AD253" s="4">
        <v>6990707.2100000009</v>
      </c>
      <c r="AE253" s="4">
        <v>8925087.879999999</v>
      </c>
      <c r="AF253" s="4">
        <v>22604398.040000003</v>
      </c>
      <c r="AG253" s="4">
        <v>4561252.58</v>
      </c>
      <c r="AH253" s="4">
        <v>16699026.550000001</v>
      </c>
      <c r="AI253" s="4">
        <v>902499.89</v>
      </c>
      <c r="AJ253" s="4">
        <v>2615526.73</v>
      </c>
      <c r="AK253" s="4">
        <v>2633389.98</v>
      </c>
      <c r="AL253" s="4">
        <v>3220272.99</v>
      </c>
      <c r="AM253" s="4">
        <v>4783722.59</v>
      </c>
      <c r="AN253" s="4">
        <v>12850529.25</v>
      </c>
      <c r="AO253" s="4">
        <v>2686886.54</v>
      </c>
      <c r="AP253" s="4">
        <v>7074327.6699999999</v>
      </c>
      <c r="AQ253" s="4">
        <v>6408209.4100000001</v>
      </c>
      <c r="AR253" s="4">
        <v>963897.18</v>
      </c>
      <c r="AS253" s="4">
        <v>478585.28</v>
      </c>
      <c r="AT253" s="4">
        <v>1320505.83</v>
      </c>
      <c r="AU253" s="4">
        <v>2860561.24</v>
      </c>
      <c r="AV253" s="4">
        <v>90456868.390000001</v>
      </c>
      <c r="AW253" s="4">
        <v>2372357.69</v>
      </c>
      <c r="AX253" s="4">
        <v>1444664.91</v>
      </c>
      <c r="AY253" s="4">
        <v>3016273.48</v>
      </c>
      <c r="AZ253" s="4">
        <v>7010637.5100000007</v>
      </c>
      <c r="BA253" s="4">
        <v>3081062.77</v>
      </c>
      <c r="BB253" s="4">
        <v>1139517.98</v>
      </c>
      <c r="BC253" s="4">
        <v>2673647</v>
      </c>
      <c r="BD253" s="4">
        <v>34906987.659999996</v>
      </c>
      <c r="BE253" s="4">
        <v>1014800.08</v>
      </c>
      <c r="BF253" s="4">
        <v>563558.93000000005</v>
      </c>
      <c r="BG253" s="4">
        <v>0</v>
      </c>
      <c r="BH253" s="4">
        <f t="shared" si="37"/>
        <v>489770303.74000001</v>
      </c>
    </row>
    <row r="254" spans="1:60" x14ac:dyDescent="0.2">
      <c r="A254" s="3">
        <v>39234</v>
      </c>
      <c r="B254" s="4">
        <v>21117039.509999998</v>
      </c>
      <c r="C254" s="4">
        <v>1783768.89</v>
      </c>
      <c r="D254" s="4">
        <v>10625425.279999999</v>
      </c>
      <c r="E254" s="4">
        <v>3349782.12</v>
      </c>
      <c r="F254" s="4">
        <v>3303092.35</v>
      </c>
      <c r="G254" s="4">
        <v>5574794.0899999999</v>
      </c>
      <c r="H254" s="4">
        <v>5101308.5</v>
      </c>
      <c r="I254" s="4">
        <v>2036628.63</v>
      </c>
      <c r="J254" s="4">
        <v>4566482.68</v>
      </c>
      <c r="K254" s="4">
        <v>2815043.58</v>
      </c>
      <c r="L254" s="4">
        <v>2548575.2799999998</v>
      </c>
      <c r="M254" s="4">
        <v>2104974.44</v>
      </c>
      <c r="N254" s="4">
        <v>16598581.559999999</v>
      </c>
      <c r="O254" s="4">
        <v>69255479.109999999</v>
      </c>
      <c r="P254" s="4">
        <v>2362208.16</v>
      </c>
      <c r="Q254" s="4">
        <v>2075460.12</v>
      </c>
      <c r="R254" s="4">
        <v>2024797.39</v>
      </c>
      <c r="S254" s="4">
        <v>3406216.97</v>
      </c>
      <c r="T254" s="4">
        <v>3350339.98</v>
      </c>
      <c r="U254" s="4">
        <v>291700.18</v>
      </c>
      <c r="V254" s="4">
        <v>2574275.98</v>
      </c>
      <c r="W254" s="4">
        <v>6623006.3700000001</v>
      </c>
      <c r="X254" s="4">
        <v>1188199.55</v>
      </c>
      <c r="Y254" s="4">
        <v>2838650.99</v>
      </c>
      <c r="Z254" s="4">
        <v>2684699.79</v>
      </c>
      <c r="AA254" s="4">
        <v>39178737.579999998</v>
      </c>
      <c r="AB254" s="4">
        <v>2418034.77</v>
      </c>
      <c r="AC254" s="4">
        <v>100345102.95</v>
      </c>
      <c r="AD254" s="4">
        <v>9128244.5199999996</v>
      </c>
      <c r="AE254" s="4">
        <v>12434581.559999999</v>
      </c>
      <c r="AF254" s="4">
        <v>25590431.219999999</v>
      </c>
      <c r="AG254" s="4">
        <v>6418664.4199999999</v>
      </c>
      <c r="AH254" s="4">
        <v>22646809.880000003</v>
      </c>
      <c r="AI254" s="4">
        <v>1578299.62</v>
      </c>
      <c r="AJ254" s="4">
        <v>3576514.96</v>
      </c>
      <c r="AK254" s="4">
        <v>3531201.01</v>
      </c>
      <c r="AL254" s="4">
        <v>5079065.91</v>
      </c>
      <c r="AM254" s="4">
        <v>6192645.3300000001</v>
      </c>
      <c r="AN254" s="4">
        <v>17695606.720000003</v>
      </c>
      <c r="AO254" s="4">
        <v>4080323.59</v>
      </c>
      <c r="AP254" s="4">
        <v>9149942.1999999993</v>
      </c>
      <c r="AQ254" s="4">
        <v>7794268.3200000003</v>
      </c>
      <c r="AR254" s="4">
        <v>1535844.07</v>
      </c>
      <c r="AS254" s="4">
        <v>995068.38</v>
      </c>
      <c r="AT254" s="4">
        <v>1904140.38</v>
      </c>
      <c r="AU254" s="4">
        <v>4165415.92</v>
      </c>
      <c r="AV254" s="4">
        <v>117172736.90000001</v>
      </c>
      <c r="AW254" s="4">
        <v>4015604.36</v>
      </c>
      <c r="AX254" s="4">
        <v>1814055.44</v>
      </c>
      <c r="AY254" s="4">
        <v>4432144.3099999996</v>
      </c>
      <c r="AZ254" s="4">
        <v>8212501.6500000004</v>
      </c>
      <c r="BA254" s="4">
        <v>4329211</v>
      </c>
      <c r="BB254" s="4">
        <v>1816434.42</v>
      </c>
      <c r="BC254" s="4">
        <v>3785083.87</v>
      </c>
      <c r="BD254" s="4">
        <v>48596531.68</v>
      </c>
      <c r="BE254" s="4">
        <v>1608528.04</v>
      </c>
      <c r="BF254" s="4">
        <v>1047345.28</v>
      </c>
      <c r="BG254" s="4">
        <v>0</v>
      </c>
      <c r="BH254" s="4">
        <f t="shared" si="37"/>
        <v>662469651.75999987</v>
      </c>
    </row>
    <row r="255" spans="1:60" x14ac:dyDescent="0.2">
      <c r="A255" s="3">
        <v>39264</v>
      </c>
      <c r="B255" s="4">
        <v>18591732.830000002</v>
      </c>
      <c r="C255" s="4">
        <v>1267570.5900000001</v>
      </c>
      <c r="D255" s="4">
        <v>8197904.8300000001</v>
      </c>
      <c r="E255" s="4">
        <v>2444193.41</v>
      </c>
      <c r="F255" s="4">
        <v>2719033.73</v>
      </c>
      <c r="G255" s="4">
        <v>4727771</v>
      </c>
      <c r="H255" s="4">
        <v>3858982.93</v>
      </c>
      <c r="I255" s="4">
        <v>1396370.43</v>
      </c>
      <c r="J255" s="4">
        <v>3550416.62</v>
      </c>
      <c r="K255" s="4">
        <v>2375962.84</v>
      </c>
      <c r="L255" s="4">
        <v>1739646</v>
      </c>
      <c r="M255" s="4">
        <v>1656288.33</v>
      </c>
      <c r="N255" s="4">
        <v>12154940.210000001</v>
      </c>
      <c r="O255" s="4">
        <v>48559732.179999992</v>
      </c>
      <c r="P255" s="4">
        <v>2110404.9900000002</v>
      </c>
      <c r="Q255" s="4">
        <v>1480940.18</v>
      </c>
      <c r="R255" s="4">
        <v>1450207.47</v>
      </c>
      <c r="S255" s="4">
        <v>2772684.67</v>
      </c>
      <c r="T255" s="4">
        <v>2257189.33</v>
      </c>
      <c r="U255" s="4">
        <v>247396.96</v>
      </c>
      <c r="V255" s="4">
        <v>2026989.78</v>
      </c>
      <c r="W255" s="4">
        <v>5117258.7300000004</v>
      </c>
      <c r="X255" s="4">
        <v>726474.4</v>
      </c>
      <c r="Y255" s="4">
        <v>2008328.02</v>
      </c>
      <c r="Z255" s="4">
        <v>1699801.46</v>
      </c>
      <c r="AA255" s="4">
        <v>32108962.349999998</v>
      </c>
      <c r="AB255" s="4">
        <v>2124777.31</v>
      </c>
      <c r="AC255" s="4">
        <v>79592880.709999993</v>
      </c>
      <c r="AD255" s="4">
        <v>7366026.3099999987</v>
      </c>
      <c r="AE255" s="4">
        <v>9388090.3499999996</v>
      </c>
      <c r="AF255" s="4">
        <v>22846272.749999996</v>
      </c>
      <c r="AG255" s="4">
        <v>4932140.82</v>
      </c>
      <c r="AH255" s="4">
        <v>17322305.400000002</v>
      </c>
      <c r="AI255" s="4">
        <v>1075887.8</v>
      </c>
      <c r="AJ255" s="4">
        <v>2805649.93</v>
      </c>
      <c r="AK255" s="4">
        <v>2958195.32</v>
      </c>
      <c r="AL255" s="4">
        <v>3394806.13</v>
      </c>
      <c r="AM255" s="4">
        <v>5197818.4800000004</v>
      </c>
      <c r="AN255" s="4">
        <v>13473050.09</v>
      </c>
      <c r="AO255" s="4">
        <v>2912752.19</v>
      </c>
      <c r="AP255" s="4">
        <v>7878323.0399999991</v>
      </c>
      <c r="AQ255" s="4">
        <v>6690625.6799999997</v>
      </c>
      <c r="AR255" s="4">
        <v>1111196.71</v>
      </c>
      <c r="AS255" s="4">
        <v>688527.81</v>
      </c>
      <c r="AT255" s="4">
        <v>1546620.19</v>
      </c>
      <c r="AU255" s="4">
        <v>3059052.12</v>
      </c>
      <c r="AV255" s="4">
        <v>97578442.420000002</v>
      </c>
      <c r="AW255" s="4">
        <v>3216832.09</v>
      </c>
      <c r="AX255" s="4">
        <v>1276957.6200000001</v>
      </c>
      <c r="AY255" s="4">
        <v>3156052.44</v>
      </c>
      <c r="AZ255" s="4">
        <v>8069303.7700000014</v>
      </c>
      <c r="BA255" s="4">
        <v>4543466.78</v>
      </c>
      <c r="BB255" s="4">
        <v>1257832.3600000001</v>
      </c>
      <c r="BC255" s="4">
        <v>2513625.9</v>
      </c>
      <c r="BD255" s="4">
        <v>34648809.159999996</v>
      </c>
      <c r="BE255" s="4">
        <v>1113631.76</v>
      </c>
      <c r="BF255" s="4">
        <v>624573.59</v>
      </c>
      <c r="BG255" s="4">
        <v>0</v>
      </c>
      <c r="BH255" s="4">
        <f t="shared" si="37"/>
        <v>521611711.29999977</v>
      </c>
    </row>
    <row r="256" spans="1:60" x14ac:dyDescent="0.2">
      <c r="A256" s="3">
        <v>39295</v>
      </c>
      <c r="B256" s="4">
        <v>17528160.039999999</v>
      </c>
      <c r="C256" s="4">
        <v>1174534.03</v>
      </c>
      <c r="D256" s="4">
        <v>7998888.8700000001</v>
      </c>
      <c r="E256" s="4">
        <v>2334714.1</v>
      </c>
      <c r="F256" s="4">
        <v>2259259.65</v>
      </c>
      <c r="G256" s="4">
        <v>4709751.91</v>
      </c>
      <c r="H256" s="4">
        <v>3749990.94</v>
      </c>
      <c r="I256" s="4">
        <v>1367671.05</v>
      </c>
      <c r="J256" s="4">
        <v>3442300.13</v>
      </c>
      <c r="K256" s="4">
        <v>2177731.66</v>
      </c>
      <c r="L256" s="4">
        <v>1672330.75</v>
      </c>
      <c r="M256" s="4">
        <v>1554569.48</v>
      </c>
      <c r="N256" s="4">
        <v>11442133.300000001</v>
      </c>
      <c r="O256" s="4">
        <v>46642943.479999997</v>
      </c>
      <c r="P256" s="4">
        <v>1960475.97</v>
      </c>
      <c r="Q256" s="4">
        <v>1391445.02</v>
      </c>
      <c r="R256" s="4">
        <v>1338068.95</v>
      </c>
      <c r="S256" s="4">
        <v>2592377.7400000002</v>
      </c>
      <c r="T256" s="4">
        <v>2094200.19</v>
      </c>
      <c r="U256" s="4">
        <v>237411.98</v>
      </c>
      <c r="V256" s="4">
        <v>1942801.65</v>
      </c>
      <c r="W256" s="4">
        <v>4897724.95</v>
      </c>
      <c r="X256" s="4">
        <v>722029.36</v>
      </c>
      <c r="Y256" s="4">
        <v>1901528.94</v>
      </c>
      <c r="Z256" s="4">
        <v>1668556.8</v>
      </c>
      <c r="AA256" s="4">
        <v>30933660.310000002</v>
      </c>
      <c r="AB256" s="4">
        <v>1960537.18</v>
      </c>
      <c r="AC256" s="4">
        <v>78189724.659999996</v>
      </c>
      <c r="AD256" s="4">
        <v>7178739.0299999993</v>
      </c>
      <c r="AE256" s="4">
        <v>9133378.370000001</v>
      </c>
      <c r="AF256" s="4">
        <v>22305658.640000001</v>
      </c>
      <c r="AG256" s="4">
        <v>4847830.9000000004</v>
      </c>
      <c r="AH256" s="4">
        <v>16899585.189999998</v>
      </c>
      <c r="AI256" s="4">
        <v>942049.55</v>
      </c>
      <c r="AJ256" s="4">
        <v>2691923.84</v>
      </c>
      <c r="AK256" s="4">
        <v>2778588.1</v>
      </c>
      <c r="AL256" s="4">
        <v>3262203.37</v>
      </c>
      <c r="AM256" s="4">
        <v>5014439.49</v>
      </c>
      <c r="AN256" s="4">
        <v>13199980.52</v>
      </c>
      <c r="AO256" s="4">
        <v>2845063.8</v>
      </c>
      <c r="AP256" s="4">
        <v>7520830.3400000008</v>
      </c>
      <c r="AQ256" s="4">
        <v>6363196.8300000001</v>
      </c>
      <c r="AR256" s="4">
        <v>1052480.75</v>
      </c>
      <c r="AS256" s="4">
        <v>677091.7</v>
      </c>
      <c r="AT256" s="4">
        <v>1481145.01</v>
      </c>
      <c r="AU256" s="4">
        <v>2913541.52</v>
      </c>
      <c r="AV256" s="4">
        <v>95603718.579999998</v>
      </c>
      <c r="AW256" s="4">
        <v>3060077.82</v>
      </c>
      <c r="AX256" s="4">
        <v>1239280.69</v>
      </c>
      <c r="AY256" s="4">
        <v>3065933.15</v>
      </c>
      <c r="AZ256" s="4">
        <v>7602239.5100000007</v>
      </c>
      <c r="BA256" s="4">
        <v>4291762.96</v>
      </c>
      <c r="BB256" s="4">
        <v>1191207.81</v>
      </c>
      <c r="BC256" s="4">
        <v>2445155.13</v>
      </c>
      <c r="BD256" s="4">
        <v>35518619.469999999</v>
      </c>
      <c r="BE256" s="4">
        <v>1082179.9099999999</v>
      </c>
      <c r="BF256" s="4">
        <v>605041.97</v>
      </c>
      <c r="BG256" s="4">
        <v>0</v>
      </c>
      <c r="BH256" s="4">
        <f t="shared" si="37"/>
        <v>506698467.0399999</v>
      </c>
    </row>
    <row r="257" spans="1:60" x14ac:dyDescent="0.2">
      <c r="A257" s="3">
        <v>39326</v>
      </c>
      <c r="B257" s="4">
        <v>21495404.370000001</v>
      </c>
      <c r="C257" s="4">
        <v>2247472.86</v>
      </c>
      <c r="D257" s="4">
        <v>12478114.82</v>
      </c>
      <c r="E257" s="4">
        <v>3204157.33</v>
      </c>
      <c r="F257" s="4">
        <v>3350961.18</v>
      </c>
      <c r="G257" s="4">
        <v>6763806.21</v>
      </c>
      <c r="H257" s="4">
        <v>5325700.24</v>
      </c>
      <c r="I257" s="4">
        <v>2384833.02</v>
      </c>
      <c r="J257" s="4">
        <v>4964333.41</v>
      </c>
      <c r="K257" s="4">
        <v>3520181.91</v>
      </c>
      <c r="L257" s="4">
        <v>2615645.0699999998</v>
      </c>
      <c r="M257" s="4">
        <v>2357271.88</v>
      </c>
      <c r="N257" s="4">
        <v>15813800.669999998</v>
      </c>
      <c r="O257" s="4">
        <v>64671597.340000004</v>
      </c>
      <c r="P257" s="4">
        <v>2964966.68</v>
      </c>
      <c r="Q257" s="4">
        <v>2426659.89</v>
      </c>
      <c r="R257" s="4">
        <v>2149952.7799999998</v>
      </c>
      <c r="S257" s="4">
        <v>3577225.57</v>
      </c>
      <c r="T257" s="4">
        <v>2985444.62</v>
      </c>
      <c r="U257" s="4">
        <v>462943.07</v>
      </c>
      <c r="V257" s="4">
        <v>3234570.4</v>
      </c>
      <c r="W257" s="4">
        <v>7564021.2000000002</v>
      </c>
      <c r="X257" s="4">
        <v>1059462.96</v>
      </c>
      <c r="Y257" s="4">
        <v>2910249.42</v>
      </c>
      <c r="Z257" s="4">
        <v>2913937.89</v>
      </c>
      <c r="AA257" s="4">
        <v>42548547.990000002</v>
      </c>
      <c r="AB257" s="4">
        <v>2580990.25</v>
      </c>
      <c r="AC257" s="4">
        <v>97215840.289999992</v>
      </c>
      <c r="AD257" s="4">
        <v>9698648.4199999999</v>
      </c>
      <c r="AE257" s="4">
        <v>12700937.02</v>
      </c>
      <c r="AF257" s="4">
        <v>29844394.359999999</v>
      </c>
      <c r="AG257" s="4">
        <v>7759363.8900000006</v>
      </c>
      <c r="AH257" s="4">
        <v>22637333.75</v>
      </c>
      <c r="AI257" s="4">
        <v>1617453.55</v>
      </c>
      <c r="AJ257" s="4">
        <v>4034948.84</v>
      </c>
      <c r="AK257" s="4">
        <v>4281449.2699999996</v>
      </c>
      <c r="AL257" s="4">
        <v>5131825.6399999997</v>
      </c>
      <c r="AM257" s="4">
        <v>6754111.5599999996</v>
      </c>
      <c r="AN257" s="4">
        <v>16521676.899999999</v>
      </c>
      <c r="AO257" s="4">
        <v>4473725.8600000003</v>
      </c>
      <c r="AP257" s="4">
        <v>10212793.550000001</v>
      </c>
      <c r="AQ257" s="4">
        <v>7605710.5600000005</v>
      </c>
      <c r="AR257" s="4">
        <v>1673001.99</v>
      </c>
      <c r="AS257" s="4">
        <v>999180.23</v>
      </c>
      <c r="AT257" s="4">
        <v>2359298.16</v>
      </c>
      <c r="AU257" s="4">
        <v>5057173.83</v>
      </c>
      <c r="AV257" s="4">
        <v>117833324.06</v>
      </c>
      <c r="AW257" s="4">
        <v>3986956.23</v>
      </c>
      <c r="AX257" s="4">
        <v>1948660.82</v>
      </c>
      <c r="AY257" s="4">
        <v>4374696.46</v>
      </c>
      <c r="AZ257" s="4">
        <v>10226528.91</v>
      </c>
      <c r="BA257" s="4">
        <v>5509675.3200000003</v>
      </c>
      <c r="BB257" s="4">
        <v>2065680.88</v>
      </c>
      <c r="BC257" s="4">
        <v>4789560.62</v>
      </c>
      <c r="BD257" s="4">
        <v>45081229.979999997</v>
      </c>
      <c r="BE257" s="4">
        <v>1790050.77</v>
      </c>
      <c r="BF257" s="4">
        <v>1344452.09</v>
      </c>
      <c r="BG257" s="4">
        <v>0</v>
      </c>
      <c r="BH257" s="4">
        <f t="shared" si="37"/>
        <v>678101936.84000015</v>
      </c>
    </row>
    <row r="258" spans="1:60" x14ac:dyDescent="0.2">
      <c r="A258" s="3">
        <v>39356</v>
      </c>
      <c r="B258" s="4">
        <v>17121195.27</v>
      </c>
      <c r="C258" s="4">
        <v>1113108.83</v>
      </c>
      <c r="D258" s="4">
        <v>7808192.2799999993</v>
      </c>
      <c r="E258" s="4">
        <v>2193804.39</v>
      </c>
      <c r="F258" s="4">
        <v>2160618.2999999998</v>
      </c>
      <c r="G258" s="4">
        <v>3902934.54</v>
      </c>
      <c r="H258" s="4">
        <v>3661244.62</v>
      </c>
      <c r="I258" s="4">
        <v>1266273.6499999999</v>
      </c>
      <c r="J258" s="4">
        <v>3191929.87</v>
      </c>
      <c r="K258" s="4">
        <v>2086295.05</v>
      </c>
      <c r="L258" s="4">
        <v>1608139.46</v>
      </c>
      <c r="M258" s="4">
        <v>1459245.21</v>
      </c>
      <c r="N258" s="4">
        <v>11218431.529999999</v>
      </c>
      <c r="O258" s="4">
        <v>45825663.949999996</v>
      </c>
      <c r="P258" s="4">
        <v>1586902.9</v>
      </c>
      <c r="Q258" s="4">
        <v>1327265.48</v>
      </c>
      <c r="R258" s="4">
        <v>1223949.21</v>
      </c>
      <c r="S258" s="4">
        <v>2147338.7200000002</v>
      </c>
      <c r="T258" s="4">
        <v>1909453.74</v>
      </c>
      <c r="U258" s="4">
        <v>172803.84</v>
      </c>
      <c r="V258" s="4">
        <v>1720598.6</v>
      </c>
      <c r="W258" s="4">
        <v>4430755.8499999996</v>
      </c>
      <c r="X258" s="4">
        <v>641897.99</v>
      </c>
      <c r="Y258" s="4">
        <v>1715489.41</v>
      </c>
      <c r="Z258" s="4">
        <v>1553088.77</v>
      </c>
      <c r="AA258" s="4">
        <v>28958507.530000001</v>
      </c>
      <c r="AB258" s="4">
        <v>1785186.45</v>
      </c>
      <c r="AC258" s="4">
        <v>75013123.310000002</v>
      </c>
      <c r="AD258" s="4">
        <v>6856617.4000000004</v>
      </c>
      <c r="AE258" s="4">
        <v>8817861.1400000006</v>
      </c>
      <c r="AF258" s="4">
        <v>21939270.239999998</v>
      </c>
      <c r="AG258" s="4">
        <v>4584412.21</v>
      </c>
      <c r="AH258" s="4">
        <v>17000833.369999997</v>
      </c>
      <c r="AI258" s="4">
        <v>960376.3</v>
      </c>
      <c r="AJ258" s="4">
        <v>2315956.4500000002</v>
      </c>
      <c r="AK258" s="4">
        <v>2383374.0299999998</v>
      </c>
      <c r="AL258" s="4">
        <v>3549336.13</v>
      </c>
      <c r="AM258" s="4">
        <v>4645192.5599999996</v>
      </c>
      <c r="AN258" s="4">
        <v>12183337.6</v>
      </c>
      <c r="AO258" s="4">
        <v>2787821.25</v>
      </c>
      <c r="AP258" s="4">
        <v>6824520.29</v>
      </c>
      <c r="AQ258" s="4">
        <v>6025143.2000000002</v>
      </c>
      <c r="AR258" s="4">
        <v>985810.84</v>
      </c>
      <c r="AS258" s="4">
        <v>570484.1</v>
      </c>
      <c r="AT258" s="4">
        <v>1375519.73</v>
      </c>
      <c r="AU258" s="4">
        <v>2690099.21</v>
      </c>
      <c r="AV258" s="4">
        <v>84987102.890000001</v>
      </c>
      <c r="AW258" s="4">
        <v>2603833.9500000002</v>
      </c>
      <c r="AX258" s="4">
        <v>1218054.9099999999</v>
      </c>
      <c r="AY258" s="4">
        <v>3004448.36</v>
      </c>
      <c r="AZ258" s="4">
        <v>7096243.3399999999</v>
      </c>
      <c r="BA258" s="4">
        <v>3174720.4</v>
      </c>
      <c r="BB258" s="4">
        <v>1066427.01</v>
      </c>
      <c r="BC258" s="4">
        <v>2370679.09</v>
      </c>
      <c r="BD258" s="4">
        <v>33338715.709999997</v>
      </c>
      <c r="BE258" s="4">
        <v>930214.32</v>
      </c>
      <c r="BF258" s="4">
        <v>543259.01</v>
      </c>
      <c r="BG258" s="4">
        <v>0</v>
      </c>
      <c r="BH258" s="4">
        <f t="shared" si="37"/>
        <v>475633103.78999984</v>
      </c>
    </row>
    <row r="259" spans="1:60" x14ac:dyDescent="0.2">
      <c r="A259" s="3">
        <v>39387</v>
      </c>
      <c r="B259" s="4">
        <v>17990372.09</v>
      </c>
      <c r="C259" s="4">
        <v>1207801.05</v>
      </c>
      <c r="D259" s="4">
        <v>8266855.0300000003</v>
      </c>
      <c r="E259" s="4">
        <v>2377538.23</v>
      </c>
      <c r="F259" s="4">
        <v>2233513.7799999998</v>
      </c>
      <c r="G259" s="4">
        <v>4283186.66</v>
      </c>
      <c r="H259" s="4">
        <v>3898239.01</v>
      </c>
      <c r="I259" s="4">
        <v>1276918.6299999999</v>
      </c>
      <c r="J259" s="4">
        <v>3295793.49</v>
      </c>
      <c r="K259" s="4">
        <v>2176873.7200000002</v>
      </c>
      <c r="L259" s="4">
        <v>1716284.43</v>
      </c>
      <c r="M259" s="4">
        <v>1614175.56</v>
      </c>
      <c r="N259" s="4">
        <v>11872398.099999998</v>
      </c>
      <c r="O259" s="4">
        <v>47497047.859999999</v>
      </c>
      <c r="P259" s="4">
        <v>1630041.06</v>
      </c>
      <c r="Q259" s="4">
        <v>1340780.72</v>
      </c>
      <c r="R259" s="4">
        <v>1266911.25</v>
      </c>
      <c r="S259" s="4">
        <v>2272676.5099999998</v>
      </c>
      <c r="T259" s="4">
        <v>1950948.37</v>
      </c>
      <c r="U259" s="4">
        <v>185442.25</v>
      </c>
      <c r="V259" s="4">
        <v>1741025.33</v>
      </c>
      <c r="W259" s="4">
        <v>4637665.6399999997</v>
      </c>
      <c r="X259" s="4">
        <v>625639.49</v>
      </c>
      <c r="Y259" s="4">
        <v>1797421.4</v>
      </c>
      <c r="Z259" s="4">
        <v>1582113.94</v>
      </c>
      <c r="AA259" s="4">
        <v>30310835.620000001</v>
      </c>
      <c r="AB259" s="4">
        <v>1892449.44</v>
      </c>
      <c r="AC259" s="4">
        <v>78274861.5</v>
      </c>
      <c r="AD259" s="4">
        <v>7034171.2800000003</v>
      </c>
      <c r="AE259" s="4">
        <v>9364569.6699999999</v>
      </c>
      <c r="AF259" s="4">
        <v>22736899.399999999</v>
      </c>
      <c r="AG259" s="4">
        <v>4784086.67</v>
      </c>
      <c r="AH259" s="4">
        <v>18024395.240000002</v>
      </c>
      <c r="AI259" s="4">
        <v>991411.63</v>
      </c>
      <c r="AJ259" s="4">
        <v>2397401.0299999998</v>
      </c>
      <c r="AK259" s="4">
        <v>2550063.27</v>
      </c>
      <c r="AL259" s="4">
        <v>3702552.6</v>
      </c>
      <c r="AM259" s="4">
        <v>4784412.4800000004</v>
      </c>
      <c r="AN259" s="4">
        <v>13013136.000000002</v>
      </c>
      <c r="AO259" s="4">
        <v>2836482.96</v>
      </c>
      <c r="AP259" s="4">
        <v>7178065.9799999995</v>
      </c>
      <c r="AQ259" s="4">
        <v>6251499.8300000001</v>
      </c>
      <c r="AR259" s="4">
        <v>1025406.9</v>
      </c>
      <c r="AS259" s="4">
        <v>582609.25</v>
      </c>
      <c r="AT259" s="4">
        <v>1432623.18</v>
      </c>
      <c r="AU259" s="4">
        <v>2893693.1</v>
      </c>
      <c r="AV259" s="4">
        <v>88943320.690000013</v>
      </c>
      <c r="AW259" s="4">
        <v>2648297.3199999998</v>
      </c>
      <c r="AX259" s="4">
        <v>1302606.71</v>
      </c>
      <c r="AY259" s="4">
        <v>3161504.26</v>
      </c>
      <c r="AZ259" s="4">
        <v>7410023.1999999993</v>
      </c>
      <c r="BA259" s="4">
        <v>3396098.13</v>
      </c>
      <c r="BB259" s="4">
        <v>1166845.47</v>
      </c>
      <c r="BC259" s="4">
        <v>2451923.19</v>
      </c>
      <c r="BD259" s="4">
        <v>35192862.840000004</v>
      </c>
      <c r="BE259" s="4">
        <v>975564.34</v>
      </c>
      <c r="BF259" s="4">
        <v>574166.02</v>
      </c>
      <c r="BG259" s="4">
        <v>0</v>
      </c>
      <c r="BH259" s="4">
        <f t="shared" si="37"/>
        <v>498022502.79999989</v>
      </c>
    </row>
    <row r="260" spans="1:60" x14ac:dyDescent="0.2">
      <c r="A260" s="3">
        <v>39417</v>
      </c>
      <c r="B260" s="4">
        <v>26413549.809999999</v>
      </c>
      <c r="C260" s="4">
        <v>2539600.88</v>
      </c>
      <c r="D260" s="4">
        <v>11832518.469999999</v>
      </c>
      <c r="E260" s="4">
        <v>4030107.61</v>
      </c>
      <c r="F260" s="4">
        <v>3132296.07</v>
      </c>
      <c r="G260" s="4">
        <v>6301413.71</v>
      </c>
      <c r="H260" s="4">
        <v>5850778.7999999998</v>
      </c>
      <c r="I260" s="4">
        <v>2302672.09</v>
      </c>
      <c r="J260" s="4">
        <v>4955346.92</v>
      </c>
      <c r="K260" s="4">
        <v>3545435.6</v>
      </c>
      <c r="L260" s="4">
        <v>3039659.4</v>
      </c>
      <c r="M260" s="4">
        <v>2414624.5699999998</v>
      </c>
      <c r="N260" s="4">
        <v>15876839.469999999</v>
      </c>
      <c r="O260" s="4">
        <v>71665269.030000001</v>
      </c>
      <c r="P260" s="4">
        <v>2566702</v>
      </c>
      <c r="Q260" s="4">
        <v>2137922.4900000002</v>
      </c>
      <c r="R260" s="4">
        <v>1980207.27</v>
      </c>
      <c r="S260" s="4">
        <v>3648508.58</v>
      </c>
      <c r="T260" s="4">
        <v>2975710.18</v>
      </c>
      <c r="U260" s="4">
        <v>250820.18</v>
      </c>
      <c r="V260" s="4">
        <v>3354503</v>
      </c>
      <c r="W260" s="4">
        <v>6614074.1699999999</v>
      </c>
      <c r="X260" s="4">
        <v>1060845.69</v>
      </c>
      <c r="Y260" s="4">
        <v>2688388.95</v>
      </c>
      <c r="Z260" s="4">
        <v>2476381.4</v>
      </c>
      <c r="AA260" s="4">
        <v>43886056.140000001</v>
      </c>
      <c r="AB260" s="4">
        <v>2220892.31</v>
      </c>
      <c r="AC260" s="4">
        <v>105796025.95999999</v>
      </c>
      <c r="AD260" s="4">
        <v>10722407.76</v>
      </c>
      <c r="AE260" s="4">
        <v>12611659.279999999</v>
      </c>
      <c r="AF260" s="4">
        <v>29466348.870000001</v>
      </c>
      <c r="AG260" s="4">
        <v>7814405.2400000002</v>
      </c>
      <c r="AH260" s="4">
        <v>23645521.530000001</v>
      </c>
      <c r="AI260" s="4">
        <v>1725804.63</v>
      </c>
      <c r="AJ260" s="4">
        <v>3531896.12</v>
      </c>
      <c r="AK260" s="4">
        <v>3657312.72</v>
      </c>
      <c r="AL260" s="4">
        <v>5402382.8499999996</v>
      </c>
      <c r="AM260" s="4">
        <v>7552461.8499999996</v>
      </c>
      <c r="AN260" s="4">
        <v>19428526.440000001</v>
      </c>
      <c r="AO260" s="4">
        <v>4138996.1</v>
      </c>
      <c r="AP260" s="4">
        <v>10566390.800000001</v>
      </c>
      <c r="AQ260" s="4">
        <v>8573402.0800000001</v>
      </c>
      <c r="AR260" s="4">
        <v>1734848.46</v>
      </c>
      <c r="AS260" s="4">
        <v>966693.48</v>
      </c>
      <c r="AT260" s="4">
        <v>2467195.79</v>
      </c>
      <c r="AU260" s="4">
        <v>4764373.84</v>
      </c>
      <c r="AV260" s="4">
        <v>117615894.38</v>
      </c>
      <c r="AW260" s="4">
        <v>3755856.16</v>
      </c>
      <c r="AX260" s="4">
        <v>2077980.27</v>
      </c>
      <c r="AY260" s="4">
        <v>4992736.4400000004</v>
      </c>
      <c r="AZ260" s="4">
        <v>11031517.870000001</v>
      </c>
      <c r="BA260" s="4">
        <v>4766350.03</v>
      </c>
      <c r="BB260" s="4">
        <v>2302099.39</v>
      </c>
      <c r="BC260" s="4">
        <v>4716151.78</v>
      </c>
      <c r="BD260" s="4">
        <v>49723898</v>
      </c>
      <c r="BE260" s="4">
        <v>1770113.9</v>
      </c>
      <c r="BF260" s="4">
        <v>1335894.68</v>
      </c>
      <c r="BG260" s="4">
        <v>0</v>
      </c>
      <c r="BH260" s="4">
        <f t="shared" si="37"/>
        <v>708416271.48999989</v>
      </c>
    </row>
    <row r="261" spans="1:60" ht="15.75" thickBot="1" x14ac:dyDescent="0.25">
      <c r="A261" s="3" t="s">
        <v>150</v>
      </c>
      <c r="B261" s="5">
        <f t="shared" ref="B261:AG261" si="38">SUM(B249:B260)</f>
        <v>230426800.61000004</v>
      </c>
      <c r="C261" s="5">
        <f t="shared" si="38"/>
        <v>17752884.120000001</v>
      </c>
      <c r="D261" s="5">
        <f t="shared" si="38"/>
        <v>107241721.91</v>
      </c>
      <c r="E261" s="5">
        <f t="shared" si="38"/>
        <v>32001112.300000001</v>
      </c>
      <c r="F261" s="5">
        <f t="shared" si="38"/>
        <v>30172804.579999998</v>
      </c>
      <c r="G261" s="5">
        <f t="shared" si="38"/>
        <v>58953550.289999999</v>
      </c>
      <c r="H261" s="5">
        <f t="shared" si="38"/>
        <v>51293701.479999997</v>
      </c>
      <c r="I261" s="5">
        <f t="shared" si="38"/>
        <v>18708785.25</v>
      </c>
      <c r="J261" s="5">
        <f t="shared" si="38"/>
        <v>44085722.600000001</v>
      </c>
      <c r="K261" s="5">
        <f t="shared" si="38"/>
        <v>29746165.190000001</v>
      </c>
      <c r="L261" s="5">
        <f t="shared" si="38"/>
        <v>24019468.309999999</v>
      </c>
      <c r="M261" s="5">
        <f t="shared" si="38"/>
        <v>20811229.899999999</v>
      </c>
      <c r="N261" s="5">
        <f t="shared" si="38"/>
        <v>153483934.52000001</v>
      </c>
      <c r="O261" s="5">
        <f t="shared" si="38"/>
        <v>641640425.07999992</v>
      </c>
      <c r="P261" s="5">
        <f t="shared" si="38"/>
        <v>23199553.359999999</v>
      </c>
      <c r="Q261" s="5">
        <f t="shared" si="38"/>
        <v>19058534.170000002</v>
      </c>
      <c r="R261" s="5">
        <f t="shared" si="38"/>
        <v>18003346.879999999</v>
      </c>
      <c r="S261" s="5">
        <f t="shared" si="38"/>
        <v>31530412.959999993</v>
      </c>
      <c r="T261" s="5">
        <f t="shared" si="38"/>
        <v>27244420.170000002</v>
      </c>
      <c r="U261" s="5">
        <f t="shared" si="38"/>
        <v>2643587.44</v>
      </c>
      <c r="V261" s="5">
        <f t="shared" si="38"/>
        <v>25383101.18</v>
      </c>
      <c r="W261" s="5">
        <f t="shared" si="38"/>
        <v>62328317.000000007</v>
      </c>
      <c r="X261" s="5">
        <f t="shared" si="38"/>
        <v>9316640.7600000016</v>
      </c>
      <c r="Y261" s="5">
        <f t="shared" si="38"/>
        <v>25105553.149999999</v>
      </c>
      <c r="Z261" s="5">
        <f t="shared" si="38"/>
        <v>22344532.550000001</v>
      </c>
      <c r="AA261" s="5">
        <f t="shared" si="38"/>
        <v>400947901.17999995</v>
      </c>
      <c r="AB261" s="5">
        <f t="shared" si="38"/>
        <v>24319980.559999999</v>
      </c>
      <c r="AC261" s="5">
        <f t="shared" si="38"/>
        <v>1007983360.76</v>
      </c>
      <c r="AD261" s="5">
        <f t="shared" si="38"/>
        <v>93357651.650000021</v>
      </c>
      <c r="AE261" s="5">
        <f t="shared" si="38"/>
        <v>120669306.20999999</v>
      </c>
      <c r="AF261" s="5">
        <f t="shared" si="38"/>
        <v>287539775.16000003</v>
      </c>
      <c r="AG261" s="5">
        <f t="shared" si="38"/>
        <v>65042413.500000007</v>
      </c>
      <c r="AH261" s="5">
        <f t="shared" ref="AH261:BH261" si="39">SUM(AH249:AH260)</f>
        <v>221891370.77000001</v>
      </c>
      <c r="AI261" s="5">
        <f t="shared" si="39"/>
        <v>13666179.59</v>
      </c>
      <c r="AJ261" s="5">
        <f t="shared" si="39"/>
        <v>32798518.5</v>
      </c>
      <c r="AK261" s="5">
        <f t="shared" si="39"/>
        <v>34329839.910000004</v>
      </c>
      <c r="AL261" s="5">
        <f t="shared" si="39"/>
        <v>45888246.400000006</v>
      </c>
      <c r="AM261" s="5">
        <f t="shared" si="39"/>
        <v>63945613.57</v>
      </c>
      <c r="AN261" s="5">
        <f t="shared" si="39"/>
        <v>169716411.56999999</v>
      </c>
      <c r="AO261" s="5">
        <f t="shared" si="39"/>
        <v>39480189.68</v>
      </c>
      <c r="AP261" s="5">
        <f t="shared" si="39"/>
        <v>94623070.080000013</v>
      </c>
      <c r="AQ261" s="5">
        <f t="shared" si="39"/>
        <v>81170632.930000007</v>
      </c>
      <c r="AR261" s="5">
        <f t="shared" si="39"/>
        <v>13608456.789999999</v>
      </c>
      <c r="AS261" s="5">
        <f t="shared" si="39"/>
        <v>8034218.4199999999</v>
      </c>
      <c r="AT261" s="5">
        <f t="shared" si="39"/>
        <v>19247165.890000001</v>
      </c>
      <c r="AU261" s="5">
        <f t="shared" si="39"/>
        <v>39636902.379999995</v>
      </c>
      <c r="AV261" s="5">
        <f t="shared" si="39"/>
        <v>1174646854.6600001</v>
      </c>
      <c r="AW261" s="5">
        <f t="shared" si="39"/>
        <v>34773456.129999995</v>
      </c>
      <c r="AX261" s="5">
        <f t="shared" si="39"/>
        <v>17712616.649999999</v>
      </c>
      <c r="AY261" s="5">
        <f t="shared" si="39"/>
        <v>42509341.43</v>
      </c>
      <c r="AZ261" s="5">
        <f t="shared" si="39"/>
        <v>96959052.690000013</v>
      </c>
      <c r="BA261" s="5">
        <f t="shared" si="39"/>
        <v>45184146.430000007</v>
      </c>
      <c r="BB261" s="5">
        <f t="shared" si="39"/>
        <v>16685006.82</v>
      </c>
      <c r="BC261" s="5">
        <f t="shared" si="39"/>
        <v>35385393.520000003</v>
      </c>
      <c r="BD261" s="5">
        <f t="shared" si="39"/>
        <v>462232516.19999993</v>
      </c>
      <c r="BE261" s="5">
        <f t="shared" si="39"/>
        <v>14249450.98</v>
      </c>
      <c r="BF261" s="5">
        <f t="shared" si="39"/>
        <v>9208487.959999999</v>
      </c>
      <c r="BG261" s="5">
        <f t="shared" si="39"/>
        <v>0</v>
      </c>
      <c r="BH261" s="5">
        <f t="shared" si="39"/>
        <v>6553939834.7299995</v>
      </c>
    </row>
    <row r="262" spans="1:60" ht="15.75" thickTop="1" x14ac:dyDescent="0.2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</row>
    <row r="263" spans="1:60" x14ac:dyDescent="0.2">
      <c r="A263" s="3">
        <v>38718</v>
      </c>
      <c r="B263" s="4">
        <v>19468806.239999998</v>
      </c>
      <c r="C263" s="4">
        <v>1282229.8799999999</v>
      </c>
      <c r="D263" s="4">
        <v>9030693.9900000002</v>
      </c>
      <c r="E263" s="4">
        <v>2578089.04</v>
      </c>
      <c r="F263" s="4">
        <v>2411834.58</v>
      </c>
      <c r="G263" s="4">
        <v>5142898.7300000004</v>
      </c>
      <c r="H263" s="4">
        <v>4307055.66</v>
      </c>
      <c r="I263" s="4">
        <v>1296505.05</v>
      </c>
      <c r="J263" s="4">
        <v>3265212.6</v>
      </c>
      <c r="K263" s="4">
        <v>2502625.4</v>
      </c>
      <c r="L263" s="4">
        <v>1936252.46</v>
      </c>
      <c r="M263" s="4">
        <v>1429079.91</v>
      </c>
      <c r="N263" s="4">
        <v>13284002.709999999</v>
      </c>
      <c r="O263" s="4">
        <v>47721212.949999996</v>
      </c>
      <c r="P263" s="4">
        <v>1623292.4</v>
      </c>
      <c r="Q263" s="4">
        <v>1069860.1200000001</v>
      </c>
      <c r="R263" s="4">
        <v>1241190.08</v>
      </c>
      <c r="S263" s="4">
        <v>2286915.44</v>
      </c>
      <c r="T263" s="4">
        <v>1928290.98</v>
      </c>
      <c r="U263" s="4">
        <v>130921.74</v>
      </c>
      <c r="V263" s="4">
        <v>1770012.48</v>
      </c>
      <c r="W263" s="4">
        <v>4406499.0999999996</v>
      </c>
      <c r="X263" s="4">
        <v>515458.33</v>
      </c>
      <c r="Y263" s="4">
        <v>1932536.34</v>
      </c>
      <c r="Z263" s="4">
        <v>1640006.92</v>
      </c>
      <c r="AA263" s="4">
        <v>33828041.100000001</v>
      </c>
      <c r="AB263" s="4">
        <v>1786084.13</v>
      </c>
      <c r="AC263" s="4">
        <v>85176140.469999999</v>
      </c>
      <c r="AD263" s="4">
        <v>7477015.2999999998</v>
      </c>
      <c r="AE263" s="4">
        <v>11083627.100000001</v>
      </c>
      <c r="AF263" s="4">
        <v>24027784.959999997</v>
      </c>
      <c r="AG263" s="4">
        <v>4752464.47</v>
      </c>
      <c r="AH263" s="4">
        <v>17883886.609999999</v>
      </c>
      <c r="AI263" s="4">
        <v>999185.21</v>
      </c>
      <c r="AJ263" s="4">
        <v>2173592</v>
      </c>
      <c r="AK263" s="4">
        <v>2306392.2400000002</v>
      </c>
      <c r="AL263" s="4">
        <v>3498008.63</v>
      </c>
      <c r="AM263" s="4">
        <v>5041554.6500000004</v>
      </c>
      <c r="AN263" s="4">
        <v>13182197.33</v>
      </c>
      <c r="AO263" s="4">
        <v>2661165.4500000002</v>
      </c>
      <c r="AP263" s="4">
        <v>7479406.3299999991</v>
      </c>
      <c r="AQ263" s="4">
        <v>6397699.8899999997</v>
      </c>
      <c r="AR263" s="4">
        <v>962045.09</v>
      </c>
      <c r="AS263" s="4">
        <v>504892.77</v>
      </c>
      <c r="AT263" s="4">
        <v>1257815.72</v>
      </c>
      <c r="AU263" s="4">
        <v>2686000.4</v>
      </c>
      <c r="AV263" s="4">
        <v>93854555.449999988</v>
      </c>
      <c r="AW263" s="4">
        <v>2234622.2599999998</v>
      </c>
      <c r="AX263" s="4">
        <v>1352713.98</v>
      </c>
      <c r="AY263" s="4">
        <v>3442925.26</v>
      </c>
      <c r="AZ263" s="4">
        <v>8026687.7100000009</v>
      </c>
      <c r="BA263" s="4">
        <v>3150000.11</v>
      </c>
      <c r="BB263" s="4">
        <v>1160887.44</v>
      </c>
      <c r="BC263" s="4">
        <v>2553948.4500000002</v>
      </c>
      <c r="BD263" s="4">
        <v>39086924.159999996</v>
      </c>
      <c r="BE263" s="4">
        <v>1037600.05</v>
      </c>
      <c r="BF263" s="4">
        <v>527862.93000000005</v>
      </c>
      <c r="BG263" s="4">
        <v>0</v>
      </c>
      <c r="BH263" s="4">
        <f>SUM(B263:BG263)</f>
        <v>525795210.77999985</v>
      </c>
    </row>
    <row r="264" spans="1:60" x14ac:dyDescent="0.2">
      <c r="A264" s="3">
        <v>38749</v>
      </c>
      <c r="B264" s="4">
        <v>15308703.17</v>
      </c>
      <c r="C264" s="4">
        <v>1007537.76</v>
      </c>
      <c r="D264" s="4">
        <v>7052204.29</v>
      </c>
      <c r="E264" s="4">
        <v>2025963.69</v>
      </c>
      <c r="F264" s="4">
        <v>1873842.47</v>
      </c>
      <c r="G264" s="4">
        <v>4082231.19</v>
      </c>
      <c r="H264" s="4">
        <v>3442961.65</v>
      </c>
      <c r="I264" s="4">
        <v>955585.46</v>
      </c>
      <c r="J264" s="4">
        <v>2542113.31</v>
      </c>
      <c r="K264" s="4">
        <v>1778852.35</v>
      </c>
      <c r="L264" s="4">
        <v>1465451.25</v>
      </c>
      <c r="M264" s="4">
        <v>1038270.98</v>
      </c>
      <c r="N264" s="4">
        <v>10282306.09</v>
      </c>
      <c r="O264" s="4">
        <v>38103827.090000004</v>
      </c>
      <c r="P264" s="4">
        <v>1148423.92</v>
      </c>
      <c r="Q264" s="4">
        <v>785985.75</v>
      </c>
      <c r="R264" s="4">
        <v>962493.27</v>
      </c>
      <c r="S264" s="4">
        <v>1721862.69</v>
      </c>
      <c r="T264" s="4">
        <v>1459077.71</v>
      </c>
      <c r="U264" s="4">
        <v>94057.41</v>
      </c>
      <c r="V264" s="4">
        <v>1320761.6299999999</v>
      </c>
      <c r="W264" s="4">
        <v>3402853.7</v>
      </c>
      <c r="X264" s="4">
        <v>393366.96</v>
      </c>
      <c r="Y264" s="4">
        <v>1312124.55</v>
      </c>
      <c r="Z264" s="4">
        <v>1219231.53</v>
      </c>
      <c r="AA264" s="4">
        <v>27178261.199999999</v>
      </c>
      <c r="AB264" s="4">
        <v>1358359.53</v>
      </c>
      <c r="AC264" s="4">
        <v>66964634.680000007</v>
      </c>
      <c r="AD264" s="4">
        <v>6652693.8599999994</v>
      </c>
      <c r="AE264" s="4">
        <v>8596880.2799999993</v>
      </c>
      <c r="AF264" s="4">
        <v>18804417.100000001</v>
      </c>
      <c r="AG264" s="4">
        <v>3612277.89</v>
      </c>
      <c r="AH264" s="4">
        <v>14103914.75</v>
      </c>
      <c r="AI264" s="4">
        <v>744621.99</v>
      </c>
      <c r="AJ264" s="4">
        <v>1620620.01</v>
      </c>
      <c r="AK264" s="4">
        <v>1725807.7</v>
      </c>
      <c r="AL264" s="4">
        <v>2636120.56</v>
      </c>
      <c r="AM264" s="4">
        <v>3936336.8</v>
      </c>
      <c r="AN264" s="4">
        <v>10785148.629999999</v>
      </c>
      <c r="AO264" s="4">
        <v>2963436.12</v>
      </c>
      <c r="AP264" s="4">
        <v>5775346.2599999998</v>
      </c>
      <c r="AQ264" s="4">
        <v>4954352.43</v>
      </c>
      <c r="AR264" s="4">
        <v>750094.22</v>
      </c>
      <c r="AS264" s="4">
        <v>410357.64</v>
      </c>
      <c r="AT264" s="4">
        <v>959894.73</v>
      </c>
      <c r="AU264" s="4">
        <v>2154792.88</v>
      </c>
      <c r="AV264" s="4">
        <v>73232345</v>
      </c>
      <c r="AW264" s="4">
        <v>1722726.99</v>
      </c>
      <c r="AX264" s="4">
        <v>1025383.56</v>
      </c>
      <c r="AY264" s="4">
        <v>2613771.39</v>
      </c>
      <c r="AZ264" s="4">
        <v>5924354</v>
      </c>
      <c r="BA264" s="4">
        <v>2385890.7799999998</v>
      </c>
      <c r="BB264" s="4">
        <v>883625.27</v>
      </c>
      <c r="BC264" s="4">
        <v>1923061.15</v>
      </c>
      <c r="BD264" s="4">
        <v>30295328.189999998</v>
      </c>
      <c r="BE264" s="4">
        <v>760849.47</v>
      </c>
      <c r="BF264" s="4">
        <v>409505.64</v>
      </c>
      <c r="BG264" s="4">
        <v>0</v>
      </c>
      <c r="BH264" s="4">
        <f t="shared" ref="BH264:BH274" si="40">SUM(B264:BG264)</f>
        <v>412645300.56999993</v>
      </c>
    </row>
    <row r="265" spans="1:60" x14ac:dyDescent="0.2">
      <c r="A265" s="3">
        <v>38777</v>
      </c>
      <c r="B265" s="4">
        <v>22456120.5</v>
      </c>
      <c r="C265" s="4">
        <v>1919543.09</v>
      </c>
      <c r="D265" s="4">
        <v>9497679.6600000001</v>
      </c>
      <c r="E265" s="4">
        <v>3298873.13</v>
      </c>
      <c r="F265" s="4">
        <v>2713872.15</v>
      </c>
      <c r="G265" s="4">
        <v>6823914.5800000001</v>
      </c>
      <c r="H265" s="4">
        <v>4861225.09</v>
      </c>
      <c r="I265" s="4">
        <v>1994256.64</v>
      </c>
      <c r="J265" s="4">
        <v>4024196.82</v>
      </c>
      <c r="K265" s="4">
        <v>4038821.46</v>
      </c>
      <c r="L265" s="4">
        <v>2553555.4500000002</v>
      </c>
      <c r="M265" s="4">
        <v>2317793.1800000002</v>
      </c>
      <c r="N265" s="4">
        <v>12649981.85</v>
      </c>
      <c r="O265" s="4">
        <v>64153258.520000003</v>
      </c>
      <c r="P265" s="4">
        <v>2170360.89</v>
      </c>
      <c r="Q265" s="4">
        <v>1276127.98</v>
      </c>
      <c r="R265" s="4">
        <v>1781338.22</v>
      </c>
      <c r="S265" s="4">
        <v>2844928.59</v>
      </c>
      <c r="T265" s="4">
        <v>2870829.99</v>
      </c>
      <c r="U265" s="4">
        <v>286064.98</v>
      </c>
      <c r="V265" s="4">
        <v>2329927.52</v>
      </c>
      <c r="W265" s="4">
        <v>6325284.1899999995</v>
      </c>
      <c r="X265" s="4">
        <v>1164560.52</v>
      </c>
      <c r="Y265" s="4">
        <v>2577365.14</v>
      </c>
      <c r="Z265" s="4">
        <v>2066142.99</v>
      </c>
      <c r="AA265" s="4">
        <v>34029577.479999997</v>
      </c>
      <c r="AB265" s="4">
        <v>2264691.39</v>
      </c>
      <c r="AC265" s="4">
        <v>94261955.760000005</v>
      </c>
      <c r="AD265" s="4">
        <v>8626641.0599999987</v>
      </c>
      <c r="AE265" s="4">
        <v>12161980.030000001</v>
      </c>
      <c r="AF265" s="4">
        <v>26247244.260000002</v>
      </c>
      <c r="AG265" s="4">
        <v>4759941.7699999996</v>
      </c>
      <c r="AH265" s="4">
        <v>22019267.960000001</v>
      </c>
      <c r="AI265" s="4">
        <v>1025670.34</v>
      </c>
      <c r="AJ265" s="4">
        <v>2518141.17</v>
      </c>
      <c r="AK265" s="4">
        <v>3442137.24</v>
      </c>
      <c r="AL265" s="4">
        <v>3963432.89</v>
      </c>
      <c r="AM265" s="4">
        <v>6367037.79</v>
      </c>
      <c r="AN265" s="4">
        <v>13486763.870000001</v>
      </c>
      <c r="AO265" s="4">
        <v>3798833.61</v>
      </c>
      <c r="AP265" s="4">
        <v>8936787.8499999996</v>
      </c>
      <c r="AQ265" s="4">
        <v>8186711.5300000003</v>
      </c>
      <c r="AR265" s="4">
        <v>1404788.24</v>
      </c>
      <c r="AS265" s="4">
        <v>793335.75</v>
      </c>
      <c r="AT265" s="4">
        <v>1687029.3</v>
      </c>
      <c r="AU265" s="4">
        <v>4012616.06</v>
      </c>
      <c r="AV265" s="4">
        <v>93332316.710000008</v>
      </c>
      <c r="AW265" s="4">
        <v>3269696.88</v>
      </c>
      <c r="AX265" s="4">
        <v>2110579.11</v>
      </c>
      <c r="AY265" s="4">
        <v>3860390.91</v>
      </c>
      <c r="AZ265" s="4">
        <v>9768569.8099999987</v>
      </c>
      <c r="BA265" s="4">
        <v>3826911.79</v>
      </c>
      <c r="BB265" s="4">
        <v>1569070.45</v>
      </c>
      <c r="BC265" s="4">
        <v>2819104.36</v>
      </c>
      <c r="BD265" s="4">
        <v>42551641.049999997</v>
      </c>
      <c r="BE265" s="4">
        <v>1276940.57</v>
      </c>
      <c r="BF265" s="4">
        <v>952662.74</v>
      </c>
      <c r="BG265" s="4">
        <v>0</v>
      </c>
      <c r="BH265" s="4">
        <f t="shared" si="40"/>
        <v>598328492.86000013</v>
      </c>
    </row>
    <row r="266" spans="1:60" x14ac:dyDescent="0.2">
      <c r="A266" s="3">
        <v>38808</v>
      </c>
      <c r="B266" s="4">
        <v>16818728.370000001</v>
      </c>
      <c r="C266" s="4">
        <v>1230006.8999999999</v>
      </c>
      <c r="D266" s="4">
        <v>7791146.5700000003</v>
      </c>
      <c r="E266" s="4">
        <v>2216229.46</v>
      </c>
      <c r="F266" s="4">
        <v>2194280.16</v>
      </c>
      <c r="G266" s="4">
        <v>4122291.17</v>
      </c>
      <c r="H266" s="4">
        <v>3524446.56</v>
      </c>
      <c r="I266" s="4">
        <v>1181041.45</v>
      </c>
      <c r="J266" s="4">
        <v>2936866.44</v>
      </c>
      <c r="K266" s="4">
        <v>2214370.7400000002</v>
      </c>
      <c r="L266" s="4">
        <v>1685093.39</v>
      </c>
      <c r="M266" s="4">
        <v>1333520.75</v>
      </c>
      <c r="N266" s="4">
        <v>10914947.460000001</v>
      </c>
      <c r="O266" s="4">
        <v>46248600.799999997</v>
      </c>
      <c r="P266" s="4">
        <v>1444981.87</v>
      </c>
      <c r="Q266" s="4">
        <v>915820.33</v>
      </c>
      <c r="R266" s="4">
        <v>1186390.52</v>
      </c>
      <c r="S266" s="4">
        <v>2188220.7799999998</v>
      </c>
      <c r="T266" s="4">
        <v>1748907.8</v>
      </c>
      <c r="U266" s="4">
        <v>135564.17000000001</v>
      </c>
      <c r="V266" s="4">
        <v>1691385.41</v>
      </c>
      <c r="W266" s="4">
        <v>4252314.42</v>
      </c>
      <c r="X266" s="4">
        <v>587401.23</v>
      </c>
      <c r="Y266" s="4">
        <v>1710410</v>
      </c>
      <c r="Z266" s="4">
        <v>1566047.84</v>
      </c>
      <c r="AA266" s="4">
        <v>30351558.119999997</v>
      </c>
      <c r="AB266" s="4">
        <v>1674717.08</v>
      </c>
      <c r="AC266" s="4">
        <v>74812119.599999994</v>
      </c>
      <c r="AD266" s="4">
        <v>7041448.2999999998</v>
      </c>
      <c r="AE266" s="4">
        <v>9415315.2000000011</v>
      </c>
      <c r="AF266" s="4">
        <v>21628297.960000001</v>
      </c>
      <c r="AG266" s="4">
        <v>4479850.3099999996</v>
      </c>
      <c r="AH266" s="4">
        <v>16167009.409999998</v>
      </c>
      <c r="AI266" s="4">
        <v>880478.51</v>
      </c>
      <c r="AJ266" s="4">
        <v>2157635.5699999998</v>
      </c>
      <c r="AK266" s="4">
        <v>2280831.08</v>
      </c>
      <c r="AL266" s="4">
        <v>3202821.93</v>
      </c>
      <c r="AM266" s="4">
        <v>4505768.63</v>
      </c>
      <c r="AN266" s="4">
        <v>11495226.630000001</v>
      </c>
      <c r="AO266" s="4">
        <v>2356143.73</v>
      </c>
      <c r="AP266" s="4">
        <v>6809491.209999999</v>
      </c>
      <c r="AQ266" s="4">
        <v>6479778.0899999999</v>
      </c>
      <c r="AR266" s="4">
        <v>976068.52</v>
      </c>
      <c r="AS266" s="4">
        <v>516513.55</v>
      </c>
      <c r="AT266" s="4">
        <v>1254071.56</v>
      </c>
      <c r="AU266" s="4">
        <v>2797396.65</v>
      </c>
      <c r="AV266" s="4">
        <v>84572489.390000015</v>
      </c>
      <c r="AW266" s="4">
        <v>2225739.1</v>
      </c>
      <c r="AX266" s="4">
        <v>1195330.6399999999</v>
      </c>
      <c r="AY266" s="4">
        <v>3039814.92</v>
      </c>
      <c r="AZ266" s="4">
        <v>7011204.5499999998</v>
      </c>
      <c r="BA266" s="4">
        <v>2905904.52</v>
      </c>
      <c r="BB266" s="4">
        <v>1109625.17</v>
      </c>
      <c r="BC266" s="4">
        <v>2469513</v>
      </c>
      <c r="BD266" s="4">
        <v>34023795.170000002</v>
      </c>
      <c r="BE266" s="4">
        <v>1054452.03</v>
      </c>
      <c r="BF266" s="4">
        <v>523545.72</v>
      </c>
      <c r="BG266" s="4">
        <v>0</v>
      </c>
      <c r="BH266" s="4">
        <f t="shared" si="40"/>
        <v>473252970.44000006</v>
      </c>
    </row>
    <row r="267" spans="1:60" x14ac:dyDescent="0.2">
      <c r="A267" s="3">
        <v>38838</v>
      </c>
      <c r="B267" s="4">
        <v>16361324.35</v>
      </c>
      <c r="C267" s="4">
        <v>1162913.97</v>
      </c>
      <c r="D267" s="4">
        <v>7642932.5800000001</v>
      </c>
      <c r="E267" s="4">
        <v>2128877.88</v>
      </c>
      <c r="F267" s="4">
        <v>2112165.41</v>
      </c>
      <c r="G267" s="4">
        <v>4133867.81</v>
      </c>
      <c r="H267" s="4">
        <v>3466050.05</v>
      </c>
      <c r="I267" s="4">
        <v>1131517.56</v>
      </c>
      <c r="J267" s="4">
        <v>2852027.36</v>
      </c>
      <c r="K267" s="4">
        <v>2069434.82</v>
      </c>
      <c r="L267" s="4">
        <v>1595784.27</v>
      </c>
      <c r="M267" s="4">
        <v>1290816.7</v>
      </c>
      <c r="N267" s="4">
        <v>10871020.93</v>
      </c>
      <c r="O267" s="4">
        <v>44235393.310000002</v>
      </c>
      <c r="P267" s="4">
        <v>1291421.3700000001</v>
      </c>
      <c r="Q267" s="4">
        <v>877005.31</v>
      </c>
      <c r="R267" s="4">
        <v>1175458.7</v>
      </c>
      <c r="S267" s="4">
        <v>2073329.4</v>
      </c>
      <c r="T267" s="4">
        <v>1813027.46</v>
      </c>
      <c r="U267" s="4">
        <v>120179.77</v>
      </c>
      <c r="V267" s="4">
        <v>1605420.21</v>
      </c>
      <c r="W267" s="4">
        <v>4022582.11</v>
      </c>
      <c r="X267" s="4">
        <v>574230.54</v>
      </c>
      <c r="Y267" s="4">
        <v>1638121.85</v>
      </c>
      <c r="Z267" s="4">
        <v>1505682.87</v>
      </c>
      <c r="AA267" s="4">
        <v>29323476.75</v>
      </c>
      <c r="AB267" s="4">
        <v>1648469.42</v>
      </c>
      <c r="AC267" s="4">
        <v>73472660.109999999</v>
      </c>
      <c r="AD267" s="4">
        <v>6608636.3600000003</v>
      </c>
      <c r="AE267" s="4">
        <v>9137222.25</v>
      </c>
      <c r="AF267" s="4">
        <v>20889306.84</v>
      </c>
      <c r="AG267" s="4">
        <v>4167568.35</v>
      </c>
      <c r="AH267" s="4">
        <v>16099333.940000001</v>
      </c>
      <c r="AI267" s="4">
        <v>827209.79</v>
      </c>
      <c r="AJ267" s="4">
        <v>2099745.81</v>
      </c>
      <c r="AK267" s="4">
        <v>2155725.0299999998</v>
      </c>
      <c r="AL267" s="4">
        <v>3055426.36</v>
      </c>
      <c r="AM267" s="4">
        <v>4456933.5599999996</v>
      </c>
      <c r="AN267" s="4">
        <v>11191399.949999999</v>
      </c>
      <c r="AO267" s="4">
        <v>2310572.5699999998</v>
      </c>
      <c r="AP267" s="4">
        <v>6611347.9100000011</v>
      </c>
      <c r="AQ267" s="4">
        <v>6202818.8300000001</v>
      </c>
      <c r="AR267" s="4">
        <v>911428.55</v>
      </c>
      <c r="AS267" s="4">
        <v>499958.1</v>
      </c>
      <c r="AT267" s="4">
        <v>1197026.05</v>
      </c>
      <c r="AU267" s="4">
        <v>2628339.0699999998</v>
      </c>
      <c r="AV267" s="4">
        <v>82830202.469999999</v>
      </c>
      <c r="AW267" s="4">
        <v>2168684.63</v>
      </c>
      <c r="AX267" s="4">
        <v>1178526.55</v>
      </c>
      <c r="AY267" s="4">
        <v>2918697.66</v>
      </c>
      <c r="AZ267" s="4">
        <v>6840585.3900000006</v>
      </c>
      <c r="BA267" s="4">
        <v>2795507</v>
      </c>
      <c r="BB267" s="4">
        <v>1047923.28</v>
      </c>
      <c r="BC267" s="4">
        <v>2432041.06</v>
      </c>
      <c r="BD267" s="4">
        <v>32139090.32</v>
      </c>
      <c r="BE267" s="4">
        <v>948498.37</v>
      </c>
      <c r="BF267" s="4">
        <v>492123.88</v>
      </c>
      <c r="BG267" s="4">
        <v>0</v>
      </c>
      <c r="BH267" s="4">
        <f t="shared" si="40"/>
        <v>459037072.80000007</v>
      </c>
    </row>
    <row r="268" spans="1:60" x14ac:dyDescent="0.2">
      <c r="A268" s="3">
        <v>38869</v>
      </c>
      <c r="B268" s="4">
        <v>21625444.120000001</v>
      </c>
      <c r="C268" s="4">
        <v>1787331.67</v>
      </c>
      <c r="D268" s="4">
        <v>10272210.120000001</v>
      </c>
      <c r="E268" s="4">
        <v>3050857.05</v>
      </c>
      <c r="F268" s="4">
        <v>2868164.63</v>
      </c>
      <c r="G268" s="4">
        <v>5470498.8200000003</v>
      </c>
      <c r="H268" s="4">
        <v>4576339.75</v>
      </c>
      <c r="I268" s="4">
        <v>1811305.27</v>
      </c>
      <c r="J268" s="4">
        <v>4390464.0999999996</v>
      </c>
      <c r="K268" s="4">
        <v>3762066.71</v>
      </c>
      <c r="L268" s="4">
        <v>2435511.38</v>
      </c>
      <c r="M268" s="4">
        <v>2313058.2599999998</v>
      </c>
      <c r="N268" s="4">
        <v>15001888.729999999</v>
      </c>
      <c r="O268" s="4">
        <v>56957901.280000001</v>
      </c>
      <c r="P268" s="4">
        <v>2501436</v>
      </c>
      <c r="Q268" s="4">
        <v>1732599.06</v>
      </c>
      <c r="R268" s="4">
        <v>2033116.88</v>
      </c>
      <c r="S268" s="4">
        <v>3594926.27</v>
      </c>
      <c r="T268" s="4">
        <v>2817299.28</v>
      </c>
      <c r="U268" s="4">
        <v>329674.64</v>
      </c>
      <c r="V268" s="4">
        <v>2424652.5099999998</v>
      </c>
      <c r="W268" s="4">
        <v>6457742.8599999994</v>
      </c>
      <c r="X268" s="4">
        <v>1254922.06</v>
      </c>
      <c r="Y268" s="4">
        <v>2817240.51</v>
      </c>
      <c r="Z268" s="4">
        <v>2374002.4</v>
      </c>
      <c r="AA268" s="4">
        <v>36539097.850000001</v>
      </c>
      <c r="AB268" s="4">
        <v>3044615.83</v>
      </c>
      <c r="AC268" s="4">
        <v>97332994.310000002</v>
      </c>
      <c r="AD268" s="4">
        <v>9122603.4199999999</v>
      </c>
      <c r="AE268" s="4">
        <v>13923660.060000002</v>
      </c>
      <c r="AF268" s="4">
        <v>27264186.719999999</v>
      </c>
      <c r="AG268" s="4">
        <v>5458430.3599999994</v>
      </c>
      <c r="AH268" s="4">
        <v>20860472.109999999</v>
      </c>
      <c r="AI268" s="4">
        <v>1358354.18</v>
      </c>
      <c r="AJ268" s="4">
        <v>3519451.1</v>
      </c>
      <c r="AK268" s="4">
        <v>3546756</v>
      </c>
      <c r="AL268" s="4">
        <v>4696381.2</v>
      </c>
      <c r="AM268" s="4">
        <v>6696471.1000000006</v>
      </c>
      <c r="AN268" s="4">
        <v>15961355.799999999</v>
      </c>
      <c r="AO268" s="4">
        <v>3855636.79</v>
      </c>
      <c r="AP268" s="4">
        <v>9207452.6900000013</v>
      </c>
      <c r="AQ268" s="4">
        <v>8618016.5800000001</v>
      </c>
      <c r="AR268" s="4">
        <v>1424774.09</v>
      </c>
      <c r="AS268" s="4">
        <v>1039485.4399999999</v>
      </c>
      <c r="AT268" s="4">
        <v>2060400.58</v>
      </c>
      <c r="AU268" s="4">
        <v>4136600.14</v>
      </c>
      <c r="AV268" s="4">
        <v>115184856.93000001</v>
      </c>
      <c r="AW268" s="4">
        <v>3651497.12</v>
      </c>
      <c r="AX268" s="4">
        <v>1861615.94</v>
      </c>
      <c r="AY268" s="4">
        <v>4013303.61</v>
      </c>
      <c r="AZ268" s="4">
        <v>9852522.5899999999</v>
      </c>
      <c r="BA268" s="4">
        <v>4424183.2699999996</v>
      </c>
      <c r="BB268" s="4">
        <v>1786449.26</v>
      </c>
      <c r="BC268" s="4">
        <v>3412800.93</v>
      </c>
      <c r="BD268" s="4">
        <v>39632505.57</v>
      </c>
      <c r="BE268" s="4">
        <v>1413205.77</v>
      </c>
      <c r="BF268" s="4">
        <v>1193423.78</v>
      </c>
      <c r="BG268" s="4">
        <v>0</v>
      </c>
      <c r="BH268" s="4">
        <f t="shared" si="40"/>
        <v>630754215.48000014</v>
      </c>
    </row>
    <row r="269" spans="1:60" x14ac:dyDescent="0.2">
      <c r="A269" s="3">
        <v>38899</v>
      </c>
      <c r="B269" s="4">
        <v>17826436.760000002</v>
      </c>
      <c r="C269" s="4">
        <v>1223182.98</v>
      </c>
      <c r="D269" s="4">
        <v>7728997.96</v>
      </c>
      <c r="E269" s="4">
        <v>2233237.63</v>
      </c>
      <c r="F269" s="4">
        <v>2326159.4300000002</v>
      </c>
      <c r="G269" s="4">
        <v>4553133.08</v>
      </c>
      <c r="H269" s="4">
        <v>3713968.42</v>
      </c>
      <c r="I269" s="4">
        <v>1535393.04</v>
      </c>
      <c r="J269" s="4">
        <v>3299158.27</v>
      </c>
      <c r="K269" s="4">
        <v>2373102.0099999998</v>
      </c>
      <c r="L269" s="4">
        <v>1744553.58</v>
      </c>
      <c r="M269" s="4">
        <v>1517661.15</v>
      </c>
      <c r="N269" s="4">
        <v>11615123.739999998</v>
      </c>
      <c r="O269" s="4">
        <v>47776440.380000003</v>
      </c>
      <c r="P269" s="4">
        <v>1895962.49</v>
      </c>
      <c r="Q269" s="4">
        <v>1270247.6299999999</v>
      </c>
      <c r="R269" s="4">
        <v>1365353.87</v>
      </c>
      <c r="S269" s="4">
        <v>2738118.88</v>
      </c>
      <c r="T269" s="4">
        <v>2084071.59</v>
      </c>
      <c r="U269" s="4">
        <v>234003.02</v>
      </c>
      <c r="V269" s="4">
        <v>1977477.09</v>
      </c>
      <c r="W269" s="4">
        <v>5071423.34</v>
      </c>
      <c r="X269" s="4">
        <v>621205.18000000005</v>
      </c>
      <c r="Y269" s="4">
        <v>1990634.43</v>
      </c>
      <c r="Z269" s="4">
        <v>1639898.87</v>
      </c>
      <c r="AA269" s="4">
        <v>32138152.5</v>
      </c>
      <c r="AB269" s="4">
        <v>1907150.24</v>
      </c>
      <c r="AC269" s="4">
        <v>79214849.140000001</v>
      </c>
      <c r="AD269" s="4">
        <v>7207572.2600000016</v>
      </c>
      <c r="AE269" s="4">
        <v>10437394.109999999</v>
      </c>
      <c r="AF269" s="4">
        <v>23051634.66</v>
      </c>
      <c r="AG269" s="4">
        <v>4725695.3899999997</v>
      </c>
      <c r="AH269" s="4">
        <v>17638593.100000001</v>
      </c>
      <c r="AI269" s="4">
        <v>907830.29</v>
      </c>
      <c r="AJ269" s="4">
        <v>2318150.63</v>
      </c>
      <c r="AK269" s="4">
        <v>2807951.17</v>
      </c>
      <c r="AL269" s="4">
        <v>3562962.79</v>
      </c>
      <c r="AM269" s="4">
        <v>4939626.7</v>
      </c>
      <c r="AN269" s="4">
        <v>12456647.229999999</v>
      </c>
      <c r="AO269" s="4">
        <v>2785478.88</v>
      </c>
      <c r="AP269" s="4">
        <v>7687832.6699999999</v>
      </c>
      <c r="AQ269" s="4">
        <v>0</v>
      </c>
      <c r="AR269" s="4">
        <v>1322800.7</v>
      </c>
      <c r="AS269" s="4">
        <v>731958.79</v>
      </c>
      <c r="AT269" s="4">
        <v>1434222.26</v>
      </c>
      <c r="AU269" s="4">
        <v>3076999.34</v>
      </c>
      <c r="AV269" s="4">
        <v>96349139.420000002</v>
      </c>
      <c r="AW269" s="4">
        <v>3018067.91</v>
      </c>
      <c r="AX269" s="4">
        <v>1214157.56</v>
      </c>
      <c r="AY269" s="4">
        <v>3208266.25</v>
      </c>
      <c r="AZ269" s="4">
        <v>7682440.04</v>
      </c>
      <c r="BA269" s="4">
        <v>4229088.82</v>
      </c>
      <c r="BB269" s="4">
        <v>1165053.3899999999</v>
      </c>
      <c r="BC269" s="4">
        <v>2640769.5499999998</v>
      </c>
      <c r="BD269" s="4">
        <v>34540953</v>
      </c>
      <c r="BE269" s="4">
        <v>1128448.67</v>
      </c>
      <c r="BF269" s="4">
        <v>635559.62</v>
      </c>
      <c r="BG269" s="4">
        <v>0</v>
      </c>
      <c r="BH269" s="4">
        <f t="shared" si="40"/>
        <v>506520391.90000021</v>
      </c>
    </row>
    <row r="270" spans="1:60" x14ac:dyDescent="0.2">
      <c r="A270" s="3">
        <v>38930</v>
      </c>
      <c r="B270" s="4">
        <v>17256251.09</v>
      </c>
      <c r="C270" s="4">
        <v>1150077.49</v>
      </c>
      <c r="D270" s="4">
        <v>7778729.4699999997</v>
      </c>
      <c r="E270" s="4">
        <v>2212349.0099999998</v>
      </c>
      <c r="F270" s="4">
        <v>2243364.54</v>
      </c>
      <c r="G270" s="4">
        <v>4679951.71</v>
      </c>
      <c r="H270" s="4">
        <v>3899461.91</v>
      </c>
      <c r="I270" s="4">
        <v>1232482.7</v>
      </c>
      <c r="J270" s="4">
        <v>3188495.05</v>
      </c>
      <c r="K270" s="4">
        <v>2270907.67</v>
      </c>
      <c r="L270" s="4">
        <v>1678218.99</v>
      </c>
      <c r="M270" s="4">
        <v>1481697.65</v>
      </c>
      <c r="N270" s="4">
        <v>11192606.93</v>
      </c>
      <c r="O270" s="4">
        <v>45636861.649999999</v>
      </c>
      <c r="P270" s="4">
        <v>1836256.35</v>
      </c>
      <c r="Q270" s="4">
        <v>1317377.04</v>
      </c>
      <c r="R270" s="4">
        <v>1280550.1000000001</v>
      </c>
      <c r="S270" s="4">
        <v>2654964.94</v>
      </c>
      <c r="T270" s="4">
        <v>2035482.93</v>
      </c>
      <c r="U270" s="4">
        <v>218381.89</v>
      </c>
      <c r="V270" s="4">
        <v>1953322.86</v>
      </c>
      <c r="W270" s="4">
        <v>4814473.4800000004</v>
      </c>
      <c r="X270" s="4">
        <v>610107.31000000006</v>
      </c>
      <c r="Y270" s="4">
        <v>1857580.25</v>
      </c>
      <c r="Z270" s="4">
        <v>1588373.27</v>
      </c>
      <c r="AA270" s="4">
        <v>30390542.100000001</v>
      </c>
      <c r="AB270" s="4">
        <v>1829673.36</v>
      </c>
      <c r="AC270" s="4">
        <v>74313676.379999995</v>
      </c>
      <c r="AD270" s="4">
        <v>6849665.5700000003</v>
      </c>
      <c r="AE270" s="4">
        <v>10012355.060000001</v>
      </c>
      <c r="AF270" s="4">
        <v>21902417.959999997</v>
      </c>
      <c r="AG270" s="4">
        <v>4594838.24</v>
      </c>
      <c r="AH270" s="4">
        <v>16403593.52</v>
      </c>
      <c r="AI270" s="4">
        <v>906588.82</v>
      </c>
      <c r="AJ270" s="4">
        <v>2216891.69</v>
      </c>
      <c r="AK270" s="4">
        <v>2665522.63</v>
      </c>
      <c r="AL270" s="4">
        <v>3311124.48</v>
      </c>
      <c r="AM270" s="4">
        <v>4745840.67</v>
      </c>
      <c r="AN270" s="4">
        <v>11403912.000000002</v>
      </c>
      <c r="AO270" s="4">
        <v>2696673.03</v>
      </c>
      <c r="AP270" s="4">
        <v>7385780.1999999993</v>
      </c>
      <c r="AQ270" s="4">
        <v>0</v>
      </c>
      <c r="AR270" s="4">
        <v>1078012.77</v>
      </c>
      <c r="AS270" s="4">
        <v>741458.81</v>
      </c>
      <c r="AT270" s="4">
        <v>1391069.78</v>
      </c>
      <c r="AU270" s="4">
        <v>2948465.13</v>
      </c>
      <c r="AV270" s="4">
        <v>89614510.550000012</v>
      </c>
      <c r="AW270" s="4">
        <v>2933530.32</v>
      </c>
      <c r="AX270" s="4">
        <v>1174615.5</v>
      </c>
      <c r="AY270" s="4">
        <v>3012823.94</v>
      </c>
      <c r="AZ270" s="4">
        <v>7476368.2199999997</v>
      </c>
      <c r="BA270" s="4">
        <v>4044451.39</v>
      </c>
      <c r="BB270" s="4">
        <v>1159290.6000000001</v>
      </c>
      <c r="BC270" s="4">
        <v>2565874.2400000002</v>
      </c>
      <c r="BD270" s="4">
        <v>32727990.109999999</v>
      </c>
      <c r="BE270" s="4">
        <v>1076635.69</v>
      </c>
      <c r="BF270" s="4">
        <v>603160.93999999994</v>
      </c>
      <c r="BG270" s="4">
        <v>0</v>
      </c>
      <c r="BH270" s="4">
        <f t="shared" si="40"/>
        <v>480245679.97999996</v>
      </c>
    </row>
    <row r="271" spans="1:60" x14ac:dyDescent="0.2">
      <c r="A271" s="3">
        <v>38961</v>
      </c>
      <c r="B271" s="4">
        <v>22204487.73</v>
      </c>
      <c r="C271" s="4">
        <v>1854848.87</v>
      </c>
      <c r="D271" s="4">
        <v>10780942.66</v>
      </c>
      <c r="E271" s="4">
        <v>3447662.45</v>
      </c>
      <c r="F271" s="4">
        <v>2929778.41</v>
      </c>
      <c r="G271" s="4">
        <v>6581082.3200000003</v>
      </c>
      <c r="H271" s="4">
        <v>4918202.38</v>
      </c>
      <c r="I271" s="4">
        <v>2005661.47</v>
      </c>
      <c r="J271" s="4">
        <v>4745798.13</v>
      </c>
      <c r="K271" s="4">
        <v>2880373.08</v>
      </c>
      <c r="L271" s="4">
        <v>1921185.35</v>
      </c>
      <c r="M271" s="4">
        <v>2595023.04</v>
      </c>
      <c r="N271" s="4">
        <v>15603539.900000002</v>
      </c>
      <c r="O271" s="4">
        <v>56588373.789999999</v>
      </c>
      <c r="P271" s="4">
        <v>3237061.16</v>
      </c>
      <c r="Q271" s="4">
        <v>2508238.61</v>
      </c>
      <c r="R271" s="4">
        <v>2021619.82</v>
      </c>
      <c r="S271" s="4">
        <v>3342142.64</v>
      </c>
      <c r="T271" s="4">
        <v>3191442.51</v>
      </c>
      <c r="U271" s="4">
        <v>492597.03</v>
      </c>
      <c r="V271" s="4">
        <v>2596337.46</v>
      </c>
      <c r="W271" s="4">
        <v>6785749.0899999999</v>
      </c>
      <c r="X271" s="4">
        <v>1449661.17</v>
      </c>
      <c r="Y271" s="4">
        <v>2491945.75</v>
      </c>
      <c r="Z271" s="4">
        <v>2582390.33</v>
      </c>
      <c r="AA271" s="4">
        <v>32005965.839999996</v>
      </c>
      <c r="AB271" s="4">
        <v>2780754</v>
      </c>
      <c r="AC271" s="4">
        <v>99880640.609999999</v>
      </c>
      <c r="AD271" s="4">
        <v>9298148.9399999995</v>
      </c>
      <c r="AE271" s="4">
        <v>12705565.149999999</v>
      </c>
      <c r="AF271" s="4">
        <v>27059318.849999998</v>
      </c>
      <c r="AG271" s="4">
        <v>5963826.25</v>
      </c>
      <c r="AH271" s="4">
        <v>21905566.440000001</v>
      </c>
      <c r="AI271" s="4">
        <v>1651260.75</v>
      </c>
      <c r="AJ271" s="4">
        <v>3341386.52</v>
      </c>
      <c r="AK271" s="4">
        <v>3878702.79</v>
      </c>
      <c r="AL271" s="4">
        <v>4478882.6500000004</v>
      </c>
      <c r="AM271" s="4">
        <v>6073667.1400000006</v>
      </c>
      <c r="AN271" s="4">
        <v>16173120.07</v>
      </c>
      <c r="AO271" s="4">
        <v>3985444.78</v>
      </c>
      <c r="AP271" s="4">
        <v>8975084.8800000008</v>
      </c>
      <c r="AQ271" s="4">
        <v>6547203.8200000003</v>
      </c>
      <c r="AR271" s="4">
        <v>1395861.47</v>
      </c>
      <c r="AS271" s="4">
        <v>1145565.69</v>
      </c>
      <c r="AT271" s="4">
        <v>2241813.7400000002</v>
      </c>
      <c r="AU271" s="4">
        <v>3688217.29</v>
      </c>
      <c r="AV271" s="4">
        <v>120384739.35999998</v>
      </c>
      <c r="AW271" s="4">
        <v>3496547.34</v>
      </c>
      <c r="AX271" s="4">
        <v>2439455.08</v>
      </c>
      <c r="AY271" s="4">
        <v>4095345.79</v>
      </c>
      <c r="AZ271" s="4">
        <v>10978791.41</v>
      </c>
      <c r="BA271" s="4">
        <v>5978178.9100000001</v>
      </c>
      <c r="BB271" s="4">
        <v>1879073.84</v>
      </c>
      <c r="BC271" s="4">
        <v>3190948.28</v>
      </c>
      <c r="BD271" s="4">
        <v>45866534.560000002</v>
      </c>
      <c r="BE271" s="4">
        <v>1532794.99</v>
      </c>
      <c r="BF271" s="4">
        <v>1123839.3899999999</v>
      </c>
      <c r="BG271" s="4">
        <v>0</v>
      </c>
      <c r="BH271" s="4">
        <f t="shared" si="40"/>
        <v>645898391.76999986</v>
      </c>
    </row>
    <row r="272" spans="1:60" x14ac:dyDescent="0.2">
      <c r="A272" s="3">
        <v>38991</v>
      </c>
      <c r="B272" s="4">
        <v>18924947.330000002</v>
      </c>
      <c r="C272" s="4">
        <v>1165337.1100000001</v>
      </c>
      <c r="D272" s="4">
        <v>7546291.3700000001</v>
      </c>
      <c r="E272" s="4">
        <v>2247201.96</v>
      </c>
      <c r="F272" s="4">
        <v>2060762.48</v>
      </c>
      <c r="G272" s="4">
        <v>4112617.19</v>
      </c>
      <c r="H272" s="4">
        <v>3606657.51</v>
      </c>
      <c r="I272" s="4">
        <v>1358752.15</v>
      </c>
      <c r="J272" s="4">
        <v>3052946.5</v>
      </c>
      <c r="K272" s="4">
        <v>2229314.3199999998</v>
      </c>
      <c r="L272" s="4">
        <v>1652812.78</v>
      </c>
      <c r="M272" s="4">
        <v>1519797.57</v>
      </c>
      <c r="N272" s="4">
        <v>11652800.32</v>
      </c>
      <c r="O272" s="4">
        <v>46337519.25</v>
      </c>
      <c r="P272" s="4">
        <v>1776806.34</v>
      </c>
      <c r="Q272" s="4">
        <v>1304277.05</v>
      </c>
      <c r="R272" s="4">
        <v>1196242.08</v>
      </c>
      <c r="S272" s="4">
        <v>2334879.71</v>
      </c>
      <c r="T272" s="4">
        <v>1918497.51</v>
      </c>
      <c r="U272" s="4">
        <v>185196.9</v>
      </c>
      <c r="V272" s="4">
        <v>1689577.35</v>
      </c>
      <c r="W272" s="4">
        <v>4450423.58</v>
      </c>
      <c r="X272" s="4">
        <v>585848.81000000006</v>
      </c>
      <c r="Y272" s="4">
        <v>1788151.32</v>
      </c>
      <c r="Z272" s="4">
        <v>1496775.56</v>
      </c>
      <c r="AA272" s="4">
        <v>30220568.740000002</v>
      </c>
      <c r="AB272" s="4">
        <v>1772325.56</v>
      </c>
      <c r="AC272" s="4">
        <v>77746745.459999993</v>
      </c>
      <c r="AD272" s="4">
        <v>7043943.7200000007</v>
      </c>
      <c r="AE272" s="4">
        <v>8884178.3699999992</v>
      </c>
      <c r="AF272" s="4">
        <v>22991473.030000001</v>
      </c>
      <c r="AG272" s="4">
        <v>4604753.66</v>
      </c>
      <c r="AH272" s="4">
        <v>17468943.809999999</v>
      </c>
      <c r="AI272" s="4">
        <v>895917.6</v>
      </c>
      <c r="AJ272" s="4">
        <v>2049964.68</v>
      </c>
      <c r="AK272" s="4">
        <v>2447251.79</v>
      </c>
      <c r="AL272" s="4">
        <v>3282233.89</v>
      </c>
      <c r="AM272" s="4">
        <v>4582202.82</v>
      </c>
      <c r="AN272" s="4">
        <v>13466161.9</v>
      </c>
      <c r="AO272" s="4">
        <v>2754500.17</v>
      </c>
      <c r="AP272" s="4">
        <v>6992903.75</v>
      </c>
      <c r="AQ272" s="4">
        <v>6337822.7299999995</v>
      </c>
      <c r="AR272" s="4">
        <v>954928.5</v>
      </c>
      <c r="AS272" s="4">
        <v>539220.53</v>
      </c>
      <c r="AT272" s="4">
        <v>1362236.06</v>
      </c>
      <c r="AU272" s="4">
        <v>2817057.21</v>
      </c>
      <c r="AV272" s="4">
        <v>89113287.870000005</v>
      </c>
      <c r="AW272" s="4">
        <v>2478923.46</v>
      </c>
      <c r="AX272" s="4">
        <v>1232123.97</v>
      </c>
      <c r="AY272" s="4">
        <v>3100968.09</v>
      </c>
      <c r="AZ272" s="4">
        <v>7461475.3599999994</v>
      </c>
      <c r="BA272" s="4">
        <v>3346691.91</v>
      </c>
      <c r="BB272" s="4">
        <v>1061827.83</v>
      </c>
      <c r="BC272" s="4">
        <v>2421408.5299999998</v>
      </c>
      <c r="BD272" s="4">
        <v>35749326.379999995</v>
      </c>
      <c r="BE272" s="4">
        <v>997028.79</v>
      </c>
      <c r="BF272" s="4">
        <v>592571.92000000004</v>
      </c>
      <c r="BG272" s="4">
        <v>0</v>
      </c>
      <c r="BH272" s="4">
        <f t="shared" si="40"/>
        <v>492965402.14000005</v>
      </c>
    </row>
    <row r="273" spans="1:60" x14ac:dyDescent="0.2">
      <c r="A273" s="3">
        <v>39022</v>
      </c>
      <c r="B273" s="4">
        <v>17379986.09</v>
      </c>
      <c r="C273" s="4">
        <v>1114591.72</v>
      </c>
      <c r="D273" s="4">
        <v>7030853.1199999992</v>
      </c>
      <c r="E273" s="4">
        <v>2130504.9700000002</v>
      </c>
      <c r="F273" s="4">
        <v>1985086.71</v>
      </c>
      <c r="G273" s="4">
        <v>3719776.77</v>
      </c>
      <c r="H273" s="4">
        <v>3569202.06</v>
      </c>
      <c r="I273" s="4">
        <v>1088980.83</v>
      </c>
      <c r="J273" s="4">
        <v>2939982.57</v>
      </c>
      <c r="K273" s="4">
        <v>2076214.13</v>
      </c>
      <c r="L273" s="4">
        <v>1585516.07</v>
      </c>
      <c r="M273" s="4">
        <v>1367504.27</v>
      </c>
      <c r="N273" s="4">
        <v>10968717.119999999</v>
      </c>
      <c r="O273" s="4">
        <v>44236356.269999996</v>
      </c>
      <c r="P273" s="4">
        <v>1471679.33</v>
      </c>
      <c r="Q273" s="4">
        <v>1166120.2</v>
      </c>
      <c r="R273" s="4">
        <v>1133527.05</v>
      </c>
      <c r="S273" s="4">
        <v>2123921.65</v>
      </c>
      <c r="T273" s="4">
        <v>1742026.06</v>
      </c>
      <c r="U273" s="4">
        <v>155256.60999999999</v>
      </c>
      <c r="V273" s="4">
        <v>1621225.66</v>
      </c>
      <c r="W273" s="4">
        <v>4295580.38</v>
      </c>
      <c r="X273" s="4">
        <v>536654.49</v>
      </c>
      <c r="Y273" s="4">
        <v>1668649.39</v>
      </c>
      <c r="Z273" s="4">
        <v>1425314.71</v>
      </c>
      <c r="AA273" s="4">
        <v>29617516.640000001</v>
      </c>
      <c r="AB273" s="4">
        <v>1664755.92</v>
      </c>
      <c r="AC273" s="4">
        <v>75678180.480000004</v>
      </c>
      <c r="AD273" s="4">
        <v>6580830.290000001</v>
      </c>
      <c r="AE273" s="4">
        <v>8654121.9799999986</v>
      </c>
      <c r="AF273" s="4">
        <v>21911395.969999999</v>
      </c>
      <c r="AG273" s="4">
        <v>4428251.29</v>
      </c>
      <c r="AH273" s="4">
        <v>17079390.460000001</v>
      </c>
      <c r="AI273" s="4">
        <v>826499.93</v>
      </c>
      <c r="AJ273" s="4">
        <v>2322538.9500000002</v>
      </c>
      <c r="AK273" s="4">
        <v>2287294.38</v>
      </c>
      <c r="AL273" s="4">
        <v>3128845.12</v>
      </c>
      <c r="AM273" s="4">
        <v>4272367.53</v>
      </c>
      <c r="AN273" s="4">
        <v>11847864.9</v>
      </c>
      <c r="AO273" s="4">
        <v>2622957.11</v>
      </c>
      <c r="AP273" s="4">
        <v>6841345.4899999993</v>
      </c>
      <c r="AQ273" s="4">
        <v>6097444.8099999996</v>
      </c>
      <c r="AR273" s="4">
        <v>922491.41</v>
      </c>
      <c r="AS273" s="4">
        <v>486690.22</v>
      </c>
      <c r="AT273" s="4">
        <v>1331267.82</v>
      </c>
      <c r="AU273" s="4">
        <v>2607292.85</v>
      </c>
      <c r="AV273" s="4">
        <v>85772145.169999987</v>
      </c>
      <c r="AW273" s="4">
        <v>2198236.4500000002</v>
      </c>
      <c r="AX273" s="4">
        <v>1186229.44</v>
      </c>
      <c r="AY273" s="4">
        <v>2903480.04</v>
      </c>
      <c r="AZ273" s="4">
        <v>7007522.75</v>
      </c>
      <c r="BA273" s="4">
        <v>3192874.68</v>
      </c>
      <c r="BB273" s="4">
        <v>1009175.22</v>
      </c>
      <c r="BC273" s="4">
        <v>2107996.87</v>
      </c>
      <c r="BD273" s="4">
        <v>33857232.100000001</v>
      </c>
      <c r="BE273" s="4">
        <v>928300.59</v>
      </c>
      <c r="BF273" s="4">
        <v>541645.76</v>
      </c>
      <c r="BG273" s="4">
        <v>0</v>
      </c>
      <c r="BH273" s="4">
        <f t="shared" si="40"/>
        <v>470447410.84999996</v>
      </c>
    </row>
    <row r="274" spans="1:60" x14ac:dyDescent="0.2">
      <c r="A274" s="3">
        <v>39052</v>
      </c>
      <c r="B274" s="4">
        <v>22305047.039999999</v>
      </c>
      <c r="C274" s="4">
        <v>1991689.77</v>
      </c>
      <c r="D274" s="4">
        <v>11828467.58</v>
      </c>
      <c r="E274" s="4">
        <v>3502098.2</v>
      </c>
      <c r="F274" s="4">
        <v>3335300.81</v>
      </c>
      <c r="G274" s="4">
        <v>8069158.25</v>
      </c>
      <c r="H274" s="4">
        <v>5402598.2699999996</v>
      </c>
      <c r="I274" s="4">
        <v>2322308.7999999998</v>
      </c>
      <c r="J274" s="4">
        <v>4663858.0999999996</v>
      </c>
      <c r="K274" s="4">
        <v>3472855.96</v>
      </c>
      <c r="L274" s="4">
        <v>2442478.77</v>
      </c>
      <c r="M274" s="4">
        <v>2433348.65</v>
      </c>
      <c r="N274" s="4">
        <v>15041657.809999999</v>
      </c>
      <c r="O274" s="4">
        <v>65480428.039999999</v>
      </c>
      <c r="P274" s="4">
        <v>2444492.36</v>
      </c>
      <c r="Q274" s="4">
        <v>2618560.0699999998</v>
      </c>
      <c r="R274" s="4">
        <v>2081714.81</v>
      </c>
      <c r="S274" s="4">
        <v>3126314.88</v>
      </c>
      <c r="T274" s="4">
        <v>2822463.64</v>
      </c>
      <c r="U274" s="4">
        <v>296519.65000000002</v>
      </c>
      <c r="V274" s="4">
        <v>2602281.67</v>
      </c>
      <c r="W274" s="4">
        <v>6401155.4000000004</v>
      </c>
      <c r="X274" s="4">
        <v>995372.42</v>
      </c>
      <c r="Y274" s="4">
        <v>2931897.74</v>
      </c>
      <c r="Z274" s="4">
        <v>2372591.06</v>
      </c>
      <c r="AA274" s="4">
        <v>38513133.810000002</v>
      </c>
      <c r="AB274" s="4">
        <v>2805356.26</v>
      </c>
      <c r="AC274" s="4">
        <v>98851095.150000006</v>
      </c>
      <c r="AD274" s="4">
        <v>9252768.0600000005</v>
      </c>
      <c r="AE274" s="4">
        <v>12371143.989999998</v>
      </c>
      <c r="AF274" s="4">
        <v>29148441.23</v>
      </c>
      <c r="AG274" s="4">
        <v>6449144.7199999997</v>
      </c>
      <c r="AH274" s="4">
        <v>21989115.949999999</v>
      </c>
      <c r="AI274" s="4">
        <v>1539889.46</v>
      </c>
      <c r="AJ274" s="4">
        <v>3299943.25</v>
      </c>
      <c r="AK274" s="4">
        <v>3536802.67</v>
      </c>
      <c r="AL274" s="4">
        <v>4157930.28</v>
      </c>
      <c r="AM274" s="4">
        <v>6536001.8900000006</v>
      </c>
      <c r="AN274" s="4">
        <v>15456117.539999999</v>
      </c>
      <c r="AO274" s="4">
        <v>4849737.2699999996</v>
      </c>
      <c r="AP274" s="4">
        <v>8376953.1900000004</v>
      </c>
      <c r="AQ274" s="4">
        <v>7804731.0199999996</v>
      </c>
      <c r="AR274" s="4">
        <v>1569255.56</v>
      </c>
      <c r="AS274" s="4">
        <v>888511.56</v>
      </c>
      <c r="AT274" s="4">
        <v>2153944.79</v>
      </c>
      <c r="AU274" s="4">
        <v>4227015.46</v>
      </c>
      <c r="AV274" s="4">
        <v>113193511.65000001</v>
      </c>
      <c r="AW274" s="4">
        <v>3133702.15</v>
      </c>
      <c r="AX274" s="4">
        <v>2362538.88</v>
      </c>
      <c r="AY274" s="4">
        <v>4213469.82</v>
      </c>
      <c r="AZ274" s="4">
        <v>10250948.810000001</v>
      </c>
      <c r="BA274" s="4">
        <v>4402444.32</v>
      </c>
      <c r="BB274" s="4">
        <v>1655946.93</v>
      </c>
      <c r="BC274" s="4">
        <v>3792179.87</v>
      </c>
      <c r="BD274" s="4">
        <v>41783485.82</v>
      </c>
      <c r="BE274" s="4">
        <v>1573375.51</v>
      </c>
      <c r="BF274" s="4">
        <v>1148576.31</v>
      </c>
      <c r="BG274" s="4">
        <v>0</v>
      </c>
      <c r="BH274" s="4">
        <f t="shared" si="40"/>
        <v>652271872.92999995</v>
      </c>
    </row>
    <row r="275" spans="1:60" ht="15.75" thickBot="1" x14ac:dyDescent="0.25">
      <c r="A275" s="3" t="s">
        <v>149</v>
      </c>
      <c r="B275" s="5">
        <f t="shared" ref="B275:AG275" si="41">SUM(B263:B274)</f>
        <v>227936282.78999999</v>
      </c>
      <c r="C275" s="5">
        <f t="shared" si="41"/>
        <v>16889291.210000001</v>
      </c>
      <c r="D275" s="5">
        <f t="shared" si="41"/>
        <v>103981149.37000002</v>
      </c>
      <c r="E275" s="5">
        <f t="shared" si="41"/>
        <v>31071944.469999999</v>
      </c>
      <c r="F275" s="5">
        <f t="shared" si="41"/>
        <v>29054611.779999997</v>
      </c>
      <c r="G275" s="5">
        <f t="shared" si="41"/>
        <v>61491421.620000005</v>
      </c>
      <c r="H275" s="5">
        <f t="shared" si="41"/>
        <v>49288169.310000002</v>
      </c>
      <c r="I275" s="5">
        <f t="shared" si="41"/>
        <v>17913790.419999998</v>
      </c>
      <c r="J275" s="5">
        <f t="shared" si="41"/>
        <v>41901119.25</v>
      </c>
      <c r="K275" s="5">
        <f t="shared" si="41"/>
        <v>31668938.650000002</v>
      </c>
      <c r="L275" s="5">
        <f t="shared" si="41"/>
        <v>22696413.740000002</v>
      </c>
      <c r="M275" s="5">
        <f t="shared" si="41"/>
        <v>20637572.109999999</v>
      </c>
      <c r="N275" s="5">
        <f t="shared" si="41"/>
        <v>149078593.59</v>
      </c>
      <c r="O275" s="5">
        <f t="shared" si="41"/>
        <v>603476173.33000004</v>
      </c>
      <c r="P275" s="5">
        <f t="shared" si="41"/>
        <v>22842174.479999997</v>
      </c>
      <c r="Q275" s="5">
        <f t="shared" si="41"/>
        <v>16842219.149999999</v>
      </c>
      <c r="R275" s="5">
        <f t="shared" si="41"/>
        <v>17458995.399999999</v>
      </c>
      <c r="S275" s="5">
        <f t="shared" si="41"/>
        <v>31030525.870000001</v>
      </c>
      <c r="T275" s="5">
        <f t="shared" si="41"/>
        <v>26431417.460000001</v>
      </c>
      <c r="U275" s="5">
        <f t="shared" si="41"/>
        <v>2678417.81</v>
      </c>
      <c r="V275" s="5">
        <f t="shared" si="41"/>
        <v>23582381.850000001</v>
      </c>
      <c r="W275" s="5">
        <f t="shared" si="41"/>
        <v>60686081.650000006</v>
      </c>
      <c r="X275" s="5">
        <f t="shared" si="41"/>
        <v>9288789.0200000014</v>
      </c>
      <c r="Y275" s="5">
        <f t="shared" si="41"/>
        <v>24716657.270000003</v>
      </c>
      <c r="Z275" s="5">
        <f t="shared" si="41"/>
        <v>21476458.350000001</v>
      </c>
      <c r="AA275" s="5">
        <f t="shared" si="41"/>
        <v>384135892.13</v>
      </c>
      <c r="AB275" s="5">
        <f t="shared" si="41"/>
        <v>24536952.719999999</v>
      </c>
      <c r="AC275" s="5">
        <f t="shared" si="41"/>
        <v>997705692.1500001</v>
      </c>
      <c r="AD275" s="5">
        <f t="shared" si="41"/>
        <v>91761967.140000015</v>
      </c>
      <c r="AE275" s="5">
        <f t="shared" si="41"/>
        <v>127383443.58000001</v>
      </c>
      <c r="AF275" s="5">
        <f t="shared" si="41"/>
        <v>284925919.54000002</v>
      </c>
      <c r="AG275" s="5">
        <f t="shared" si="41"/>
        <v>57997042.699999996</v>
      </c>
      <c r="AH275" s="5">
        <f t="shared" ref="AH275:BH275" si="42">SUM(AH263:AH274)</f>
        <v>219619088.06</v>
      </c>
      <c r="AI275" s="5">
        <f t="shared" si="42"/>
        <v>12563506.869999997</v>
      </c>
      <c r="AJ275" s="5">
        <f t="shared" si="42"/>
        <v>29638061.379999999</v>
      </c>
      <c r="AK275" s="5">
        <f t="shared" si="42"/>
        <v>33081174.719999999</v>
      </c>
      <c r="AL275" s="5">
        <f t="shared" si="42"/>
        <v>42974170.780000001</v>
      </c>
      <c r="AM275" s="5">
        <f t="shared" si="42"/>
        <v>62153809.280000001</v>
      </c>
      <c r="AN275" s="5">
        <f t="shared" si="42"/>
        <v>156905915.84999999</v>
      </c>
      <c r="AO275" s="5">
        <f t="shared" si="42"/>
        <v>37640579.510000005</v>
      </c>
      <c r="AP275" s="5">
        <f t="shared" si="42"/>
        <v>91079732.429999992</v>
      </c>
      <c r="AQ275" s="5">
        <f t="shared" si="42"/>
        <v>67626579.730000004</v>
      </c>
      <c r="AR275" s="5">
        <f t="shared" si="42"/>
        <v>13672549.120000001</v>
      </c>
      <c r="AS275" s="5">
        <f t="shared" si="42"/>
        <v>8297948.8499999996</v>
      </c>
      <c r="AT275" s="5">
        <f t="shared" si="42"/>
        <v>18330792.390000001</v>
      </c>
      <c r="AU275" s="5">
        <f t="shared" si="42"/>
        <v>37780792.479999997</v>
      </c>
      <c r="AV275" s="5">
        <f t="shared" si="42"/>
        <v>1137434099.97</v>
      </c>
      <c r="AW275" s="5">
        <f t="shared" si="42"/>
        <v>32531974.609999999</v>
      </c>
      <c r="AX275" s="5">
        <f t="shared" si="42"/>
        <v>18333270.210000001</v>
      </c>
      <c r="AY275" s="5">
        <f t="shared" si="42"/>
        <v>40423257.68</v>
      </c>
      <c r="AZ275" s="5">
        <f t="shared" si="42"/>
        <v>98281470.640000001</v>
      </c>
      <c r="BA275" s="5">
        <f t="shared" si="42"/>
        <v>44682127.5</v>
      </c>
      <c r="BB275" s="5">
        <f t="shared" si="42"/>
        <v>15487948.68</v>
      </c>
      <c r="BC275" s="5">
        <f t="shared" si="42"/>
        <v>32329646.290000007</v>
      </c>
      <c r="BD275" s="5">
        <f t="shared" si="42"/>
        <v>442254806.43000001</v>
      </c>
      <c r="BE275" s="5">
        <f t="shared" si="42"/>
        <v>13728130.499999998</v>
      </c>
      <c r="BF275" s="5">
        <f t="shared" si="42"/>
        <v>8744478.629999999</v>
      </c>
      <c r="BG275" s="5">
        <f t="shared" si="42"/>
        <v>0</v>
      </c>
      <c r="BH275" s="5">
        <f t="shared" si="42"/>
        <v>6348162412.500001</v>
      </c>
    </row>
    <row r="276" spans="1:60" ht="15.75" thickTop="1" x14ac:dyDescent="0.2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</row>
    <row r="277" spans="1:60" x14ac:dyDescent="0.2">
      <c r="A277" s="3">
        <v>38353</v>
      </c>
      <c r="B277" s="4">
        <v>18253827</v>
      </c>
      <c r="C277" s="4">
        <v>1114538.28</v>
      </c>
      <c r="D277" s="4">
        <v>8342719.54</v>
      </c>
      <c r="E277" s="4">
        <v>2354816.69</v>
      </c>
      <c r="F277" s="4">
        <v>2093491.91</v>
      </c>
      <c r="G277" s="4">
        <v>3540649.7</v>
      </c>
      <c r="H277" s="4">
        <v>3988419.4</v>
      </c>
      <c r="I277" s="4">
        <v>1110580.78</v>
      </c>
      <c r="J277" s="4">
        <v>2998375.62</v>
      </c>
      <c r="K277" s="4">
        <v>2030425.69</v>
      </c>
      <c r="L277" s="4">
        <v>1805164.6</v>
      </c>
      <c r="M277" s="4">
        <v>1161467.99</v>
      </c>
      <c r="N277" s="4">
        <v>12077832.09</v>
      </c>
      <c r="O277" s="4">
        <v>40272464.049999997</v>
      </c>
      <c r="P277" s="4">
        <v>1363632.76</v>
      </c>
      <c r="Q277" s="4">
        <v>913064.13</v>
      </c>
      <c r="R277" s="4">
        <v>885224.81</v>
      </c>
      <c r="S277" s="4">
        <v>1994631.38</v>
      </c>
      <c r="T277" s="4">
        <v>1582888.36</v>
      </c>
      <c r="U277" s="4">
        <v>125582.71</v>
      </c>
      <c r="V277" s="4">
        <v>1533278.7</v>
      </c>
      <c r="W277" s="4">
        <v>3644150.75</v>
      </c>
      <c r="X277" s="4">
        <v>434515.73</v>
      </c>
      <c r="Y277" s="4">
        <v>1471640.73</v>
      </c>
      <c r="Z277" s="4">
        <v>1350590.73</v>
      </c>
      <c r="AA277" s="4">
        <v>30730347.300000001</v>
      </c>
      <c r="AB277" s="4">
        <v>1495745.15</v>
      </c>
      <c r="AC277" s="4">
        <v>81529469.420000002</v>
      </c>
      <c r="AD277" s="4">
        <v>6898965.3900000006</v>
      </c>
      <c r="AE277" s="4">
        <v>7081053.4699999997</v>
      </c>
      <c r="AF277" s="4">
        <v>21531122.779999997</v>
      </c>
      <c r="AG277" s="4">
        <v>4270325.74</v>
      </c>
      <c r="AH277" s="4">
        <v>15547860.200000001</v>
      </c>
      <c r="AI277" s="4">
        <v>850065.02</v>
      </c>
      <c r="AJ277" s="4">
        <v>1734101.52</v>
      </c>
      <c r="AK277" s="4">
        <v>1964274.54</v>
      </c>
      <c r="AL277" s="4">
        <v>2640100.7200000002</v>
      </c>
      <c r="AM277" s="4">
        <v>4436205.13</v>
      </c>
      <c r="AN277" s="4">
        <v>12572375.76</v>
      </c>
      <c r="AO277" s="4">
        <v>2565278.7799999998</v>
      </c>
      <c r="AP277" s="4">
        <v>6594912.6799999997</v>
      </c>
      <c r="AQ277" s="4">
        <v>6569076.5399999991</v>
      </c>
      <c r="AR277" s="4">
        <v>841872.9</v>
      </c>
      <c r="AS277" s="4">
        <v>464086.4</v>
      </c>
      <c r="AT277" s="4">
        <v>1018561.76</v>
      </c>
      <c r="AU277" s="4">
        <v>2364044.7599999998</v>
      </c>
      <c r="AV277" s="4">
        <v>87752526.210000008</v>
      </c>
      <c r="AW277" s="4">
        <v>1901507.66</v>
      </c>
      <c r="AX277" s="4">
        <v>1209497.04</v>
      </c>
      <c r="AY277" s="4">
        <v>3098917.81</v>
      </c>
      <c r="AZ277" s="4">
        <v>7015330.6199999992</v>
      </c>
      <c r="BA277" s="4">
        <v>2744563.81</v>
      </c>
      <c r="BB277" s="4">
        <v>976310.41</v>
      </c>
      <c r="BC277" s="4">
        <v>2178294.9900000002</v>
      </c>
      <c r="BD277" s="4">
        <v>35713130.950000003</v>
      </c>
      <c r="BE277" s="4">
        <v>936880.93</v>
      </c>
      <c r="BF277" s="4">
        <v>411249.67</v>
      </c>
      <c r="BG277" s="4">
        <v>0</v>
      </c>
      <c r="BH277" s="4">
        <f>SUM(B277:BG277)</f>
        <v>474082030.19000006</v>
      </c>
    </row>
    <row r="278" spans="1:60" x14ac:dyDescent="0.2">
      <c r="A278" s="3">
        <v>38384</v>
      </c>
      <c r="B278" s="4">
        <v>14146538.17</v>
      </c>
      <c r="C278" s="4">
        <v>883797.81</v>
      </c>
      <c r="D278" s="4">
        <v>6403016.29</v>
      </c>
      <c r="E278" s="4">
        <v>1832344</v>
      </c>
      <c r="F278" s="4">
        <v>1596055.99</v>
      </c>
      <c r="G278" s="4">
        <v>2657859.59</v>
      </c>
      <c r="H278" s="4">
        <v>3092444.55</v>
      </c>
      <c r="I278" s="4">
        <v>849319.96</v>
      </c>
      <c r="J278" s="4">
        <v>2279887.6800000002</v>
      </c>
      <c r="K278" s="4">
        <v>1575644.32</v>
      </c>
      <c r="L278" s="4">
        <v>1359301.63</v>
      </c>
      <c r="M278" s="4">
        <v>917466.86</v>
      </c>
      <c r="N278" s="4">
        <v>9193869.2799999993</v>
      </c>
      <c r="O278" s="4">
        <v>31501945.52</v>
      </c>
      <c r="P278" s="4">
        <v>1074660.6499999999</v>
      </c>
      <c r="Q278" s="4">
        <v>710304.84</v>
      </c>
      <c r="R278" s="4">
        <v>675386.14</v>
      </c>
      <c r="S278" s="4">
        <v>1509996.71</v>
      </c>
      <c r="T278" s="4">
        <v>1219715.33</v>
      </c>
      <c r="U278" s="4">
        <v>97024.44</v>
      </c>
      <c r="V278" s="4">
        <v>1167782.6499999999</v>
      </c>
      <c r="W278" s="4">
        <v>2842652.38</v>
      </c>
      <c r="X278" s="4">
        <v>356964.78</v>
      </c>
      <c r="Y278" s="4">
        <v>1119471.81</v>
      </c>
      <c r="Z278" s="4">
        <v>1069992.98</v>
      </c>
      <c r="AA278" s="4">
        <v>23862560.949999999</v>
      </c>
      <c r="AB278" s="4">
        <v>1292601.6399999999</v>
      </c>
      <c r="AC278" s="4">
        <v>62827852.099999994</v>
      </c>
      <c r="AD278" s="4">
        <v>5471931.2599999998</v>
      </c>
      <c r="AE278" s="4">
        <v>5510375.25</v>
      </c>
      <c r="AF278" s="4">
        <v>16483497.32</v>
      </c>
      <c r="AG278" s="4">
        <v>3300380.42</v>
      </c>
      <c r="AH278" s="4">
        <v>12278526.33</v>
      </c>
      <c r="AI278" s="4">
        <v>666862.92000000004</v>
      </c>
      <c r="AJ278" s="4">
        <v>1314005.76</v>
      </c>
      <c r="AK278" s="4">
        <v>1519007.11</v>
      </c>
      <c r="AL278" s="4">
        <v>2092999.47</v>
      </c>
      <c r="AM278" s="4">
        <v>3392805.1</v>
      </c>
      <c r="AN278" s="4">
        <v>10061286.050000001</v>
      </c>
      <c r="AO278" s="4">
        <v>2027385.23</v>
      </c>
      <c r="AP278" s="4">
        <v>5113540.05</v>
      </c>
      <c r="AQ278" s="4">
        <v>5008708.0199999996</v>
      </c>
      <c r="AR278" s="4">
        <v>691241.85</v>
      </c>
      <c r="AS278" s="4">
        <v>365954.09</v>
      </c>
      <c r="AT278" s="4">
        <v>799230.64</v>
      </c>
      <c r="AU278" s="4">
        <v>1841434.11</v>
      </c>
      <c r="AV278" s="4">
        <v>67105428.910000004</v>
      </c>
      <c r="AW278" s="4">
        <v>1490279.07</v>
      </c>
      <c r="AX278" s="4">
        <v>908758.82</v>
      </c>
      <c r="AY278" s="4">
        <v>2371617.46</v>
      </c>
      <c r="AZ278" s="4">
        <v>5469423.4499999993</v>
      </c>
      <c r="BA278" s="4">
        <v>2138769.19</v>
      </c>
      <c r="BB278" s="4">
        <v>759734.52</v>
      </c>
      <c r="BC278" s="4">
        <v>1670523.49</v>
      </c>
      <c r="BD278" s="4">
        <v>27815214.370000001</v>
      </c>
      <c r="BE278" s="4">
        <v>669781.61</v>
      </c>
      <c r="BF278" s="4">
        <v>346960.07</v>
      </c>
      <c r="BG278" s="4">
        <v>0</v>
      </c>
      <c r="BH278" s="4">
        <f t="shared" ref="BH278:BH288" si="43">SUM(B278:BG278)</f>
        <v>366802120.98999995</v>
      </c>
    </row>
    <row r="279" spans="1:60" x14ac:dyDescent="0.2">
      <c r="A279" s="3">
        <v>38412</v>
      </c>
      <c r="B279" s="4">
        <v>18881344.810000002</v>
      </c>
      <c r="C279" s="4">
        <v>1643852.67</v>
      </c>
      <c r="D279" s="4">
        <v>9043589.2300000004</v>
      </c>
      <c r="E279" s="4">
        <v>2997472.79</v>
      </c>
      <c r="F279" s="4">
        <v>2685893.39</v>
      </c>
      <c r="G279" s="4">
        <v>5374446.04</v>
      </c>
      <c r="H279" s="4">
        <v>4296513.57</v>
      </c>
      <c r="I279" s="4">
        <v>1845158.47</v>
      </c>
      <c r="J279" s="4">
        <v>3485903.15</v>
      </c>
      <c r="K279" s="4">
        <v>3340246.52</v>
      </c>
      <c r="L279" s="4">
        <v>2148019.7799999998</v>
      </c>
      <c r="M279" s="4">
        <v>2111473.5699999998</v>
      </c>
      <c r="N279" s="4">
        <v>14626639.16</v>
      </c>
      <c r="O279" s="4">
        <v>47460653.240000002</v>
      </c>
      <c r="P279" s="4">
        <v>1627714.82</v>
      </c>
      <c r="Q279" s="4">
        <v>1385514.88</v>
      </c>
      <c r="R279" s="4">
        <v>1196018.53</v>
      </c>
      <c r="S279" s="4">
        <v>2769995.2</v>
      </c>
      <c r="T279" s="4">
        <v>2646606.98</v>
      </c>
      <c r="U279" s="4">
        <v>226124.93</v>
      </c>
      <c r="V279" s="4">
        <v>2451804.94</v>
      </c>
      <c r="W279" s="4">
        <v>5193785</v>
      </c>
      <c r="X279" s="4">
        <v>924693.08</v>
      </c>
      <c r="Y279" s="4">
        <v>2516784.2000000002</v>
      </c>
      <c r="Z279" s="4">
        <v>2293491.94</v>
      </c>
      <c r="AA279" s="4">
        <v>34695321.400000006</v>
      </c>
      <c r="AB279" s="4">
        <v>2179330.7000000002</v>
      </c>
      <c r="AC279" s="4">
        <v>80753289.680000007</v>
      </c>
      <c r="AD279" s="4">
        <v>7403550.6400000006</v>
      </c>
      <c r="AE279" s="4">
        <v>11052818.560000001</v>
      </c>
      <c r="AF279" s="4">
        <v>25757121.640000001</v>
      </c>
      <c r="AG279" s="4">
        <v>4183895.94</v>
      </c>
      <c r="AH279" s="4">
        <v>20857819.619999997</v>
      </c>
      <c r="AI279" s="4">
        <v>922047.89</v>
      </c>
      <c r="AJ279" s="4">
        <v>2409394.17</v>
      </c>
      <c r="AK279" s="4">
        <v>3077629.68</v>
      </c>
      <c r="AL279" s="4">
        <v>3474482.95</v>
      </c>
      <c r="AM279" s="4">
        <v>6455917.0600000005</v>
      </c>
      <c r="AN279" s="4">
        <v>14733548.359999999</v>
      </c>
      <c r="AO279" s="4">
        <v>3453654.47</v>
      </c>
      <c r="AP279" s="4">
        <v>8014031.7499999991</v>
      </c>
      <c r="AQ279" s="4">
        <v>7228530.3399999999</v>
      </c>
      <c r="AR279" s="4">
        <v>1325926.8700000001</v>
      </c>
      <c r="AS279" s="4">
        <v>782787.97</v>
      </c>
      <c r="AT279" s="4">
        <v>1590842.42</v>
      </c>
      <c r="AU279" s="4">
        <v>3933906.74</v>
      </c>
      <c r="AV279" s="4">
        <v>97378219.670000017</v>
      </c>
      <c r="AW279" s="4">
        <v>2867079.05</v>
      </c>
      <c r="AX279" s="4">
        <v>1993834.89</v>
      </c>
      <c r="AY279" s="4">
        <v>3804445.58</v>
      </c>
      <c r="AZ279" s="4">
        <v>9017685.6099999994</v>
      </c>
      <c r="BA279" s="4">
        <v>3112586.53</v>
      </c>
      <c r="BB279" s="4">
        <v>1435033.74</v>
      </c>
      <c r="BC279" s="4">
        <v>3277021.15</v>
      </c>
      <c r="BD279" s="4">
        <v>38713385.340000004</v>
      </c>
      <c r="BE279" s="4">
        <v>1467950.22</v>
      </c>
      <c r="BF279" s="4">
        <v>808721.3</v>
      </c>
      <c r="BG279" s="4">
        <v>0</v>
      </c>
      <c r="BH279" s="4">
        <f t="shared" si="43"/>
        <v>551335552.82000005</v>
      </c>
    </row>
    <row r="280" spans="1:60" x14ac:dyDescent="0.2">
      <c r="A280" s="3">
        <v>38443</v>
      </c>
      <c r="B280" s="4">
        <v>16276154.300000001</v>
      </c>
      <c r="C280" s="4">
        <v>1094480.94</v>
      </c>
      <c r="D280" s="4">
        <v>7334755.1299999999</v>
      </c>
      <c r="E280" s="4">
        <v>2181992.4900000002</v>
      </c>
      <c r="F280" s="4">
        <v>2010849.96</v>
      </c>
      <c r="G280" s="4">
        <v>4292205.8499999996</v>
      </c>
      <c r="H280" s="4">
        <v>3477514.09</v>
      </c>
      <c r="I280" s="4">
        <v>1143943.3500000001</v>
      </c>
      <c r="J280" s="4">
        <v>2758807.94</v>
      </c>
      <c r="K280" s="4">
        <v>2114007.59</v>
      </c>
      <c r="L280" s="4">
        <v>1633080.31</v>
      </c>
      <c r="M280" s="4">
        <v>1271775.25</v>
      </c>
      <c r="N280" s="4">
        <v>11297597.709999999</v>
      </c>
      <c r="O280" s="4">
        <v>37511610.780000001</v>
      </c>
      <c r="P280" s="4">
        <v>1326919.53</v>
      </c>
      <c r="Q280" s="4">
        <v>863708.2</v>
      </c>
      <c r="R280" s="4">
        <v>856190.25</v>
      </c>
      <c r="S280" s="4">
        <v>2114861.2599999998</v>
      </c>
      <c r="T280" s="4">
        <v>1593763.55</v>
      </c>
      <c r="U280" s="4">
        <v>125601.17</v>
      </c>
      <c r="V280" s="4">
        <v>1570957.99</v>
      </c>
      <c r="W280" s="4">
        <v>3720215.68</v>
      </c>
      <c r="X280" s="4">
        <v>508606.65</v>
      </c>
      <c r="Y280" s="4">
        <v>1570756.36</v>
      </c>
      <c r="Z280" s="4">
        <v>1460481.59</v>
      </c>
      <c r="AA280" s="4">
        <v>29402530.219999999</v>
      </c>
      <c r="AB280" s="4">
        <v>1621227.41</v>
      </c>
      <c r="AC280" s="4">
        <v>71771742.040000007</v>
      </c>
      <c r="AD280" s="4">
        <v>6581347.7799999993</v>
      </c>
      <c r="AE280" s="4">
        <v>9182680.5700000003</v>
      </c>
      <c r="AF280" s="4">
        <v>20148478.48</v>
      </c>
      <c r="AG280" s="4">
        <v>3781618.2</v>
      </c>
      <c r="AH280" s="4">
        <v>14847215.569999998</v>
      </c>
      <c r="AI280" s="4">
        <v>841795.45</v>
      </c>
      <c r="AJ280" s="4">
        <v>1987180.59</v>
      </c>
      <c r="AK280" s="4">
        <v>2110210.02</v>
      </c>
      <c r="AL280" s="4">
        <v>2751773.69</v>
      </c>
      <c r="AM280" s="4">
        <v>4242021.63</v>
      </c>
      <c r="AN280" s="4">
        <v>11420910.799999999</v>
      </c>
      <c r="AO280" s="4">
        <v>2326961.9</v>
      </c>
      <c r="AP280" s="4">
        <v>6578403.7999999998</v>
      </c>
      <c r="AQ280" s="4">
        <v>5962119.0099999998</v>
      </c>
      <c r="AR280" s="4">
        <v>843838.61</v>
      </c>
      <c r="AS280" s="4">
        <v>493041.82</v>
      </c>
      <c r="AT280" s="4">
        <v>1070352.68</v>
      </c>
      <c r="AU280" s="4">
        <v>2468632.96</v>
      </c>
      <c r="AV280" s="4">
        <v>83532803.100000009</v>
      </c>
      <c r="AW280" s="4">
        <v>1980905.86</v>
      </c>
      <c r="AX280" s="4">
        <v>1100415.21</v>
      </c>
      <c r="AY280" s="4">
        <v>2821716.31</v>
      </c>
      <c r="AZ280" s="4">
        <v>6763760.1400000006</v>
      </c>
      <c r="BA280" s="4">
        <v>2700535.69</v>
      </c>
      <c r="BB280" s="4">
        <v>1015539.35</v>
      </c>
      <c r="BC280" s="4">
        <v>2318321.6800000002</v>
      </c>
      <c r="BD280" s="4">
        <v>31654991.829999998</v>
      </c>
      <c r="BE280" s="4">
        <v>985070.45</v>
      </c>
      <c r="BF280" s="4">
        <v>490308.21</v>
      </c>
      <c r="BG280" s="4">
        <v>0</v>
      </c>
      <c r="BH280" s="4">
        <f t="shared" si="43"/>
        <v>445909288.9799999</v>
      </c>
    </row>
    <row r="281" spans="1:60" x14ac:dyDescent="0.2">
      <c r="A281" s="3">
        <v>38473</v>
      </c>
      <c r="B281" s="4">
        <v>16582793.619999999</v>
      </c>
      <c r="C281" s="4">
        <v>1094158.83</v>
      </c>
      <c r="D281" s="4">
        <v>7453016.7999999998</v>
      </c>
      <c r="E281" s="4">
        <v>2100902.5</v>
      </c>
      <c r="F281" s="4">
        <v>2028457.82</v>
      </c>
      <c r="G281" s="4">
        <v>4285702.4400000004</v>
      </c>
      <c r="H281" s="4">
        <v>3542369.34</v>
      </c>
      <c r="I281" s="4">
        <v>1148466.99</v>
      </c>
      <c r="J281" s="4">
        <v>2754133.3</v>
      </c>
      <c r="K281" s="4">
        <v>2032175.26</v>
      </c>
      <c r="L281" s="4">
        <v>1651409.95</v>
      </c>
      <c r="M281" s="4">
        <v>1260674.82</v>
      </c>
      <c r="N281" s="4">
        <v>11612316.369999999</v>
      </c>
      <c r="O281" s="4">
        <v>38344025.049999997</v>
      </c>
      <c r="P281" s="4">
        <v>1217576.5900000001</v>
      </c>
      <c r="Q281" s="4">
        <v>848067.56</v>
      </c>
      <c r="R281" s="4">
        <v>920863.51</v>
      </c>
      <c r="S281" s="4">
        <v>2115434</v>
      </c>
      <c r="T281" s="4">
        <v>1483410.68</v>
      </c>
      <c r="U281" s="4">
        <v>120993.42</v>
      </c>
      <c r="V281" s="4">
        <v>1546600.8</v>
      </c>
      <c r="W281" s="4">
        <v>3760595.86</v>
      </c>
      <c r="X281" s="4">
        <v>483858.58</v>
      </c>
      <c r="Y281" s="4">
        <v>1605539.09</v>
      </c>
      <c r="Z281" s="4">
        <v>1449431.91</v>
      </c>
      <c r="AA281" s="4">
        <v>29588966.759999998</v>
      </c>
      <c r="AB281" s="4">
        <v>1573295.96</v>
      </c>
      <c r="AC281" s="4">
        <v>73949580.460000008</v>
      </c>
      <c r="AD281" s="4">
        <v>6583255.7599999998</v>
      </c>
      <c r="AE281" s="4">
        <v>9193842.7599999998</v>
      </c>
      <c r="AF281" s="4">
        <v>20415372.750000004</v>
      </c>
      <c r="AG281" s="4">
        <v>3780337.79</v>
      </c>
      <c r="AH281" s="4">
        <v>15032156.100000001</v>
      </c>
      <c r="AI281" s="4">
        <v>846466.85</v>
      </c>
      <c r="AJ281" s="4">
        <v>2033703.94</v>
      </c>
      <c r="AK281" s="4">
        <v>2096479.36</v>
      </c>
      <c r="AL281" s="4">
        <v>2741162.27</v>
      </c>
      <c r="AM281" s="4">
        <v>4247181.75</v>
      </c>
      <c r="AN281" s="4">
        <v>11517065.379999999</v>
      </c>
      <c r="AO281" s="4">
        <v>2416897.36</v>
      </c>
      <c r="AP281" s="4">
        <v>6558812.3499999996</v>
      </c>
      <c r="AQ281" s="4">
        <v>6023812.7800000003</v>
      </c>
      <c r="AR281" s="4">
        <v>893577.16</v>
      </c>
      <c r="AS281" s="4">
        <v>503344.02</v>
      </c>
      <c r="AT281" s="4">
        <v>1106154.6599999999</v>
      </c>
      <c r="AU281" s="4">
        <v>2391228.63</v>
      </c>
      <c r="AV281" s="4">
        <v>83277508.270000011</v>
      </c>
      <c r="AW281" s="4">
        <v>2024293.35</v>
      </c>
      <c r="AX281" s="4">
        <v>1110181.3700000001</v>
      </c>
      <c r="AY281" s="4">
        <v>2866768.12</v>
      </c>
      <c r="AZ281" s="4">
        <v>6567007.2000000002</v>
      </c>
      <c r="BA281" s="4">
        <v>2674284.73</v>
      </c>
      <c r="BB281" s="4">
        <v>1009977.04</v>
      </c>
      <c r="BC281" s="4">
        <v>2317765.5499999998</v>
      </c>
      <c r="BD281" s="4">
        <v>32212323.149999999</v>
      </c>
      <c r="BE281" s="4">
        <v>949249.89</v>
      </c>
      <c r="BF281" s="4">
        <v>469804.23</v>
      </c>
      <c r="BG281" s="4">
        <v>0</v>
      </c>
      <c r="BH281" s="4">
        <f t="shared" si="43"/>
        <v>450414832.84000009</v>
      </c>
    </row>
    <row r="282" spans="1:60" x14ac:dyDescent="0.2">
      <c r="A282" s="3">
        <v>38504</v>
      </c>
      <c r="B282" s="4">
        <v>22343744.629999999</v>
      </c>
      <c r="C282" s="4">
        <v>1729328.86</v>
      </c>
      <c r="D282" s="4">
        <v>9983280</v>
      </c>
      <c r="E282" s="4">
        <v>2922428.6</v>
      </c>
      <c r="F282" s="4">
        <v>3064135.62</v>
      </c>
      <c r="G282" s="4">
        <v>6545451.5999999996</v>
      </c>
      <c r="H282" s="4">
        <v>4563047.95</v>
      </c>
      <c r="I282" s="4">
        <v>1757625.95</v>
      </c>
      <c r="J282" s="4">
        <v>4394279.57</v>
      </c>
      <c r="K282" s="4">
        <v>3542127.71</v>
      </c>
      <c r="L282" s="4">
        <v>2372437.54</v>
      </c>
      <c r="M282" s="4">
        <v>1991129.95</v>
      </c>
      <c r="N282" s="4">
        <v>16291804.370000001</v>
      </c>
      <c r="O282" s="4">
        <v>50430533.710000001</v>
      </c>
      <c r="P282" s="4">
        <v>2305456.59</v>
      </c>
      <c r="Q282" s="4">
        <v>1257987.98</v>
      </c>
      <c r="R282" s="4">
        <v>1378331.18</v>
      </c>
      <c r="S282" s="4">
        <v>3270671.39</v>
      </c>
      <c r="T282" s="4">
        <v>3088111.22</v>
      </c>
      <c r="U282" s="4">
        <v>275652.11</v>
      </c>
      <c r="V282" s="4">
        <v>2560821.36</v>
      </c>
      <c r="W282" s="4">
        <v>6423155.9199999999</v>
      </c>
      <c r="X282" s="4">
        <v>1115558.74</v>
      </c>
      <c r="Y282" s="4">
        <v>2590319.39</v>
      </c>
      <c r="Z282" s="4">
        <v>2534889.1</v>
      </c>
      <c r="AA282" s="4">
        <v>37447511.590000004</v>
      </c>
      <c r="AB282" s="4">
        <v>2426737.84</v>
      </c>
      <c r="AC282" s="4">
        <v>97195019.030000001</v>
      </c>
      <c r="AD282" s="4">
        <v>8898871.7300000004</v>
      </c>
      <c r="AE282" s="4">
        <v>12348407.310000001</v>
      </c>
      <c r="AF282" s="4">
        <v>27032389.700000003</v>
      </c>
      <c r="AG282" s="4">
        <v>5133082.88</v>
      </c>
      <c r="AH282" s="4">
        <v>23451020.32</v>
      </c>
      <c r="AI282" s="4">
        <v>1224169.8700000001</v>
      </c>
      <c r="AJ282" s="4">
        <v>3175754.93</v>
      </c>
      <c r="AK282" s="4">
        <v>3563843.74</v>
      </c>
      <c r="AL282" s="4">
        <v>3860587.71</v>
      </c>
      <c r="AM282" s="4">
        <v>7454965.879999999</v>
      </c>
      <c r="AN282" s="4">
        <v>16329447.310000002</v>
      </c>
      <c r="AO282" s="4">
        <v>3814129.13</v>
      </c>
      <c r="AP282" s="4">
        <v>9004836.0800000001</v>
      </c>
      <c r="AQ282" s="4">
        <v>8280201.25</v>
      </c>
      <c r="AR282" s="4">
        <v>1428209.29</v>
      </c>
      <c r="AS282" s="4">
        <v>752071.34</v>
      </c>
      <c r="AT282" s="4">
        <v>2026048.91</v>
      </c>
      <c r="AU282" s="4">
        <v>4025485.94</v>
      </c>
      <c r="AV282" s="4">
        <v>114853991.07000001</v>
      </c>
      <c r="AW282" s="4">
        <v>3477788.88</v>
      </c>
      <c r="AX282" s="4">
        <v>1529966.75</v>
      </c>
      <c r="AY282" s="4">
        <v>4298180.9400000004</v>
      </c>
      <c r="AZ282" s="4">
        <v>10325029.1</v>
      </c>
      <c r="BA282" s="4">
        <v>4416661.78</v>
      </c>
      <c r="BB282" s="4">
        <v>1715353.06</v>
      </c>
      <c r="BC282" s="4">
        <v>3993153.84</v>
      </c>
      <c r="BD282" s="4">
        <v>44821824.129999995</v>
      </c>
      <c r="BE282" s="4">
        <v>1591021.24</v>
      </c>
      <c r="BF282" s="4">
        <v>1035352.62</v>
      </c>
      <c r="BG282" s="4">
        <v>0</v>
      </c>
      <c r="BH282" s="4">
        <f t="shared" si="43"/>
        <v>629663426.23000002</v>
      </c>
    </row>
    <row r="283" spans="1:60" x14ac:dyDescent="0.2">
      <c r="A283" s="3">
        <v>38534</v>
      </c>
      <c r="B283" s="4">
        <v>17793822.670000002</v>
      </c>
      <c r="C283" s="4">
        <v>1177503.6000000001</v>
      </c>
      <c r="D283" s="4">
        <v>8222235.8399999999</v>
      </c>
      <c r="E283" s="4">
        <v>2353710.9300000002</v>
      </c>
      <c r="F283" s="4">
        <v>2364172.3199999998</v>
      </c>
      <c r="G283" s="4">
        <v>5064960.2699999996</v>
      </c>
      <c r="H283" s="4">
        <v>3769502.35</v>
      </c>
      <c r="I283" s="4">
        <v>1214613.47</v>
      </c>
      <c r="J283" s="4">
        <v>3210208.54</v>
      </c>
      <c r="K283" s="4">
        <v>2269032.38</v>
      </c>
      <c r="L283" s="4">
        <v>1741871.44</v>
      </c>
      <c r="M283" s="4">
        <v>1477826.29</v>
      </c>
      <c r="N283" s="4">
        <v>12700804.199999999</v>
      </c>
      <c r="O283" s="4">
        <v>42009038.019999996</v>
      </c>
      <c r="P283" s="4">
        <v>1917754.57</v>
      </c>
      <c r="Q283" s="4">
        <v>1023036.4</v>
      </c>
      <c r="R283" s="4">
        <v>1042427.39</v>
      </c>
      <c r="S283" s="4">
        <v>2666597.25</v>
      </c>
      <c r="T283" s="4">
        <v>1962627.88</v>
      </c>
      <c r="U283" s="4">
        <v>235714.5</v>
      </c>
      <c r="V283" s="4">
        <v>1874477.36</v>
      </c>
      <c r="W283" s="4">
        <v>4490947.7</v>
      </c>
      <c r="X283" s="4">
        <v>531514.63</v>
      </c>
      <c r="Y283" s="4">
        <v>1810653.5</v>
      </c>
      <c r="Z283" s="4">
        <v>1687601.65</v>
      </c>
      <c r="AA283" s="4">
        <v>31942804.780000001</v>
      </c>
      <c r="AB283" s="4">
        <v>1799516.24</v>
      </c>
      <c r="AC283" s="4">
        <v>80538107.489999995</v>
      </c>
      <c r="AD283" s="4">
        <v>7240897.1300000008</v>
      </c>
      <c r="AE283" s="4">
        <v>10289549.080000002</v>
      </c>
      <c r="AF283" s="4">
        <v>22763983.259999998</v>
      </c>
      <c r="AG283" s="4">
        <v>4280641.84</v>
      </c>
      <c r="AH283" s="4">
        <v>16540508.039999999</v>
      </c>
      <c r="AI283" s="4">
        <v>852251.31</v>
      </c>
      <c r="AJ283" s="4">
        <v>2328692.4900000002</v>
      </c>
      <c r="AK283" s="4">
        <v>2729208.67</v>
      </c>
      <c r="AL283" s="4">
        <v>3053016.32</v>
      </c>
      <c r="AM283" s="4">
        <v>4999372.1100000003</v>
      </c>
      <c r="AN283" s="4">
        <v>12144290.210000001</v>
      </c>
      <c r="AO283" s="4">
        <v>2573686.31</v>
      </c>
      <c r="AP283" s="4">
        <v>7467494.1500000004</v>
      </c>
      <c r="AQ283" s="4">
        <v>6623159</v>
      </c>
      <c r="AR283" s="4">
        <v>1046856.2</v>
      </c>
      <c r="AS283" s="4">
        <v>681489.86</v>
      </c>
      <c r="AT283" s="4">
        <v>1456768.67</v>
      </c>
      <c r="AU283" s="4">
        <v>2841441.66</v>
      </c>
      <c r="AV283" s="4">
        <v>96435258.900000006</v>
      </c>
      <c r="AW283" s="4">
        <v>2646539.23</v>
      </c>
      <c r="AX283" s="4">
        <v>1132471.67</v>
      </c>
      <c r="AY283" s="4">
        <v>3136920.24</v>
      </c>
      <c r="AZ283" s="4">
        <v>7573938.040000001</v>
      </c>
      <c r="BA283" s="4">
        <v>4224201</v>
      </c>
      <c r="BB283" s="4">
        <v>1179717.67</v>
      </c>
      <c r="BC283" s="4">
        <v>2597618.2400000002</v>
      </c>
      <c r="BD283" s="4">
        <v>34459349.240000002</v>
      </c>
      <c r="BE283" s="4">
        <v>1086475.97</v>
      </c>
      <c r="BF283" s="4">
        <v>591248.04</v>
      </c>
      <c r="BG283" s="4">
        <v>0</v>
      </c>
      <c r="BH283" s="4">
        <f t="shared" si="43"/>
        <v>503870128.21000028</v>
      </c>
    </row>
    <row r="284" spans="1:60" x14ac:dyDescent="0.2">
      <c r="A284" s="3">
        <v>38565</v>
      </c>
      <c r="B284" s="4">
        <v>16366956</v>
      </c>
      <c r="C284" s="4">
        <v>1061104.1299999999</v>
      </c>
      <c r="D284" s="4">
        <v>7572243.5499999998</v>
      </c>
      <c r="E284" s="4">
        <v>2144745.58</v>
      </c>
      <c r="F284" s="4">
        <v>2242135.3199999998</v>
      </c>
      <c r="G284" s="4">
        <v>4361242.99</v>
      </c>
      <c r="H284" s="4">
        <v>3499588.57</v>
      </c>
      <c r="I284" s="4">
        <v>1095103.49</v>
      </c>
      <c r="J284" s="4">
        <v>2969316.68</v>
      </c>
      <c r="K284" s="4">
        <v>2076442.73</v>
      </c>
      <c r="L284" s="4">
        <v>1585827.01</v>
      </c>
      <c r="M284" s="4">
        <v>1341759.1000000001</v>
      </c>
      <c r="N284" s="4">
        <v>11808364.43</v>
      </c>
      <c r="O284" s="4">
        <v>39615631.950000003</v>
      </c>
      <c r="P284" s="4">
        <v>1698621.45</v>
      </c>
      <c r="Q284" s="4">
        <v>949017.69</v>
      </c>
      <c r="R284" s="4">
        <v>933887.04</v>
      </c>
      <c r="S284" s="4">
        <v>2413037.16</v>
      </c>
      <c r="T284" s="4">
        <v>1773794.45</v>
      </c>
      <c r="U284" s="4">
        <v>218775.56</v>
      </c>
      <c r="V284" s="4">
        <v>1805092.49</v>
      </c>
      <c r="W284" s="4">
        <v>4226793.24</v>
      </c>
      <c r="X284" s="4">
        <v>517601.12</v>
      </c>
      <c r="Y284" s="4">
        <v>1659554.73</v>
      </c>
      <c r="Z284" s="4">
        <v>1678122.48</v>
      </c>
      <c r="AA284" s="4">
        <v>29602654.82</v>
      </c>
      <c r="AB284" s="4">
        <v>1640272.01</v>
      </c>
      <c r="AC284" s="4">
        <v>74131142.879999995</v>
      </c>
      <c r="AD284" s="4">
        <v>6617703.0199999996</v>
      </c>
      <c r="AE284" s="4">
        <v>9499191</v>
      </c>
      <c r="AF284" s="4">
        <v>20727714.959999997</v>
      </c>
      <c r="AG284" s="4">
        <v>3965112.16</v>
      </c>
      <c r="AH284" s="4">
        <v>15744185.859999999</v>
      </c>
      <c r="AI284" s="4">
        <v>799468.91</v>
      </c>
      <c r="AJ284" s="4">
        <v>2145975.13</v>
      </c>
      <c r="AK284" s="4">
        <v>2524706.7400000002</v>
      </c>
      <c r="AL284" s="4">
        <v>2790605.48</v>
      </c>
      <c r="AM284" s="4">
        <v>4575649.47</v>
      </c>
      <c r="AN284" s="4">
        <v>11072774.449999999</v>
      </c>
      <c r="AO284" s="4">
        <v>2394205.2200000002</v>
      </c>
      <c r="AP284" s="4">
        <v>6965933.54</v>
      </c>
      <c r="AQ284" s="4">
        <v>6087741.75</v>
      </c>
      <c r="AR284" s="4">
        <v>970125.83</v>
      </c>
      <c r="AS284" s="4">
        <v>596257.04</v>
      </c>
      <c r="AT284" s="4">
        <v>1243362.46</v>
      </c>
      <c r="AU284" s="4">
        <v>2571547.17</v>
      </c>
      <c r="AV284" s="4">
        <v>87151440.859999999</v>
      </c>
      <c r="AW284" s="4">
        <v>2508900.92</v>
      </c>
      <c r="AX284" s="4">
        <v>1028254.1</v>
      </c>
      <c r="AY284" s="4">
        <v>2917155.49</v>
      </c>
      <c r="AZ284" s="4">
        <v>6911890.169999999</v>
      </c>
      <c r="BA284" s="4">
        <v>3887122.95</v>
      </c>
      <c r="BB284" s="4">
        <v>1099986.72</v>
      </c>
      <c r="BC284" s="4">
        <v>2382409.4300000002</v>
      </c>
      <c r="BD284" s="4">
        <v>31269672.260000002</v>
      </c>
      <c r="BE284" s="4">
        <v>986076.52</v>
      </c>
      <c r="BF284" s="4">
        <v>564975.77</v>
      </c>
      <c r="BG284" s="4">
        <v>0</v>
      </c>
      <c r="BH284" s="4">
        <f t="shared" si="43"/>
        <v>462988974.03000021</v>
      </c>
    </row>
    <row r="285" spans="1:60" x14ac:dyDescent="0.2">
      <c r="A285" s="3">
        <v>38596</v>
      </c>
      <c r="B285" s="4">
        <v>22230442.66</v>
      </c>
      <c r="C285" s="4">
        <v>1912260.69</v>
      </c>
      <c r="D285" s="4">
        <v>10854883.91</v>
      </c>
      <c r="E285" s="4">
        <v>3083068.56</v>
      </c>
      <c r="F285" s="4">
        <v>3146977.82</v>
      </c>
      <c r="G285" s="4">
        <v>7341710.8700000001</v>
      </c>
      <c r="H285" s="4">
        <v>4600650.34</v>
      </c>
      <c r="I285" s="4">
        <v>2198516.36</v>
      </c>
      <c r="J285" s="4">
        <v>4611093.4400000004</v>
      </c>
      <c r="K285" s="4">
        <v>4012926.22</v>
      </c>
      <c r="L285" s="4">
        <v>2280971.06</v>
      </c>
      <c r="M285" s="4">
        <v>2508917.29</v>
      </c>
      <c r="N285" s="4">
        <v>16018174.649999999</v>
      </c>
      <c r="O285" s="4">
        <v>52603120.700000003</v>
      </c>
      <c r="P285" s="4">
        <v>2980684</v>
      </c>
      <c r="Q285" s="4">
        <v>1622559.63</v>
      </c>
      <c r="R285" s="4">
        <v>1207534.7</v>
      </c>
      <c r="S285" s="4">
        <v>3429570.94</v>
      </c>
      <c r="T285" s="4">
        <v>3456404.87</v>
      </c>
      <c r="U285" s="4">
        <v>434347.14</v>
      </c>
      <c r="V285" s="4">
        <v>2898982.16</v>
      </c>
      <c r="W285" s="4">
        <v>7686641.4199999999</v>
      </c>
      <c r="X285" s="4">
        <v>1319819.03</v>
      </c>
      <c r="Y285" s="4">
        <v>3011067.75</v>
      </c>
      <c r="Z285" s="4">
        <v>2685216.46</v>
      </c>
      <c r="AA285" s="4">
        <v>40255437.659999996</v>
      </c>
      <c r="AB285" s="4">
        <v>2722052.04</v>
      </c>
      <c r="AC285" s="4">
        <v>94036762.890000001</v>
      </c>
      <c r="AD285" s="4">
        <v>8947817.6799999997</v>
      </c>
      <c r="AE285" s="4">
        <v>13497298.950000001</v>
      </c>
      <c r="AF285" s="4">
        <v>29578113.760000002</v>
      </c>
      <c r="AG285" s="4">
        <v>5594505.9199999999</v>
      </c>
      <c r="AH285" s="4">
        <v>23226802.32</v>
      </c>
      <c r="AI285" s="4">
        <v>1494226.76</v>
      </c>
      <c r="AJ285" s="4">
        <v>3096845.98</v>
      </c>
      <c r="AK285" s="4">
        <v>3947284.01</v>
      </c>
      <c r="AL285" s="4">
        <v>4449438.04</v>
      </c>
      <c r="AM285" s="4">
        <v>6956365.2800000003</v>
      </c>
      <c r="AN285" s="4">
        <v>16493288.41</v>
      </c>
      <c r="AO285" s="4">
        <v>4282583.6399999997</v>
      </c>
      <c r="AP285" s="4">
        <v>10227004.369999999</v>
      </c>
      <c r="AQ285" s="4">
        <v>7497685.0199999996</v>
      </c>
      <c r="AR285" s="4">
        <v>1616941.33</v>
      </c>
      <c r="AS285" s="4">
        <v>1157093.71</v>
      </c>
      <c r="AT285" s="4">
        <v>2328395.9</v>
      </c>
      <c r="AU285" s="4">
        <v>5077093.33</v>
      </c>
      <c r="AV285" s="4">
        <v>127355993.3</v>
      </c>
      <c r="AW285" s="4">
        <v>4964593.3600000003</v>
      </c>
      <c r="AX285" s="4">
        <v>2153755.5</v>
      </c>
      <c r="AY285" s="4">
        <v>4418796.57</v>
      </c>
      <c r="AZ285" s="4">
        <v>10964655.57</v>
      </c>
      <c r="BA285" s="4">
        <v>5095455.3</v>
      </c>
      <c r="BB285" s="4">
        <v>2003434.87</v>
      </c>
      <c r="BC285" s="4">
        <v>4248934.24</v>
      </c>
      <c r="BD285" s="4">
        <v>44185945.259999998</v>
      </c>
      <c r="BE285" s="4">
        <v>1774041.48</v>
      </c>
      <c r="BF285" s="4">
        <v>1312350.68</v>
      </c>
      <c r="BG285" s="4">
        <v>0</v>
      </c>
      <c r="BH285" s="4">
        <f t="shared" si="43"/>
        <v>663097535.79999983</v>
      </c>
    </row>
    <row r="286" spans="1:60" x14ac:dyDescent="0.2">
      <c r="A286" s="3">
        <v>38626</v>
      </c>
      <c r="B286" s="4">
        <v>16520477.93</v>
      </c>
      <c r="C286" s="4">
        <v>1078736.7</v>
      </c>
      <c r="D286" s="4">
        <v>7999777.2799999993</v>
      </c>
      <c r="E286" s="4">
        <v>2175927.61</v>
      </c>
      <c r="F286" s="4">
        <v>2003143.47</v>
      </c>
      <c r="G286" s="4">
        <v>4306276.54</v>
      </c>
      <c r="H286" s="4">
        <v>3498547.14</v>
      </c>
      <c r="I286" s="4">
        <v>1151690.46</v>
      </c>
      <c r="J286" s="4">
        <v>3082333.21</v>
      </c>
      <c r="K286" s="4">
        <v>2060176.33</v>
      </c>
      <c r="L286" s="4">
        <v>1588669.42</v>
      </c>
      <c r="M286" s="4">
        <v>1376762.04</v>
      </c>
      <c r="N286" s="4">
        <v>11700512.450000001</v>
      </c>
      <c r="O286" s="4">
        <v>39207042.219999999</v>
      </c>
      <c r="P286" s="4">
        <v>1489847.44</v>
      </c>
      <c r="Q286" s="4">
        <v>914248.25</v>
      </c>
      <c r="R286" s="4">
        <v>844970.36</v>
      </c>
      <c r="S286" s="4">
        <v>2092817.62</v>
      </c>
      <c r="T286" s="4">
        <v>1677050.21</v>
      </c>
      <c r="U286" s="4">
        <v>161620.72</v>
      </c>
      <c r="V286" s="4">
        <v>1598768.52</v>
      </c>
      <c r="W286" s="4">
        <v>3988453.2</v>
      </c>
      <c r="X286" s="4">
        <v>504926.27</v>
      </c>
      <c r="Y286" s="4">
        <v>1642634.7</v>
      </c>
      <c r="Z286" s="4">
        <v>1437645.67</v>
      </c>
      <c r="AA286" s="4">
        <v>29200046.649999999</v>
      </c>
      <c r="AB286" s="4">
        <v>1585602.98</v>
      </c>
      <c r="AC286" s="4">
        <v>72918238.329999998</v>
      </c>
      <c r="AD286" s="4">
        <v>6569728.0700000003</v>
      </c>
      <c r="AE286" s="4">
        <v>9444513.6600000001</v>
      </c>
      <c r="AF286" s="4">
        <v>20895234.780000001</v>
      </c>
      <c r="AG286" s="4">
        <v>3859265.1</v>
      </c>
      <c r="AH286" s="4">
        <v>15976419.379999999</v>
      </c>
      <c r="AI286" s="4">
        <v>812999.82</v>
      </c>
      <c r="AJ286" s="4">
        <v>2076628.11</v>
      </c>
      <c r="AK286" s="4">
        <v>2188214.09</v>
      </c>
      <c r="AL286" s="4">
        <v>3240125.87</v>
      </c>
      <c r="AM286" s="4">
        <v>4502617.3600000003</v>
      </c>
      <c r="AN286" s="4">
        <v>11207659.460000001</v>
      </c>
      <c r="AO286" s="4">
        <v>2413596.96</v>
      </c>
      <c r="AP286" s="4">
        <v>6937801.96</v>
      </c>
      <c r="AQ286" s="4">
        <v>5830920.9000000004</v>
      </c>
      <c r="AR286" s="4">
        <v>967033.75</v>
      </c>
      <c r="AS286" s="4">
        <v>514200.38</v>
      </c>
      <c r="AT286" s="4">
        <v>1215698.53</v>
      </c>
      <c r="AU286" s="4">
        <v>2633754.61</v>
      </c>
      <c r="AV286" s="4">
        <v>82587651.430000007</v>
      </c>
      <c r="AW286" s="4">
        <v>2113437.5699999998</v>
      </c>
      <c r="AX286" s="4">
        <v>1173425.78</v>
      </c>
      <c r="AY286" s="4">
        <v>2861498.99</v>
      </c>
      <c r="AZ286" s="4">
        <v>6798828.7299999995</v>
      </c>
      <c r="BA286" s="4">
        <v>3000220.97</v>
      </c>
      <c r="BB286" s="4">
        <v>1059697.1200000001</v>
      </c>
      <c r="BC286" s="4">
        <v>2323356.7799999998</v>
      </c>
      <c r="BD286" s="4">
        <v>31877175.969999999</v>
      </c>
      <c r="BE286" s="4">
        <v>983166.11</v>
      </c>
      <c r="BF286" s="4">
        <v>511170.25</v>
      </c>
      <c r="BG286" s="4">
        <v>0</v>
      </c>
      <c r="BH286" s="4">
        <f t="shared" si="43"/>
        <v>454382986.20999992</v>
      </c>
    </row>
    <row r="287" spans="1:60" x14ac:dyDescent="0.2">
      <c r="A287" s="3">
        <v>38657</v>
      </c>
      <c r="B287" s="4">
        <v>16638170.739999998</v>
      </c>
      <c r="C287" s="4">
        <v>1079453.58</v>
      </c>
      <c r="D287" s="4">
        <v>7567927.4000000004</v>
      </c>
      <c r="E287" s="4">
        <v>2151433.8199999998</v>
      </c>
      <c r="F287" s="4">
        <v>2032548.32</v>
      </c>
      <c r="G287" s="4">
        <v>4252497.9400000004</v>
      </c>
      <c r="H287" s="4">
        <v>3520586.84</v>
      </c>
      <c r="I287" s="4">
        <v>1145446.1499999999</v>
      </c>
      <c r="J287" s="4">
        <v>3052282.34</v>
      </c>
      <c r="K287" s="4">
        <v>2077023.3</v>
      </c>
      <c r="L287" s="4">
        <v>1602120.87</v>
      </c>
      <c r="M287" s="4">
        <v>1338626.8799999999</v>
      </c>
      <c r="N287" s="4">
        <v>11901580.99</v>
      </c>
      <c r="O287" s="4">
        <v>39649684.579999998</v>
      </c>
      <c r="P287" s="4">
        <v>1458898.49</v>
      </c>
      <c r="Q287" s="4">
        <v>899665.32</v>
      </c>
      <c r="R287" s="4">
        <v>854002.45</v>
      </c>
      <c r="S287" s="4">
        <v>2087134.72</v>
      </c>
      <c r="T287" s="4">
        <v>1668687.32</v>
      </c>
      <c r="U287" s="4">
        <v>155373.34</v>
      </c>
      <c r="V287" s="4">
        <v>1602477.32</v>
      </c>
      <c r="W287" s="4">
        <v>3989662.23</v>
      </c>
      <c r="X287" s="4">
        <v>492715.27</v>
      </c>
      <c r="Y287" s="4">
        <v>1601069.3</v>
      </c>
      <c r="Z287" s="4">
        <v>1470956.82</v>
      </c>
      <c r="AA287" s="4">
        <v>29064794.720000003</v>
      </c>
      <c r="AB287" s="4">
        <v>1605307.5</v>
      </c>
      <c r="AC287" s="4">
        <v>73655639.25</v>
      </c>
      <c r="AD287" s="4">
        <v>6710742.2199999997</v>
      </c>
      <c r="AE287" s="4">
        <v>9522329.8099999987</v>
      </c>
      <c r="AF287" s="4">
        <v>21151925.77</v>
      </c>
      <c r="AG287" s="4">
        <v>3897090.18</v>
      </c>
      <c r="AH287" s="4">
        <v>16354232.080000002</v>
      </c>
      <c r="AI287" s="4">
        <v>821937.97</v>
      </c>
      <c r="AJ287" s="4">
        <v>2090533.33</v>
      </c>
      <c r="AK287" s="4">
        <v>2224346.8199999998</v>
      </c>
      <c r="AL287" s="4">
        <v>3207802.58</v>
      </c>
      <c r="AM287" s="4">
        <v>4648316.2300000004</v>
      </c>
      <c r="AN287" s="4">
        <v>11511438.09</v>
      </c>
      <c r="AO287" s="4">
        <v>2520778.44</v>
      </c>
      <c r="AP287" s="4">
        <v>7161547.6200000001</v>
      </c>
      <c r="AQ287" s="4">
        <v>6192517.2800000003</v>
      </c>
      <c r="AR287" s="4">
        <v>949619.4</v>
      </c>
      <c r="AS287" s="4">
        <v>498507.24</v>
      </c>
      <c r="AT287" s="4">
        <v>1222100.23</v>
      </c>
      <c r="AU287" s="4">
        <v>2670459.59</v>
      </c>
      <c r="AV287" s="4">
        <v>83174710.210000008</v>
      </c>
      <c r="AW287" s="4">
        <v>2171930.46</v>
      </c>
      <c r="AX287" s="4">
        <v>1085275.32</v>
      </c>
      <c r="AY287" s="4">
        <v>2880751.77</v>
      </c>
      <c r="AZ287" s="4">
        <v>6887751.9500000011</v>
      </c>
      <c r="BA287" s="4">
        <v>3040068.8</v>
      </c>
      <c r="BB287" s="4">
        <v>1046762.84</v>
      </c>
      <c r="BC287" s="4">
        <v>2326668.21</v>
      </c>
      <c r="BD287" s="4">
        <v>31978015.050000001</v>
      </c>
      <c r="BE287" s="4">
        <v>946481.61</v>
      </c>
      <c r="BF287" s="4">
        <v>512524.15</v>
      </c>
      <c r="BG287" s="4">
        <v>0</v>
      </c>
      <c r="BH287" s="4">
        <f t="shared" si="43"/>
        <v>458022933.04999989</v>
      </c>
    </row>
    <row r="288" spans="1:60" x14ac:dyDescent="0.2">
      <c r="A288" s="3">
        <v>38687</v>
      </c>
      <c r="B288" s="4">
        <v>21764594.440000001</v>
      </c>
      <c r="C288" s="4">
        <v>1956711.53</v>
      </c>
      <c r="D288" s="4">
        <v>10954218.84</v>
      </c>
      <c r="E288" s="4">
        <v>3161035.98</v>
      </c>
      <c r="F288" s="4">
        <v>2481704.25</v>
      </c>
      <c r="G288" s="4">
        <v>7408729.1900000004</v>
      </c>
      <c r="H288" s="4">
        <v>5126181.8499999996</v>
      </c>
      <c r="I288" s="4">
        <v>1998877.39</v>
      </c>
      <c r="J288" s="4">
        <v>3850614.73</v>
      </c>
      <c r="K288" s="4">
        <v>3256926.97</v>
      </c>
      <c r="L288" s="4">
        <v>2138252.59</v>
      </c>
      <c r="M288" s="4">
        <v>2439567.9900000002</v>
      </c>
      <c r="N288" s="4">
        <v>14559848.809999999</v>
      </c>
      <c r="O288" s="4">
        <v>52631657.729999997</v>
      </c>
      <c r="P288" s="4">
        <v>2144297.86</v>
      </c>
      <c r="Q288" s="4">
        <v>1246513.1499999999</v>
      </c>
      <c r="R288" s="4">
        <v>1412060.36</v>
      </c>
      <c r="S288" s="4">
        <v>3144547.64</v>
      </c>
      <c r="T288" s="4">
        <v>3050718.65</v>
      </c>
      <c r="U288" s="4">
        <v>294942.86</v>
      </c>
      <c r="V288" s="4">
        <v>2307762.5</v>
      </c>
      <c r="W288" s="4">
        <v>5983731.1200000001</v>
      </c>
      <c r="X288" s="4">
        <v>932284.02</v>
      </c>
      <c r="Y288" s="4">
        <v>2495676.4700000002</v>
      </c>
      <c r="Z288" s="4">
        <v>2355229.36</v>
      </c>
      <c r="AA288" s="4">
        <v>37594266.460000001</v>
      </c>
      <c r="AB288" s="4">
        <v>2289837.1</v>
      </c>
      <c r="AC288" s="4">
        <v>90978543.549999997</v>
      </c>
      <c r="AD288" s="4">
        <v>7795279.6400000006</v>
      </c>
      <c r="AE288" s="4">
        <v>13404117.629999999</v>
      </c>
      <c r="AF288" s="4">
        <v>26822139.740000002</v>
      </c>
      <c r="AG288" s="4">
        <v>5178460.83</v>
      </c>
      <c r="AH288" s="4">
        <v>22555023.399999999</v>
      </c>
      <c r="AI288" s="4">
        <v>1321846.51</v>
      </c>
      <c r="AJ288" s="4">
        <v>2318393.39</v>
      </c>
      <c r="AK288" s="4">
        <v>3347296.81</v>
      </c>
      <c r="AL288" s="4">
        <v>3687072.99</v>
      </c>
      <c r="AM288" s="4">
        <v>6333708.6600000001</v>
      </c>
      <c r="AN288" s="4">
        <v>16397796.710000001</v>
      </c>
      <c r="AO288" s="4">
        <v>3736787.65</v>
      </c>
      <c r="AP288" s="4">
        <v>8433721.9600000009</v>
      </c>
      <c r="AQ288" s="4">
        <v>7385274.5299999993</v>
      </c>
      <c r="AR288" s="4">
        <v>1171593.81</v>
      </c>
      <c r="AS288" s="4">
        <v>964105.53</v>
      </c>
      <c r="AT288" s="4">
        <v>1930135.3</v>
      </c>
      <c r="AU288" s="4">
        <v>4298147.49</v>
      </c>
      <c r="AV288" s="4">
        <v>109166310.36</v>
      </c>
      <c r="AW288" s="4">
        <v>3396469.82</v>
      </c>
      <c r="AX288" s="4">
        <v>1862552.97</v>
      </c>
      <c r="AY288" s="4">
        <v>4423955.7699999996</v>
      </c>
      <c r="AZ288" s="4">
        <v>10076071.74</v>
      </c>
      <c r="BA288" s="4">
        <v>3994770.91</v>
      </c>
      <c r="BB288" s="4">
        <v>1584489.36</v>
      </c>
      <c r="BC288" s="4">
        <v>2653621.9300000002</v>
      </c>
      <c r="BD288" s="4">
        <v>45537643.100000001</v>
      </c>
      <c r="BE288" s="4">
        <v>1350792.85</v>
      </c>
      <c r="BF288" s="4">
        <v>1001478.25</v>
      </c>
      <c r="BG288" s="4">
        <v>0</v>
      </c>
      <c r="BH288" s="4">
        <f t="shared" si="43"/>
        <v>612088393.02999997</v>
      </c>
    </row>
    <row r="289" spans="1:60" ht="15.75" thickBot="1" x14ac:dyDescent="0.25">
      <c r="A289" s="3" t="s">
        <v>147</v>
      </c>
      <c r="B289" s="5">
        <f t="shared" ref="B289:AG289" si="44">SUM(B277:B288)</f>
        <v>217798866.97</v>
      </c>
      <c r="C289" s="5">
        <f t="shared" si="44"/>
        <v>15825927.619999999</v>
      </c>
      <c r="D289" s="5">
        <f t="shared" si="44"/>
        <v>101731663.81</v>
      </c>
      <c r="E289" s="5">
        <f t="shared" si="44"/>
        <v>29459879.549999997</v>
      </c>
      <c r="F289" s="5">
        <f t="shared" si="44"/>
        <v>27749566.190000001</v>
      </c>
      <c r="G289" s="5">
        <f t="shared" si="44"/>
        <v>59431733.019999988</v>
      </c>
      <c r="H289" s="5">
        <f t="shared" si="44"/>
        <v>46975365.990000002</v>
      </c>
      <c r="I289" s="5">
        <f t="shared" si="44"/>
        <v>16659342.820000002</v>
      </c>
      <c r="J289" s="5">
        <f t="shared" si="44"/>
        <v>39447236.199999996</v>
      </c>
      <c r="K289" s="5">
        <f t="shared" si="44"/>
        <v>30387155.02</v>
      </c>
      <c r="L289" s="5">
        <f t="shared" si="44"/>
        <v>21907126.199999999</v>
      </c>
      <c r="M289" s="5">
        <f t="shared" si="44"/>
        <v>19197448.030000001</v>
      </c>
      <c r="N289" s="5">
        <f t="shared" si="44"/>
        <v>153789344.51000002</v>
      </c>
      <c r="O289" s="5">
        <f t="shared" si="44"/>
        <v>511237407.55000001</v>
      </c>
      <c r="P289" s="5">
        <f t="shared" si="44"/>
        <v>20606064.75</v>
      </c>
      <c r="Q289" s="5">
        <f t="shared" si="44"/>
        <v>12633688.029999999</v>
      </c>
      <c r="R289" s="5">
        <f t="shared" si="44"/>
        <v>12206896.719999997</v>
      </c>
      <c r="S289" s="5">
        <f t="shared" si="44"/>
        <v>29609295.270000003</v>
      </c>
      <c r="T289" s="5">
        <f t="shared" si="44"/>
        <v>25203779.5</v>
      </c>
      <c r="U289" s="5">
        <f t="shared" si="44"/>
        <v>2471752.9</v>
      </c>
      <c r="V289" s="5">
        <f t="shared" si="44"/>
        <v>22918806.789999999</v>
      </c>
      <c r="W289" s="5">
        <f t="shared" si="44"/>
        <v>55950784.499999993</v>
      </c>
      <c r="X289" s="5">
        <f t="shared" si="44"/>
        <v>8123057.8999999985</v>
      </c>
      <c r="Y289" s="5">
        <f t="shared" si="44"/>
        <v>23095168.030000001</v>
      </c>
      <c r="Z289" s="5">
        <f t="shared" si="44"/>
        <v>21473650.689999998</v>
      </c>
      <c r="AA289" s="5">
        <f t="shared" si="44"/>
        <v>383387243.31</v>
      </c>
      <c r="AB289" s="5">
        <f t="shared" si="44"/>
        <v>22231526.57</v>
      </c>
      <c r="AC289" s="5">
        <f t="shared" si="44"/>
        <v>954285387.12</v>
      </c>
      <c r="AD289" s="5">
        <f t="shared" si="44"/>
        <v>85720090.320000008</v>
      </c>
      <c r="AE289" s="5">
        <f t="shared" si="44"/>
        <v>120026178.05</v>
      </c>
      <c r="AF289" s="5">
        <f t="shared" si="44"/>
        <v>273307094.94</v>
      </c>
      <c r="AG289" s="5">
        <f t="shared" si="44"/>
        <v>51224717</v>
      </c>
      <c r="AH289" s="5">
        <f t="shared" ref="AH289:BH289" si="45">SUM(AH277:AH288)</f>
        <v>212411769.21999997</v>
      </c>
      <c r="AI289" s="5">
        <f t="shared" si="45"/>
        <v>11454139.280000001</v>
      </c>
      <c r="AJ289" s="5">
        <f t="shared" si="45"/>
        <v>26711209.340000004</v>
      </c>
      <c r="AK289" s="5">
        <f t="shared" si="45"/>
        <v>31292501.589999996</v>
      </c>
      <c r="AL289" s="5">
        <f t="shared" si="45"/>
        <v>37989168.090000004</v>
      </c>
      <c r="AM289" s="5">
        <f t="shared" si="45"/>
        <v>62245125.659999996</v>
      </c>
      <c r="AN289" s="5">
        <f t="shared" si="45"/>
        <v>155461880.99000001</v>
      </c>
      <c r="AO289" s="5">
        <f t="shared" si="45"/>
        <v>34525945.090000004</v>
      </c>
      <c r="AP289" s="5">
        <f t="shared" si="45"/>
        <v>89058040.310000002</v>
      </c>
      <c r="AQ289" s="5">
        <f t="shared" si="45"/>
        <v>78689746.419999987</v>
      </c>
      <c r="AR289" s="5">
        <f t="shared" si="45"/>
        <v>12746837</v>
      </c>
      <c r="AS289" s="5">
        <f t="shared" si="45"/>
        <v>7772939.3999999994</v>
      </c>
      <c r="AT289" s="5">
        <f t="shared" si="45"/>
        <v>17007652.16</v>
      </c>
      <c r="AU289" s="5">
        <f t="shared" si="45"/>
        <v>37117176.989999995</v>
      </c>
      <c r="AV289" s="5">
        <f t="shared" si="45"/>
        <v>1119771842.29</v>
      </c>
      <c r="AW289" s="5">
        <f t="shared" si="45"/>
        <v>31543725.230000004</v>
      </c>
      <c r="AX289" s="5">
        <f t="shared" si="45"/>
        <v>16288389.42</v>
      </c>
      <c r="AY289" s="5">
        <f t="shared" si="45"/>
        <v>39900725.050000012</v>
      </c>
      <c r="AZ289" s="5">
        <f t="shared" si="45"/>
        <v>94371372.320000008</v>
      </c>
      <c r="BA289" s="5">
        <f t="shared" si="45"/>
        <v>41029241.659999996</v>
      </c>
      <c r="BB289" s="5">
        <f t="shared" si="45"/>
        <v>14886036.700000003</v>
      </c>
      <c r="BC289" s="5">
        <f t="shared" si="45"/>
        <v>32287689.530000001</v>
      </c>
      <c r="BD289" s="5">
        <f t="shared" si="45"/>
        <v>430238670.65000004</v>
      </c>
      <c r="BE289" s="5">
        <f t="shared" si="45"/>
        <v>13726988.879999999</v>
      </c>
      <c r="BF289" s="5">
        <f t="shared" si="45"/>
        <v>8056143.2400000002</v>
      </c>
      <c r="BG289" s="5">
        <f t="shared" si="45"/>
        <v>0</v>
      </c>
      <c r="BH289" s="5">
        <f t="shared" si="45"/>
        <v>6072658202.3800001</v>
      </c>
    </row>
    <row r="290" spans="1:60" ht="15.75" thickTop="1" x14ac:dyDescent="0.2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</row>
    <row r="291" spans="1:60" x14ac:dyDescent="0.2">
      <c r="A291" s="3">
        <v>37987</v>
      </c>
      <c r="B291" s="4">
        <v>17809006.720000003</v>
      </c>
      <c r="C291" s="4">
        <v>1066510.42</v>
      </c>
      <c r="D291" s="4">
        <v>7781024.2100000009</v>
      </c>
      <c r="E291" s="4">
        <v>2284773.27</v>
      </c>
      <c r="F291" s="4">
        <v>1958418.27</v>
      </c>
      <c r="G291" s="4">
        <v>3283797.94</v>
      </c>
      <c r="H291" s="4">
        <v>3830891.27</v>
      </c>
      <c r="I291" s="4">
        <v>1045231.34</v>
      </c>
      <c r="J291" s="4">
        <v>2478148.2599999998</v>
      </c>
      <c r="K291" s="4">
        <v>1852343.56</v>
      </c>
      <c r="L291" s="4">
        <v>1676750.55</v>
      </c>
      <c r="M291" s="4">
        <v>1116181.18</v>
      </c>
      <c r="N291" s="4">
        <v>11011826.889999999</v>
      </c>
      <c r="O291" s="4">
        <v>40144664.170000002</v>
      </c>
      <c r="P291" s="4">
        <v>1075587.22</v>
      </c>
      <c r="Q291" s="4">
        <v>873471.3</v>
      </c>
      <c r="R291" s="4">
        <v>810142.12</v>
      </c>
      <c r="S291" s="4">
        <v>1881436.73</v>
      </c>
      <c r="T291" s="4">
        <v>1482331.12</v>
      </c>
      <c r="U291" s="4">
        <v>107695.63</v>
      </c>
      <c r="V291" s="4">
        <v>1539459.14</v>
      </c>
      <c r="W291" s="4">
        <v>2820780.94</v>
      </c>
      <c r="X291" s="4">
        <v>345861.17</v>
      </c>
      <c r="Y291" s="4">
        <v>1426497.15</v>
      </c>
      <c r="Z291" s="4">
        <v>955778.36</v>
      </c>
      <c r="AA291" s="4">
        <v>30110316.859999999</v>
      </c>
      <c r="AB291" s="4">
        <v>1418368.23</v>
      </c>
      <c r="AC291" s="4">
        <v>73712606.790000007</v>
      </c>
      <c r="AD291" s="4">
        <v>6591772.29</v>
      </c>
      <c r="AE291" s="4">
        <v>6899760.3099999996</v>
      </c>
      <c r="AF291" s="4">
        <v>16092733.16</v>
      </c>
      <c r="AG291" s="4">
        <v>4071709.15</v>
      </c>
      <c r="AH291" s="4">
        <v>11632873.84</v>
      </c>
      <c r="AI291" s="4">
        <v>862064.74</v>
      </c>
      <c r="AJ291" s="4">
        <v>1406579.24</v>
      </c>
      <c r="AK291" s="4">
        <v>1848463.75</v>
      </c>
      <c r="AL291" s="4">
        <v>2451919.4</v>
      </c>
      <c r="AM291" s="4">
        <v>4205996.71</v>
      </c>
      <c r="AN291" s="4">
        <v>11714653.329999998</v>
      </c>
      <c r="AO291" s="4">
        <v>2440614.15</v>
      </c>
      <c r="AP291" s="4">
        <v>6093198.8399999999</v>
      </c>
      <c r="AQ291" s="4">
        <v>6256763.1699999999</v>
      </c>
      <c r="AR291" s="4">
        <v>621648.86</v>
      </c>
      <c r="AS291" s="4">
        <v>345717.49</v>
      </c>
      <c r="AT291" s="4">
        <v>1008709.85</v>
      </c>
      <c r="AU291" s="4">
        <v>2445907.5699999998</v>
      </c>
      <c r="AV291" s="4">
        <v>78627924.769999996</v>
      </c>
      <c r="AW291" s="4">
        <v>1789441.85</v>
      </c>
      <c r="AX291" s="4">
        <v>1072319.97</v>
      </c>
      <c r="AY291" s="4">
        <v>2997293.91</v>
      </c>
      <c r="AZ291" s="4">
        <v>6855838.4199999999</v>
      </c>
      <c r="BA291" s="4">
        <v>2606737.0499999998</v>
      </c>
      <c r="BB291" s="4">
        <v>956085.5</v>
      </c>
      <c r="BC291" s="4">
        <v>1625704.1</v>
      </c>
      <c r="BD291" s="4">
        <v>28543917.210000001</v>
      </c>
      <c r="BE291" s="4">
        <v>815175.16</v>
      </c>
      <c r="BF291" s="4">
        <v>421694.57</v>
      </c>
      <c r="BG291" s="4">
        <v>0</v>
      </c>
      <c r="BH291" s="4">
        <f>SUM(B291:BG291)</f>
        <v>429203119.17000014</v>
      </c>
    </row>
    <row r="292" spans="1:60" x14ac:dyDescent="0.2">
      <c r="A292" s="3">
        <v>38018</v>
      </c>
      <c r="B292" s="4">
        <v>15106238.539999999</v>
      </c>
      <c r="C292" s="4">
        <v>878084.4</v>
      </c>
      <c r="D292" s="4">
        <v>6280589.7599999998</v>
      </c>
      <c r="E292" s="4">
        <v>1891367.86</v>
      </c>
      <c r="F292" s="4">
        <v>1603135.35</v>
      </c>
      <c r="G292" s="4">
        <v>2795265.29</v>
      </c>
      <c r="H292" s="4">
        <v>3137544.26</v>
      </c>
      <c r="I292" s="4">
        <v>857566.51</v>
      </c>
      <c r="J292" s="4">
        <v>2034222.56</v>
      </c>
      <c r="K292" s="4">
        <v>1475832.1</v>
      </c>
      <c r="L292" s="4">
        <v>1380971</v>
      </c>
      <c r="M292" s="4">
        <v>882209.21</v>
      </c>
      <c r="N292" s="4">
        <v>9068313.7100000009</v>
      </c>
      <c r="O292" s="4">
        <v>33415247.919999998</v>
      </c>
      <c r="P292" s="4">
        <v>887326.95</v>
      </c>
      <c r="Q292" s="4">
        <v>712881.22</v>
      </c>
      <c r="R292" s="4">
        <v>655170.21</v>
      </c>
      <c r="S292" s="4">
        <v>1587129.09</v>
      </c>
      <c r="T292" s="4">
        <v>1179502.04</v>
      </c>
      <c r="U292" s="4">
        <v>86435.72</v>
      </c>
      <c r="V292" s="4">
        <v>1240873.82</v>
      </c>
      <c r="W292" s="4">
        <v>2355044.44</v>
      </c>
      <c r="X292" s="4">
        <v>290594.40999999997</v>
      </c>
      <c r="Y292" s="4">
        <v>1146518.1200000001</v>
      </c>
      <c r="Z292" s="4">
        <v>775359.13</v>
      </c>
      <c r="AA292" s="4">
        <v>24594095.68</v>
      </c>
      <c r="AB292" s="4">
        <v>1172509.6499999999</v>
      </c>
      <c r="AC292" s="4">
        <v>60498557.840000004</v>
      </c>
      <c r="AD292" s="4">
        <v>5399785.8600000003</v>
      </c>
      <c r="AE292" s="4">
        <v>5569808.3200000003</v>
      </c>
      <c r="AF292" s="4">
        <v>13377452.859999999</v>
      </c>
      <c r="AG292" s="4">
        <v>3269415.77</v>
      </c>
      <c r="AH292" s="4">
        <v>9694127.0100000016</v>
      </c>
      <c r="AI292" s="4">
        <v>679043.73</v>
      </c>
      <c r="AJ292" s="4">
        <v>1070102.27</v>
      </c>
      <c r="AK292" s="4">
        <v>1512322.68</v>
      </c>
      <c r="AL292" s="4">
        <v>2005195.83</v>
      </c>
      <c r="AM292" s="4">
        <v>3395004.12</v>
      </c>
      <c r="AN292" s="4">
        <v>9791874.8200000003</v>
      </c>
      <c r="AO292" s="4">
        <v>2072611.31</v>
      </c>
      <c r="AP292" s="4">
        <v>4998347.7</v>
      </c>
      <c r="AQ292" s="4">
        <v>5126556.6100000003</v>
      </c>
      <c r="AR292" s="4">
        <v>510321.58</v>
      </c>
      <c r="AS292" s="4">
        <v>331277.63</v>
      </c>
      <c r="AT292" s="4">
        <v>835903.83</v>
      </c>
      <c r="AU292" s="4">
        <v>2024768.73</v>
      </c>
      <c r="AV292" s="4">
        <v>63987138.899999991</v>
      </c>
      <c r="AW292" s="4">
        <v>1469377.09</v>
      </c>
      <c r="AX292" s="4">
        <v>893925.6</v>
      </c>
      <c r="AY292" s="4">
        <v>2339972.5099999998</v>
      </c>
      <c r="AZ292" s="4">
        <v>5651127.5599999996</v>
      </c>
      <c r="BA292" s="4">
        <v>2295264</v>
      </c>
      <c r="BB292" s="4">
        <v>759394.57</v>
      </c>
      <c r="BC292" s="4">
        <v>1312436.1499999999</v>
      </c>
      <c r="BD292" s="4">
        <v>23874262.809999999</v>
      </c>
      <c r="BE292" s="4">
        <v>669138.05000000005</v>
      </c>
      <c r="BF292" s="4">
        <v>334065.31</v>
      </c>
      <c r="BG292" s="4">
        <v>0</v>
      </c>
      <c r="BH292" s="4">
        <f t="shared" ref="BH292:BH302" si="46">SUM(B292:BG292)</f>
        <v>353238610</v>
      </c>
    </row>
    <row r="293" spans="1:60" x14ac:dyDescent="0.2">
      <c r="A293" s="3">
        <v>38047</v>
      </c>
      <c r="B293" s="4">
        <v>16470294.02</v>
      </c>
      <c r="C293" s="4">
        <v>1103095.8500000001</v>
      </c>
      <c r="D293" s="4">
        <v>9725722.8399999999</v>
      </c>
      <c r="E293" s="4">
        <v>2871234.73</v>
      </c>
      <c r="F293" s="4">
        <v>2292941.94</v>
      </c>
      <c r="G293" s="4">
        <v>4226820.63</v>
      </c>
      <c r="H293" s="4">
        <v>4376010.59</v>
      </c>
      <c r="I293" s="4">
        <v>1495950.91</v>
      </c>
      <c r="J293" s="4">
        <v>3012854.21</v>
      </c>
      <c r="K293" s="4">
        <v>2576123.06</v>
      </c>
      <c r="L293" s="4">
        <v>2000703.96</v>
      </c>
      <c r="M293" s="4">
        <v>1900369.71</v>
      </c>
      <c r="N293" s="4">
        <v>13327228.07</v>
      </c>
      <c r="O293" s="4">
        <v>40618026.450000003</v>
      </c>
      <c r="P293" s="4">
        <v>1503011.93</v>
      </c>
      <c r="Q293" s="4">
        <v>1124836.51</v>
      </c>
      <c r="R293" s="4">
        <v>1069802.95</v>
      </c>
      <c r="S293" s="4">
        <v>2529493.4700000002</v>
      </c>
      <c r="T293" s="4">
        <v>2171392.62</v>
      </c>
      <c r="U293" s="4">
        <v>182850.37</v>
      </c>
      <c r="V293" s="4">
        <v>2044627.26</v>
      </c>
      <c r="W293" s="4">
        <v>4013398.22</v>
      </c>
      <c r="X293" s="4">
        <v>610097.6</v>
      </c>
      <c r="Y293" s="4">
        <v>2243375.9500000002</v>
      </c>
      <c r="Z293" s="4">
        <v>1459223.81</v>
      </c>
      <c r="AA293" s="4">
        <v>33774321.980000004</v>
      </c>
      <c r="AB293" s="4">
        <v>2053058.62</v>
      </c>
      <c r="AC293" s="4">
        <v>90880912.210000008</v>
      </c>
      <c r="AD293" s="4">
        <v>8132286.8599999994</v>
      </c>
      <c r="AE293" s="4">
        <v>7631990.5899999989</v>
      </c>
      <c r="AF293" s="4">
        <v>17363259.43</v>
      </c>
      <c r="AG293" s="4">
        <v>4418114.05</v>
      </c>
      <c r="AH293" s="4">
        <v>14334162.630000003</v>
      </c>
      <c r="AI293" s="4">
        <v>1010109.99</v>
      </c>
      <c r="AJ293" s="4">
        <v>1900015.46</v>
      </c>
      <c r="AK293" s="4">
        <v>2752548.78</v>
      </c>
      <c r="AL293" s="4">
        <v>3440122.15</v>
      </c>
      <c r="AM293" s="4">
        <v>5678499.1699999999</v>
      </c>
      <c r="AN293" s="4">
        <v>13920989.77</v>
      </c>
      <c r="AO293" s="4">
        <v>3204635.69</v>
      </c>
      <c r="AP293" s="4">
        <v>7695174.1900000004</v>
      </c>
      <c r="AQ293" s="4">
        <v>6590448.54</v>
      </c>
      <c r="AR293" s="4">
        <v>827905.5</v>
      </c>
      <c r="AS293" s="4">
        <v>887405.38</v>
      </c>
      <c r="AT293" s="4">
        <v>1249653.99</v>
      </c>
      <c r="AU293" s="4">
        <v>2772185.7</v>
      </c>
      <c r="AV293" s="4">
        <v>107825859.44</v>
      </c>
      <c r="AW293" s="4">
        <v>2448229.54</v>
      </c>
      <c r="AX293" s="4">
        <v>1397250.78</v>
      </c>
      <c r="AY293" s="4">
        <v>4009226.87</v>
      </c>
      <c r="AZ293" s="4">
        <v>8855892.25</v>
      </c>
      <c r="BA293" s="4">
        <v>3459433.78</v>
      </c>
      <c r="BB293" s="4">
        <v>1369194.24</v>
      </c>
      <c r="BC293" s="4">
        <v>2313715.12</v>
      </c>
      <c r="BD293" s="4">
        <v>34752351.549999997</v>
      </c>
      <c r="BE293" s="4">
        <v>1300949.3700000001</v>
      </c>
      <c r="BF293" s="4">
        <v>787890.28</v>
      </c>
      <c r="BG293" s="4">
        <v>0</v>
      </c>
      <c r="BH293" s="4">
        <f t="shared" si="46"/>
        <v>523987281.55999994</v>
      </c>
    </row>
    <row r="294" spans="1:60" x14ac:dyDescent="0.2">
      <c r="A294" s="3">
        <v>38078</v>
      </c>
      <c r="B294" s="4">
        <v>16552680.809999999</v>
      </c>
      <c r="C294" s="4">
        <v>1037583.71</v>
      </c>
      <c r="D294" s="4">
        <v>7231668.6399999997</v>
      </c>
      <c r="E294" s="4">
        <v>2482584.5299999998</v>
      </c>
      <c r="F294" s="4">
        <v>1986387.89</v>
      </c>
      <c r="G294" s="4">
        <v>3179395.87</v>
      </c>
      <c r="H294" s="4">
        <v>3405445.5</v>
      </c>
      <c r="I294" s="4">
        <v>1175654.57</v>
      </c>
      <c r="J294" s="4">
        <v>2437126.19</v>
      </c>
      <c r="K294" s="4">
        <v>1965769.02</v>
      </c>
      <c r="L294" s="4">
        <v>1705560.98</v>
      </c>
      <c r="M294" s="4">
        <v>1173292.8400000001</v>
      </c>
      <c r="N294" s="4">
        <v>10810689.300000001</v>
      </c>
      <c r="O294" s="4">
        <v>38163416.689999998</v>
      </c>
      <c r="P294" s="4">
        <v>1033730.82</v>
      </c>
      <c r="Q294" s="4">
        <v>863378.26</v>
      </c>
      <c r="R294" s="4">
        <v>868568.64</v>
      </c>
      <c r="S294" s="4">
        <v>1910736.01</v>
      </c>
      <c r="T294" s="4">
        <v>1435806.07</v>
      </c>
      <c r="U294" s="4">
        <v>116798.38</v>
      </c>
      <c r="V294" s="4">
        <v>1569578.12</v>
      </c>
      <c r="W294" s="4">
        <v>3025748.21</v>
      </c>
      <c r="X294" s="4">
        <v>386411.42</v>
      </c>
      <c r="Y294" s="4">
        <v>1594854.24</v>
      </c>
      <c r="Z294" s="4">
        <v>1161698.75</v>
      </c>
      <c r="AA294" s="4">
        <v>29198537.550000001</v>
      </c>
      <c r="AB294" s="4">
        <v>1562574.14</v>
      </c>
      <c r="AC294" s="4">
        <v>71274927.629999995</v>
      </c>
      <c r="AD294" s="4">
        <v>6404876.1699999999</v>
      </c>
      <c r="AE294" s="4">
        <v>6486713.3200000003</v>
      </c>
      <c r="AF294" s="4">
        <v>15652697.119999999</v>
      </c>
      <c r="AG294" s="4">
        <v>3673353.26</v>
      </c>
      <c r="AH294" s="4">
        <v>11601692.059999999</v>
      </c>
      <c r="AI294" s="4">
        <v>903266.51</v>
      </c>
      <c r="AJ294" s="4">
        <v>1424057.07</v>
      </c>
      <c r="AK294" s="4">
        <v>1912715.61</v>
      </c>
      <c r="AL294" s="4">
        <v>2664585.2799999998</v>
      </c>
      <c r="AM294" s="4">
        <v>4367571.74</v>
      </c>
      <c r="AN294" s="4">
        <v>11095415.390000001</v>
      </c>
      <c r="AO294" s="4">
        <v>2373516.1800000002</v>
      </c>
      <c r="AP294" s="4">
        <v>6006639.959999999</v>
      </c>
      <c r="AQ294" s="4">
        <v>6074056.4800000004</v>
      </c>
      <c r="AR294" s="4">
        <v>657112.88</v>
      </c>
      <c r="AS294" s="4">
        <v>462672.09</v>
      </c>
      <c r="AT294" s="4">
        <v>1080938.57</v>
      </c>
      <c r="AU294" s="4">
        <v>2554453.7799999998</v>
      </c>
      <c r="AV294" s="4">
        <v>79316931.189999998</v>
      </c>
      <c r="AW294" s="4">
        <v>1865351.05</v>
      </c>
      <c r="AX294" s="4">
        <v>1094775.3700000001</v>
      </c>
      <c r="AY294" s="4">
        <v>2795957.81</v>
      </c>
      <c r="AZ294" s="4">
        <v>6582071.9199999999</v>
      </c>
      <c r="BA294" s="4">
        <v>2559547.09</v>
      </c>
      <c r="BB294" s="4">
        <v>991565.42</v>
      </c>
      <c r="BC294" s="4">
        <v>2323578.65</v>
      </c>
      <c r="BD294" s="4">
        <v>30893195.529999997</v>
      </c>
      <c r="BE294" s="4">
        <v>917401.69</v>
      </c>
      <c r="BF294" s="4">
        <v>441365.63</v>
      </c>
      <c r="BG294" s="4">
        <v>0</v>
      </c>
      <c r="BH294" s="4">
        <f t="shared" si="46"/>
        <v>424488679.59999985</v>
      </c>
    </row>
    <row r="295" spans="1:60" x14ac:dyDescent="0.2">
      <c r="A295" s="3">
        <v>38108</v>
      </c>
      <c r="B295" s="4">
        <v>16415759.51</v>
      </c>
      <c r="C295" s="4">
        <v>987878.19</v>
      </c>
      <c r="D295" s="4">
        <v>7273285.9600000009</v>
      </c>
      <c r="E295" s="4">
        <v>2107972.2799999998</v>
      </c>
      <c r="F295" s="4">
        <v>2005441.82</v>
      </c>
      <c r="G295" s="4">
        <v>3241578.04</v>
      </c>
      <c r="H295" s="4">
        <v>3484858.39</v>
      </c>
      <c r="I295" s="4">
        <v>1133000.8400000001</v>
      </c>
      <c r="J295" s="4">
        <v>2378942.7400000002</v>
      </c>
      <c r="K295" s="4">
        <v>1960985.34</v>
      </c>
      <c r="L295" s="4">
        <v>1638796.73</v>
      </c>
      <c r="M295" s="4">
        <v>1157115.71</v>
      </c>
      <c r="N295" s="4">
        <v>10854883.32</v>
      </c>
      <c r="O295" s="4">
        <v>38494953.32</v>
      </c>
      <c r="P295" s="4">
        <v>1008492.01</v>
      </c>
      <c r="Q295" s="4">
        <v>846711.85</v>
      </c>
      <c r="R295" s="4">
        <v>863410.34</v>
      </c>
      <c r="S295" s="4">
        <v>1922066.82</v>
      </c>
      <c r="T295" s="4">
        <v>1416038.38</v>
      </c>
      <c r="U295" s="4">
        <v>121773.46</v>
      </c>
      <c r="V295" s="4">
        <v>1580595.64</v>
      </c>
      <c r="W295" s="4">
        <v>3022122.24</v>
      </c>
      <c r="X295" s="4">
        <v>401451.3</v>
      </c>
      <c r="Y295" s="4">
        <v>1618532.37</v>
      </c>
      <c r="Z295" s="4">
        <v>1087302.48</v>
      </c>
      <c r="AA295" s="4">
        <v>31438644.759999998</v>
      </c>
      <c r="AB295" s="4">
        <v>1595430.25</v>
      </c>
      <c r="AC295" s="4">
        <v>71485491.719999999</v>
      </c>
      <c r="AD295" s="4">
        <v>6480295.1200000001</v>
      </c>
      <c r="AE295" s="4">
        <v>6491684.2999999998</v>
      </c>
      <c r="AF295" s="4">
        <v>15942020.99</v>
      </c>
      <c r="AG295" s="4">
        <v>3728045.73</v>
      </c>
      <c r="AH295" s="4">
        <v>11975538.09</v>
      </c>
      <c r="AI295" s="4">
        <v>873252.65</v>
      </c>
      <c r="AJ295" s="4">
        <v>1422983.26</v>
      </c>
      <c r="AK295" s="4">
        <v>1963286.15</v>
      </c>
      <c r="AL295" s="4">
        <v>2661858.15</v>
      </c>
      <c r="AM295" s="4">
        <v>4416304.57</v>
      </c>
      <c r="AN295" s="4">
        <v>11164068.33</v>
      </c>
      <c r="AO295" s="4">
        <v>2470563.37</v>
      </c>
      <c r="AP295" s="4">
        <v>6119619.3600000003</v>
      </c>
      <c r="AQ295" s="4">
        <v>6142379.7400000002</v>
      </c>
      <c r="AR295" s="4">
        <v>652270.73</v>
      </c>
      <c r="AS295" s="4">
        <v>490314.92</v>
      </c>
      <c r="AT295" s="4">
        <v>1083307.3999999999</v>
      </c>
      <c r="AU295" s="4">
        <v>2485969.46</v>
      </c>
      <c r="AV295" s="4">
        <v>78996487.780000001</v>
      </c>
      <c r="AW295" s="4">
        <v>1856219.21</v>
      </c>
      <c r="AX295" s="4">
        <v>1080421.44</v>
      </c>
      <c r="AY295" s="4">
        <v>2802577.9</v>
      </c>
      <c r="AZ295" s="4">
        <v>6609496.0099999998</v>
      </c>
      <c r="BA295" s="4">
        <v>2567726.4700000002</v>
      </c>
      <c r="BB295" s="4">
        <v>1028154.39</v>
      </c>
      <c r="BC295" s="4">
        <v>2344702.75</v>
      </c>
      <c r="BD295" s="4">
        <v>30872073.109999999</v>
      </c>
      <c r="BE295" s="4">
        <v>916691.44</v>
      </c>
      <c r="BF295" s="4">
        <v>445355.57</v>
      </c>
      <c r="BG295" s="4">
        <v>0</v>
      </c>
      <c r="BH295" s="4">
        <f t="shared" si="46"/>
        <v>427627184.19999993</v>
      </c>
    </row>
    <row r="296" spans="1:60" x14ac:dyDescent="0.2">
      <c r="A296" s="3">
        <v>38139</v>
      </c>
      <c r="B296" s="4">
        <v>20592138.719999999</v>
      </c>
      <c r="C296" s="4">
        <v>1332637.56</v>
      </c>
      <c r="D296" s="4">
        <v>9953892.9600000009</v>
      </c>
      <c r="E296" s="4">
        <v>2914033.41</v>
      </c>
      <c r="F296" s="4">
        <v>2662504.91</v>
      </c>
      <c r="G296" s="4">
        <v>4622794.55</v>
      </c>
      <c r="H296" s="4">
        <v>4950672.07</v>
      </c>
      <c r="I296" s="4">
        <v>1664583.75</v>
      </c>
      <c r="J296" s="4">
        <v>3791122.97</v>
      </c>
      <c r="K296" s="4">
        <v>3295822.98</v>
      </c>
      <c r="L296" s="4">
        <v>2302879.7000000002</v>
      </c>
      <c r="M296" s="4">
        <v>2314906.1800000002</v>
      </c>
      <c r="N296" s="4">
        <v>16068563.479999999</v>
      </c>
      <c r="O296" s="4">
        <v>46348492.109999999</v>
      </c>
      <c r="P296" s="4">
        <v>1749358.01</v>
      </c>
      <c r="Q296" s="4">
        <v>1369474.71</v>
      </c>
      <c r="R296" s="4">
        <v>1344412.93</v>
      </c>
      <c r="S296" s="4">
        <v>3141050.37</v>
      </c>
      <c r="T296" s="4">
        <v>2511829.67</v>
      </c>
      <c r="U296" s="4">
        <v>251961.62</v>
      </c>
      <c r="V296" s="4">
        <v>2475353</v>
      </c>
      <c r="W296" s="4">
        <v>4300994.58</v>
      </c>
      <c r="X296" s="4">
        <v>726365.31</v>
      </c>
      <c r="Y296" s="4">
        <v>2470555.42</v>
      </c>
      <c r="Z296" s="4">
        <v>1908531.47</v>
      </c>
      <c r="AA296" s="4">
        <v>36122658.560000002</v>
      </c>
      <c r="AB296" s="4">
        <v>2197758.09</v>
      </c>
      <c r="AC296" s="4">
        <v>91828434.760000005</v>
      </c>
      <c r="AD296" s="4">
        <v>9038190.870000001</v>
      </c>
      <c r="AE296" s="4">
        <v>9084429.0999999996</v>
      </c>
      <c r="AF296" s="4">
        <v>18548067.080000002</v>
      </c>
      <c r="AG296" s="4">
        <v>4948012.1500000004</v>
      </c>
      <c r="AH296" s="4">
        <v>18045191.440000001</v>
      </c>
      <c r="AI296" s="4">
        <v>1026974.6</v>
      </c>
      <c r="AJ296" s="4">
        <v>2242453.88</v>
      </c>
      <c r="AK296" s="4">
        <v>3104675.12</v>
      </c>
      <c r="AL296" s="4">
        <v>3997414.15</v>
      </c>
      <c r="AM296" s="4">
        <v>5662076.7599999998</v>
      </c>
      <c r="AN296" s="4">
        <v>15418958.16</v>
      </c>
      <c r="AO296" s="4">
        <v>3567307.63</v>
      </c>
      <c r="AP296" s="4">
        <v>9416128.9000000004</v>
      </c>
      <c r="AQ296" s="4">
        <v>7612272.2400000002</v>
      </c>
      <c r="AR296" s="4">
        <v>1034876.34</v>
      </c>
      <c r="AS296" s="4">
        <v>869024.74</v>
      </c>
      <c r="AT296" s="4">
        <v>1708860.93</v>
      </c>
      <c r="AU296" s="4">
        <v>3426195.67</v>
      </c>
      <c r="AV296" s="4">
        <v>110016195.74000001</v>
      </c>
      <c r="AW296" s="4">
        <v>3096708.66</v>
      </c>
      <c r="AX296" s="4">
        <v>1862091.24</v>
      </c>
      <c r="AY296" s="4">
        <v>4144481.46</v>
      </c>
      <c r="AZ296" s="4">
        <v>9564942.1400000006</v>
      </c>
      <c r="BA296" s="4">
        <v>4198697.7300000004</v>
      </c>
      <c r="BB296" s="4">
        <v>1729909.09</v>
      </c>
      <c r="BC296" s="4">
        <v>3479272.13</v>
      </c>
      <c r="BD296" s="4">
        <v>39577946.209999993</v>
      </c>
      <c r="BE296" s="4">
        <v>1529922.25</v>
      </c>
      <c r="BF296" s="4">
        <v>907399.18</v>
      </c>
      <c r="BG296" s="4">
        <v>0</v>
      </c>
      <c r="BH296" s="4">
        <f t="shared" si="46"/>
        <v>574072459.43999994</v>
      </c>
    </row>
    <row r="297" spans="1:60" x14ac:dyDescent="0.2">
      <c r="A297" s="3">
        <v>38169</v>
      </c>
      <c r="B297" s="4">
        <v>17084605.260000002</v>
      </c>
      <c r="C297" s="4">
        <v>998771.12</v>
      </c>
      <c r="D297" s="4">
        <v>7356959.6500000004</v>
      </c>
      <c r="E297" s="4">
        <v>2094651.19</v>
      </c>
      <c r="F297" s="4">
        <v>2050628.53</v>
      </c>
      <c r="G297" s="4">
        <v>3477846.87</v>
      </c>
      <c r="H297" s="4">
        <v>3564737.07</v>
      </c>
      <c r="I297" s="4">
        <v>1162433.08</v>
      </c>
      <c r="J297" s="4">
        <v>3107888.96</v>
      </c>
      <c r="K297" s="4">
        <v>2193642.0699999998</v>
      </c>
      <c r="L297" s="4">
        <v>1665793.26</v>
      </c>
      <c r="M297" s="4">
        <v>1424127.25</v>
      </c>
      <c r="N297" s="4">
        <v>11577406.060000001</v>
      </c>
      <c r="O297" s="4">
        <v>38864492.469999999</v>
      </c>
      <c r="P297" s="4">
        <v>1451745.77</v>
      </c>
      <c r="Q297" s="4">
        <v>953787.78</v>
      </c>
      <c r="R297" s="4">
        <v>974026.84</v>
      </c>
      <c r="S297" s="4">
        <v>2413954.7000000002</v>
      </c>
      <c r="T297" s="4">
        <v>1711297.16</v>
      </c>
      <c r="U297" s="4">
        <v>208546.48</v>
      </c>
      <c r="V297" s="4">
        <v>1783896.8</v>
      </c>
      <c r="W297" s="4">
        <v>3319693.32</v>
      </c>
      <c r="X297" s="4">
        <v>513112.55</v>
      </c>
      <c r="Y297" s="4">
        <v>1715822.08</v>
      </c>
      <c r="Z297" s="4">
        <v>1499435.97</v>
      </c>
      <c r="AA297" s="4">
        <v>32908546.149999999</v>
      </c>
      <c r="AB297" s="4">
        <v>1664428.58</v>
      </c>
      <c r="AC297" s="4">
        <v>75647018.960000008</v>
      </c>
      <c r="AD297" s="4">
        <v>6908908.29</v>
      </c>
      <c r="AE297" s="4">
        <v>6972521.5700000003</v>
      </c>
      <c r="AF297" s="4">
        <v>15961203.210000001</v>
      </c>
      <c r="AG297" s="4">
        <v>3913201.21</v>
      </c>
      <c r="AH297" s="4">
        <v>15488880.469999999</v>
      </c>
      <c r="AI297" s="4">
        <v>848743.86</v>
      </c>
      <c r="AJ297" s="4">
        <v>1613531.21</v>
      </c>
      <c r="AK297" s="4">
        <v>2503698.54</v>
      </c>
      <c r="AL297" s="4">
        <v>2937572.76</v>
      </c>
      <c r="AM297" s="4">
        <v>4641591.0999999996</v>
      </c>
      <c r="AN297" s="4">
        <v>12444308.560000001</v>
      </c>
      <c r="AO297" s="4">
        <v>2442127.38</v>
      </c>
      <c r="AP297" s="4">
        <v>6998166.7000000011</v>
      </c>
      <c r="AQ297" s="4">
        <v>6492930.9500000002</v>
      </c>
      <c r="AR297" s="4">
        <v>1002216.9</v>
      </c>
      <c r="AS297" s="4">
        <v>572626.79</v>
      </c>
      <c r="AT297" s="4">
        <v>1279366.71</v>
      </c>
      <c r="AU297" s="4">
        <v>2602427.75</v>
      </c>
      <c r="AV297" s="4">
        <v>89530541.290000007</v>
      </c>
      <c r="AW297" s="4">
        <v>2462844.09</v>
      </c>
      <c r="AX297" s="4">
        <v>1135251.51</v>
      </c>
      <c r="AY297" s="4">
        <v>2927195.93</v>
      </c>
      <c r="AZ297" s="4">
        <v>7204052.6100000003</v>
      </c>
      <c r="BA297" s="4">
        <v>3854811.69</v>
      </c>
      <c r="BB297" s="4">
        <v>1081367.07</v>
      </c>
      <c r="BC297" s="4">
        <v>2485577.4300000002</v>
      </c>
      <c r="BD297" s="4">
        <v>32279431.09</v>
      </c>
      <c r="BE297" s="4">
        <v>985335.1</v>
      </c>
      <c r="BF297" s="4">
        <v>528721.17000000004</v>
      </c>
      <c r="BG297" s="4">
        <v>0</v>
      </c>
      <c r="BH297" s="4">
        <f t="shared" si="46"/>
        <v>463488448.92000002</v>
      </c>
    </row>
    <row r="298" spans="1:60" x14ac:dyDescent="0.2">
      <c r="A298" s="3">
        <v>38200</v>
      </c>
      <c r="B298" s="4">
        <v>15882338.870000001</v>
      </c>
      <c r="C298" s="4">
        <v>963734.78</v>
      </c>
      <c r="D298" s="4">
        <v>7100703.7800000003</v>
      </c>
      <c r="E298" s="4">
        <v>2072892.39</v>
      </c>
      <c r="F298" s="4">
        <v>2015731.94</v>
      </c>
      <c r="G298" s="4">
        <v>3381246.94</v>
      </c>
      <c r="H298" s="4">
        <v>3469141.07</v>
      </c>
      <c r="I298" s="4">
        <v>1211080.17</v>
      </c>
      <c r="J298" s="4">
        <v>3084531.11</v>
      </c>
      <c r="K298" s="4">
        <v>2077449.63</v>
      </c>
      <c r="L298" s="4">
        <v>1551481.79</v>
      </c>
      <c r="M298" s="4">
        <v>1331585.07</v>
      </c>
      <c r="N298" s="4">
        <v>11047217.1</v>
      </c>
      <c r="O298" s="4">
        <v>37353351.729999997</v>
      </c>
      <c r="P298" s="4">
        <v>1360162.67</v>
      </c>
      <c r="Q298" s="4">
        <v>900579.67</v>
      </c>
      <c r="R298" s="4">
        <v>956352.41</v>
      </c>
      <c r="S298" s="4">
        <v>2252584.88</v>
      </c>
      <c r="T298" s="4">
        <v>1596040.29</v>
      </c>
      <c r="U298" s="4">
        <v>192721.07</v>
      </c>
      <c r="V298" s="4">
        <v>1744997.89</v>
      </c>
      <c r="W298" s="4">
        <v>3186863.12</v>
      </c>
      <c r="X298" s="4">
        <v>485976.05</v>
      </c>
      <c r="Y298" s="4">
        <v>1603729.54</v>
      </c>
      <c r="Z298" s="4">
        <v>1431626.61</v>
      </c>
      <c r="AA298" s="4">
        <v>30199557.309999999</v>
      </c>
      <c r="AB298" s="4">
        <v>1605677.18</v>
      </c>
      <c r="AC298" s="4">
        <v>71761374.159999996</v>
      </c>
      <c r="AD298" s="4">
        <v>6631804.4900000002</v>
      </c>
      <c r="AE298" s="4">
        <v>6660620.1000000006</v>
      </c>
      <c r="AF298" s="4">
        <v>15528892.419999998</v>
      </c>
      <c r="AG298" s="4">
        <v>3751865.28</v>
      </c>
      <c r="AH298" s="4">
        <v>15113923.689999999</v>
      </c>
      <c r="AI298" s="4">
        <v>798395</v>
      </c>
      <c r="AJ298" s="4">
        <v>1539776.57</v>
      </c>
      <c r="AK298" s="4">
        <v>2312979.88</v>
      </c>
      <c r="AL298" s="4">
        <v>2742335.78</v>
      </c>
      <c r="AM298" s="4">
        <v>4450393.6500000004</v>
      </c>
      <c r="AN298" s="4">
        <v>11717538.66</v>
      </c>
      <c r="AO298" s="4">
        <v>2331736.84</v>
      </c>
      <c r="AP298" s="4">
        <v>6606793.3300000001</v>
      </c>
      <c r="AQ298" s="4">
        <v>6021670.6699999999</v>
      </c>
      <c r="AR298" s="4">
        <v>949238.99</v>
      </c>
      <c r="AS298" s="4">
        <v>561026.12</v>
      </c>
      <c r="AT298" s="4">
        <v>1211536.8600000001</v>
      </c>
      <c r="AU298" s="4">
        <v>2545343.35</v>
      </c>
      <c r="AV298" s="4">
        <v>84015392.930000007</v>
      </c>
      <c r="AW298" s="4">
        <v>2349960.88</v>
      </c>
      <c r="AX298" s="4">
        <v>1080075.19</v>
      </c>
      <c r="AY298" s="4">
        <v>2756896.35</v>
      </c>
      <c r="AZ298" s="4">
        <v>6882694.120000001</v>
      </c>
      <c r="BA298" s="4">
        <v>3711068.88</v>
      </c>
      <c r="BB298" s="4">
        <v>1039604.83</v>
      </c>
      <c r="BC298" s="4">
        <v>2383972.86</v>
      </c>
      <c r="BD298" s="4">
        <v>31002987.319999997</v>
      </c>
      <c r="BE298" s="4">
        <v>964835</v>
      </c>
      <c r="BF298" s="4">
        <v>500959.16</v>
      </c>
      <c r="BG298" s="4">
        <v>0</v>
      </c>
      <c r="BH298" s="4">
        <f t="shared" si="46"/>
        <v>439985048.42000008</v>
      </c>
    </row>
    <row r="299" spans="1:60" x14ac:dyDescent="0.2">
      <c r="A299" s="3">
        <v>38231</v>
      </c>
      <c r="B299" s="4">
        <v>20547174.920000002</v>
      </c>
      <c r="C299" s="4">
        <v>1625570.65</v>
      </c>
      <c r="D299" s="4">
        <v>10635527.16</v>
      </c>
      <c r="E299" s="4">
        <v>2815482.38</v>
      </c>
      <c r="F299" s="4">
        <v>3174387.3</v>
      </c>
      <c r="G299" s="4">
        <v>4888639.7300000004</v>
      </c>
      <c r="H299" s="4">
        <v>4537880.34</v>
      </c>
      <c r="I299" s="4">
        <v>2041770.45</v>
      </c>
      <c r="J299" s="4">
        <v>4114257.48</v>
      </c>
      <c r="K299" s="4">
        <v>3875011.57</v>
      </c>
      <c r="L299" s="4">
        <v>2423105.58</v>
      </c>
      <c r="M299" s="4">
        <v>2174219.4900000002</v>
      </c>
      <c r="N299" s="4">
        <v>15778736.219999999</v>
      </c>
      <c r="O299" s="4">
        <v>43745948.399999999</v>
      </c>
      <c r="P299" s="4">
        <v>2544205.12</v>
      </c>
      <c r="Q299" s="4">
        <v>1705720.92</v>
      </c>
      <c r="R299" s="4">
        <v>1519239.58</v>
      </c>
      <c r="S299" s="4">
        <v>3568782.14</v>
      </c>
      <c r="T299" s="4">
        <v>3120640.54</v>
      </c>
      <c r="U299" s="4">
        <v>573813.26</v>
      </c>
      <c r="V299" s="4">
        <v>2545444.4700000002</v>
      </c>
      <c r="W299" s="4">
        <v>5352753.78</v>
      </c>
      <c r="X299" s="4">
        <v>927743.69</v>
      </c>
      <c r="Y299" s="4">
        <v>2599963.5099999998</v>
      </c>
      <c r="Z299" s="4">
        <v>2709604.48</v>
      </c>
      <c r="AA299" s="4">
        <v>31273144.879999999</v>
      </c>
      <c r="AB299" s="4">
        <v>2124301.17</v>
      </c>
      <c r="AC299" s="4">
        <v>90710156.280000001</v>
      </c>
      <c r="AD299" s="4">
        <v>8050136.6199999992</v>
      </c>
      <c r="AE299" s="4">
        <v>9573693.4600000009</v>
      </c>
      <c r="AF299" s="4">
        <v>23300140.559999999</v>
      </c>
      <c r="AG299" s="4">
        <v>5361761.67</v>
      </c>
      <c r="AH299" s="4">
        <v>20593163.469999999</v>
      </c>
      <c r="AI299" s="4">
        <v>1366046.69</v>
      </c>
      <c r="AJ299" s="4">
        <v>2782365.65</v>
      </c>
      <c r="AK299" s="4">
        <v>3670825.89</v>
      </c>
      <c r="AL299" s="4">
        <v>4142904.44</v>
      </c>
      <c r="AM299" s="4">
        <v>5835001.6400000006</v>
      </c>
      <c r="AN299" s="4">
        <v>13768051.43</v>
      </c>
      <c r="AO299" s="4">
        <v>3764590.06</v>
      </c>
      <c r="AP299" s="4">
        <v>8572836.7699999996</v>
      </c>
      <c r="AQ299" s="4">
        <v>5032986.3499999996</v>
      </c>
      <c r="AR299" s="4">
        <v>1449148.53</v>
      </c>
      <c r="AS299" s="4">
        <v>1077331.6399999999</v>
      </c>
      <c r="AT299" s="4">
        <v>1677356.6</v>
      </c>
      <c r="AU299" s="4">
        <v>4530362.8099999996</v>
      </c>
      <c r="AV299" s="4">
        <v>114455046.95</v>
      </c>
      <c r="AW299" s="4">
        <v>4983561.3</v>
      </c>
      <c r="AX299" s="4">
        <v>1843868.68</v>
      </c>
      <c r="AY299" s="4">
        <v>4163089.02</v>
      </c>
      <c r="AZ299" s="4">
        <v>9847615.75</v>
      </c>
      <c r="BA299" s="4">
        <v>5249181.66</v>
      </c>
      <c r="BB299" s="4">
        <v>1873316.58</v>
      </c>
      <c r="BC299" s="4">
        <v>3373726.86</v>
      </c>
      <c r="BD299" s="4">
        <v>40460713.82</v>
      </c>
      <c r="BE299" s="4">
        <v>1502056.84</v>
      </c>
      <c r="BF299" s="4">
        <v>1547294.87</v>
      </c>
      <c r="BG299" s="4">
        <v>0</v>
      </c>
      <c r="BH299" s="4">
        <f t="shared" si="46"/>
        <v>587501402.10000002</v>
      </c>
    </row>
    <row r="300" spans="1:60" x14ac:dyDescent="0.2">
      <c r="A300" s="3">
        <v>38261</v>
      </c>
      <c r="B300" s="4">
        <v>16227456.640000001</v>
      </c>
      <c r="C300" s="4">
        <v>937186.88</v>
      </c>
      <c r="D300" s="4">
        <v>7331825.3200000003</v>
      </c>
      <c r="E300" s="4">
        <v>2037707.59</v>
      </c>
      <c r="F300" s="4">
        <v>1862628.92</v>
      </c>
      <c r="G300" s="4">
        <v>3001570.5</v>
      </c>
      <c r="H300" s="4">
        <v>3584916.48</v>
      </c>
      <c r="I300" s="4">
        <v>1053078.93</v>
      </c>
      <c r="J300" s="4">
        <v>2732707.37</v>
      </c>
      <c r="K300" s="4">
        <v>1999721.04</v>
      </c>
      <c r="L300" s="4">
        <v>1596382.37</v>
      </c>
      <c r="M300" s="4">
        <v>1330598.42</v>
      </c>
      <c r="N300" s="4">
        <v>11147910.189999999</v>
      </c>
      <c r="O300" s="4">
        <v>37238582.25</v>
      </c>
      <c r="P300" s="4">
        <v>1340328.8799999999</v>
      </c>
      <c r="Q300" s="4">
        <v>865051.68</v>
      </c>
      <c r="R300" s="4">
        <v>851082.26</v>
      </c>
      <c r="S300" s="4">
        <v>1948223.52</v>
      </c>
      <c r="T300" s="4">
        <v>1494204.59</v>
      </c>
      <c r="U300" s="4">
        <v>133491.1</v>
      </c>
      <c r="V300" s="4">
        <v>1513620.19</v>
      </c>
      <c r="W300" s="4">
        <v>3436024.58</v>
      </c>
      <c r="X300" s="4">
        <v>451655.36</v>
      </c>
      <c r="Y300" s="4">
        <v>1507956.76</v>
      </c>
      <c r="Z300" s="4">
        <v>1353066.35</v>
      </c>
      <c r="AA300" s="4">
        <v>28816508.030000001</v>
      </c>
      <c r="AB300" s="4">
        <v>1478039.64</v>
      </c>
      <c r="AC300" s="4">
        <v>71113922.770000011</v>
      </c>
      <c r="AD300" s="4">
        <v>6360939.2299999995</v>
      </c>
      <c r="AE300" s="4">
        <v>6560028.6199999992</v>
      </c>
      <c r="AF300" s="4">
        <v>19870765.399999999</v>
      </c>
      <c r="AG300" s="4">
        <v>3682138.21</v>
      </c>
      <c r="AH300" s="4">
        <v>15180929.300000001</v>
      </c>
      <c r="AI300" s="4">
        <v>774357.51</v>
      </c>
      <c r="AJ300" s="4">
        <v>1855592.52</v>
      </c>
      <c r="AK300" s="4">
        <v>2087659.76</v>
      </c>
      <c r="AL300" s="4">
        <v>2647875.89</v>
      </c>
      <c r="AM300" s="4">
        <v>4332667.04</v>
      </c>
      <c r="AN300" s="4">
        <v>11532203.26</v>
      </c>
      <c r="AO300" s="4">
        <v>2290805.98</v>
      </c>
      <c r="AP300" s="4">
        <v>6284937.8600000003</v>
      </c>
      <c r="AQ300" s="4">
        <v>5787439.3899999997</v>
      </c>
      <c r="AR300" s="4">
        <v>907714.96</v>
      </c>
      <c r="AS300" s="4">
        <v>507772.27</v>
      </c>
      <c r="AT300" s="4">
        <v>1147958.77</v>
      </c>
      <c r="AU300" s="4">
        <v>2470257.14</v>
      </c>
      <c r="AV300" s="4">
        <v>78906549.120000005</v>
      </c>
      <c r="AW300" s="4">
        <v>1958613.17</v>
      </c>
      <c r="AX300" s="4">
        <v>1181693.3999999999</v>
      </c>
      <c r="AY300" s="4">
        <v>2916120.43</v>
      </c>
      <c r="AZ300" s="4">
        <v>6733792.79</v>
      </c>
      <c r="BA300" s="4">
        <v>2841353.81</v>
      </c>
      <c r="BB300" s="4">
        <v>996843.24</v>
      </c>
      <c r="BC300" s="4">
        <v>2170221.81</v>
      </c>
      <c r="BD300" s="4">
        <v>30910272.469999999</v>
      </c>
      <c r="BE300" s="4">
        <v>858890.5</v>
      </c>
      <c r="BF300" s="4">
        <v>458893.61</v>
      </c>
      <c r="BG300" s="4">
        <v>0</v>
      </c>
      <c r="BH300" s="4">
        <f t="shared" si="46"/>
        <v>432600736.06999993</v>
      </c>
    </row>
    <row r="301" spans="1:60" x14ac:dyDescent="0.2">
      <c r="A301" s="3">
        <v>38292</v>
      </c>
      <c r="B301" s="4">
        <v>16203838.620000001</v>
      </c>
      <c r="C301" s="4">
        <v>921349.69</v>
      </c>
      <c r="D301" s="4">
        <v>7209883.0499999989</v>
      </c>
      <c r="E301" s="4">
        <v>2019683.25</v>
      </c>
      <c r="F301" s="4">
        <v>1833026.19</v>
      </c>
      <c r="G301" s="4">
        <v>3058680.98</v>
      </c>
      <c r="H301" s="4">
        <v>3358832.76</v>
      </c>
      <c r="I301" s="4">
        <v>1009807.6</v>
      </c>
      <c r="J301" s="4">
        <v>2782485.47</v>
      </c>
      <c r="K301" s="4">
        <v>1956409.2</v>
      </c>
      <c r="L301" s="4">
        <v>1538346.37</v>
      </c>
      <c r="M301" s="4">
        <v>1332761.9099999999</v>
      </c>
      <c r="N301" s="4">
        <v>11163046.25</v>
      </c>
      <c r="O301" s="4">
        <v>36201165.93</v>
      </c>
      <c r="P301" s="4">
        <v>1306345.17</v>
      </c>
      <c r="Q301" s="4">
        <v>857959.81</v>
      </c>
      <c r="R301" s="4">
        <v>831700.65</v>
      </c>
      <c r="S301" s="4">
        <v>1891902.48</v>
      </c>
      <c r="T301" s="4">
        <v>1479063.4</v>
      </c>
      <c r="U301" s="4">
        <v>142190.5</v>
      </c>
      <c r="V301" s="4">
        <v>1504530</v>
      </c>
      <c r="W301" s="4">
        <v>3455834.55</v>
      </c>
      <c r="X301" s="4">
        <v>450270.79</v>
      </c>
      <c r="Y301" s="4">
        <v>1493052.73</v>
      </c>
      <c r="Z301" s="4">
        <v>1343099.98</v>
      </c>
      <c r="AA301" s="4">
        <v>28384440.43</v>
      </c>
      <c r="AB301" s="4">
        <v>1459823.11</v>
      </c>
      <c r="AC301" s="4">
        <v>71579157.310000002</v>
      </c>
      <c r="AD301" s="4">
        <v>6281926.1300000008</v>
      </c>
      <c r="AE301" s="4">
        <v>6478363.6799999997</v>
      </c>
      <c r="AF301" s="4">
        <v>19645233.82</v>
      </c>
      <c r="AG301" s="4">
        <v>3666142.3</v>
      </c>
      <c r="AH301" s="4">
        <v>15013093.050000001</v>
      </c>
      <c r="AI301" s="4">
        <v>763205.47</v>
      </c>
      <c r="AJ301" s="4">
        <v>1841577.82</v>
      </c>
      <c r="AK301" s="4">
        <v>2038060.41</v>
      </c>
      <c r="AL301" s="4">
        <v>2594552.5299999998</v>
      </c>
      <c r="AM301" s="4">
        <v>4353891.16</v>
      </c>
      <c r="AN301" s="4">
        <v>11503248.569999998</v>
      </c>
      <c r="AO301" s="4">
        <v>2264993.13</v>
      </c>
      <c r="AP301" s="4">
        <v>6229230.9800000004</v>
      </c>
      <c r="AQ301" s="4">
        <v>5686925.0099999998</v>
      </c>
      <c r="AR301" s="4">
        <v>888940.35</v>
      </c>
      <c r="AS301" s="4">
        <v>462718.6</v>
      </c>
      <c r="AT301" s="4">
        <v>1131810.1100000001</v>
      </c>
      <c r="AU301" s="4">
        <v>2389435.13</v>
      </c>
      <c r="AV301" s="4">
        <v>79616806.620000005</v>
      </c>
      <c r="AW301" s="4">
        <v>1939926.08</v>
      </c>
      <c r="AX301" s="4">
        <v>1019778.32</v>
      </c>
      <c r="AY301" s="4">
        <v>2734676.7</v>
      </c>
      <c r="AZ301" s="4">
        <v>6653859.5999999996</v>
      </c>
      <c r="BA301" s="4">
        <v>2785506.48</v>
      </c>
      <c r="BB301" s="4">
        <v>968527.75</v>
      </c>
      <c r="BC301" s="4">
        <v>2146933.09</v>
      </c>
      <c r="BD301" s="4">
        <v>30751668.710000001</v>
      </c>
      <c r="BE301" s="4">
        <v>843768.7</v>
      </c>
      <c r="BF301" s="4">
        <v>444079.95</v>
      </c>
      <c r="BG301" s="4">
        <v>0</v>
      </c>
      <c r="BH301" s="4">
        <f t="shared" si="46"/>
        <v>429907568.43000007</v>
      </c>
    </row>
    <row r="302" spans="1:60" x14ac:dyDescent="0.2">
      <c r="A302" s="3">
        <v>38322</v>
      </c>
      <c r="B302" s="4">
        <v>22980774</v>
      </c>
      <c r="C302" s="4">
        <v>1878058.65</v>
      </c>
      <c r="D302" s="4">
        <v>10977105.859999999</v>
      </c>
      <c r="E302" s="4">
        <v>3451599.55</v>
      </c>
      <c r="F302" s="4">
        <v>3283719.46</v>
      </c>
      <c r="G302" s="4">
        <v>4445000.75</v>
      </c>
      <c r="H302" s="4">
        <v>4985627.79</v>
      </c>
      <c r="I302" s="4">
        <v>1934316.33</v>
      </c>
      <c r="J302" s="4">
        <v>4431865.5999999996</v>
      </c>
      <c r="K302" s="4">
        <v>3386243.22</v>
      </c>
      <c r="L302" s="4">
        <v>2456072.98</v>
      </c>
      <c r="M302" s="4">
        <v>2321014.2000000002</v>
      </c>
      <c r="N302" s="4">
        <v>16077296.48</v>
      </c>
      <c r="O302" s="4">
        <v>51284506.5</v>
      </c>
      <c r="P302" s="4">
        <v>2456307.38</v>
      </c>
      <c r="Q302" s="4">
        <v>1407971.09</v>
      </c>
      <c r="R302" s="4">
        <v>1310125.01</v>
      </c>
      <c r="S302" s="4">
        <v>3186107.96</v>
      </c>
      <c r="T302" s="4">
        <v>3044099.81</v>
      </c>
      <c r="U302" s="4">
        <v>321099.05</v>
      </c>
      <c r="V302" s="4">
        <v>2487131.92</v>
      </c>
      <c r="W302" s="4">
        <v>5814052.3399999999</v>
      </c>
      <c r="X302" s="4">
        <v>845348.02</v>
      </c>
      <c r="Y302" s="4">
        <v>2644179.5</v>
      </c>
      <c r="Z302" s="4">
        <v>2148808.46</v>
      </c>
      <c r="AA302" s="4">
        <v>38352335.719999999</v>
      </c>
      <c r="AB302" s="4">
        <v>2212241.9900000002</v>
      </c>
      <c r="AC302" s="4">
        <v>93952873.510000005</v>
      </c>
      <c r="AD302" s="4">
        <v>8898831.5999999996</v>
      </c>
      <c r="AE302" s="4">
        <v>10027069.960000001</v>
      </c>
      <c r="AF302" s="4">
        <v>29447174.790000003</v>
      </c>
      <c r="AG302" s="4">
        <v>5418010.2300000004</v>
      </c>
      <c r="AH302" s="4">
        <v>23259827.399999999</v>
      </c>
      <c r="AI302" s="4">
        <v>1433488</v>
      </c>
      <c r="AJ302" s="4">
        <v>3669486.24</v>
      </c>
      <c r="AK302" s="4">
        <v>3660064.63</v>
      </c>
      <c r="AL302" s="4">
        <v>4318832.2</v>
      </c>
      <c r="AM302" s="4">
        <v>6449848.5999999996</v>
      </c>
      <c r="AN302" s="4">
        <v>13758063.440000001</v>
      </c>
      <c r="AO302" s="4">
        <v>3878779.49</v>
      </c>
      <c r="AP302" s="4">
        <v>10132644.559999999</v>
      </c>
      <c r="AQ302" s="4">
        <v>9199461.959999999</v>
      </c>
      <c r="AR302" s="4">
        <v>1469334.71</v>
      </c>
      <c r="AS302" s="4">
        <v>931943.82</v>
      </c>
      <c r="AT302" s="4">
        <v>1810867.06</v>
      </c>
      <c r="AU302" s="4">
        <v>4251287.8899999997</v>
      </c>
      <c r="AV302" s="4">
        <v>110563860.09</v>
      </c>
      <c r="AW302" s="4">
        <v>3794398.36</v>
      </c>
      <c r="AX302" s="4">
        <v>1948158.29</v>
      </c>
      <c r="AY302" s="4">
        <v>4557247.88</v>
      </c>
      <c r="AZ302" s="4">
        <v>10022375.039999999</v>
      </c>
      <c r="BA302" s="4">
        <v>4017971.36</v>
      </c>
      <c r="BB302" s="4">
        <v>1667272.67</v>
      </c>
      <c r="BC302" s="4">
        <v>3814585.42</v>
      </c>
      <c r="BD302" s="4">
        <v>44192189.390000001</v>
      </c>
      <c r="BE302" s="4">
        <v>1514272.64</v>
      </c>
      <c r="BF302" s="4">
        <v>1118239.01</v>
      </c>
      <c r="BG302" s="4">
        <v>0</v>
      </c>
      <c r="BH302" s="4">
        <f t="shared" si="46"/>
        <v>623301469.8599999</v>
      </c>
    </row>
    <row r="303" spans="1:60" ht="15.75" thickBot="1" x14ac:dyDescent="0.25">
      <c r="A303" s="3" t="s">
        <v>145</v>
      </c>
      <c r="B303" s="5">
        <f>SUM(B291:B302)</f>
        <v>211872306.63</v>
      </c>
      <c r="C303" s="5">
        <f t="shared" ref="C303:BH303" si="47">SUM(C291:C302)</f>
        <v>13730461.900000002</v>
      </c>
      <c r="D303" s="5">
        <f t="shared" si="47"/>
        <v>98858189.189999998</v>
      </c>
      <c r="E303" s="5">
        <f t="shared" si="47"/>
        <v>29043982.429999996</v>
      </c>
      <c r="F303" s="5">
        <f t="shared" si="47"/>
        <v>26728952.52</v>
      </c>
      <c r="G303" s="5">
        <f t="shared" si="47"/>
        <v>43602638.089999996</v>
      </c>
      <c r="H303" s="5">
        <f t="shared" si="47"/>
        <v>46686557.589999996</v>
      </c>
      <c r="I303" s="5">
        <f t="shared" si="47"/>
        <v>15784474.479999999</v>
      </c>
      <c r="J303" s="5">
        <f t="shared" si="47"/>
        <v>36386152.920000002</v>
      </c>
      <c r="K303" s="5">
        <f t="shared" si="47"/>
        <v>28615352.789999999</v>
      </c>
      <c r="L303" s="5">
        <f t="shared" si="47"/>
        <v>21936845.270000003</v>
      </c>
      <c r="M303" s="5">
        <f t="shared" si="47"/>
        <v>18458381.170000002</v>
      </c>
      <c r="N303" s="5">
        <f t="shared" si="47"/>
        <v>147933117.06999999</v>
      </c>
      <c r="O303" s="5">
        <f t="shared" si="47"/>
        <v>481872847.94</v>
      </c>
      <c r="P303" s="5">
        <f t="shared" si="47"/>
        <v>17716601.93</v>
      </c>
      <c r="Q303" s="5">
        <f t="shared" si="47"/>
        <v>12481824.799999999</v>
      </c>
      <c r="R303" s="5">
        <f t="shared" si="47"/>
        <v>12054033.939999999</v>
      </c>
      <c r="S303" s="5">
        <f t="shared" si="47"/>
        <v>28233468.170000002</v>
      </c>
      <c r="T303" s="5">
        <f t="shared" si="47"/>
        <v>22642245.689999998</v>
      </c>
      <c r="U303" s="5">
        <f t="shared" si="47"/>
        <v>2439376.6399999997</v>
      </c>
      <c r="V303" s="5">
        <f t="shared" si="47"/>
        <v>22030108.25</v>
      </c>
      <c r="W303" s="5">
        <f t="shared" si="47"/>
        <v>44103310.319999993</v>
      </c>
      <c r="X303" s="5">
        <f t="shared" si="47"/>
        <v>6434887.6699999999</v>
      </c>
      <c r="Y303" s="5">
        <f t="shared" si="47"/>
        <v>22065037.370000001</v>
      </c>
      <c r="Z303" s="5">
        <f t="shared" si="47"/>
        <v>17833535.849999998</v>
      </c>
      <c r="AA303" s="5">
        <f t="shared" si="47"/>
        <v>375173107.90999997</v>
      </c>
      <c r="AB303" s="5">
        <f t="shared" si="47"/>
        <v>20544210.649999999</v>
      </c>
      <c r="AC303" s="5">
        <f t="shared" si="47"/>
        <v>934445433.94000006</v>
      </c>
      <c r="AD303" s="5">
        <f t="shared" si="47"/>
        <v>85179753.529999986</v>
      </c>
      <c r="AE303" s="5">
        <f t="shared" si="47"/>
        <v>88436683.330000013</v>
      </c>
      <c r="AF303" s="5">
        <f t="shared" si="47"/>
        <v>220729640.83999997</v>
      </c>
      <c r="AG303" s="5">
        <f t="shared" si="47"/>
        <v>49901769.010000005</v>
      </c>
      <c r="AH303" s="5">
        <f t="shared" si="47"/>
        <v>181933402.45000002</v>
      </c>
      <c r="AI303" s="5">
        <f t="shared" si="47"/>
        <v>11338948.75</v>
      </c>
      <c r="AJ303" s="5">
        <f t="shared" si="47"/>
        <v>22768521.190000005</v>
      </c>
      <c r="AK303" s="5">
        <f t="shared" si="47"/>
        <v>29367301.199999999</v>
      </c>
      <c r="AL303" s="5">
        <f t="shared" si="47"/>
        <v>36605168.560000002</v>
      </c>
      <c r="AM303" s="5">
        <f t="shared" si="47"/>
        <v>57788846.259999998</v>
      </c>
      <c r="AN303" s="5">
        <f t="shared" si="47"/>
        <v>147829373.72</v>
      </c>
      <c r="AO303" s="5">
        <f t="shared" si="47"/>
        <v>33102281.209999993</v>
      </c>
      <c r="AP303" s="5">
        <f t="shared" si="47"/>
        <v>85153719.150000006</v>
      </c>
      <c r="AQ303" s="5">
        <f t="shared" si="47"/>
        <v>76023891.109999999</v>
      </c>
      <c r="AR303" s="5">
        <f t="shared" si="47"/>
        <v>10970730.329999998</v>
      </c>
      <c r="AS303" s="5">
        <f t="shared" si="47"/>
        <v>7499831.4900000002</v>
      </c>
      <c r="AT303" s="5">
        <f t="shared" si="47"/>
        <v>15226270.68</v>
      </c>
      <c r="AU303" s="5">
        <f t="shared" si="47"/>
        <v>34498594.979999997</v>
      </c>
      <c r="AV303" s="5">
        <f t="shared" si="47"/>
        <v>1075858734.8199999</v>
      </c>
      <c r="AW303" s="5">
        <f t="shared" si="47"/>
        <v>30014631.280000001</v>
      </c>
      <c r="AX303" s="5">
        <f t="shared" si="47"/>
        <v>15609609.789999999</v>
      </c>
      <c r="AY303" s="5">
        <f t="shared" si="47"/>
        <v>39144736.770000003</v>
      </c>
      <c r="AZ303" s="5">
        <f t="shared" si="47"/>
        <v>91463758.210000008</v>
      </c>
      <c r="BA303" s="5">
        <f t="shared" si="47"/>
        <v>40147300</v>
      </c>
      <c r="BB303" s="5">
        <f t="shared" si="47"/>
        <v>14461235.35</v>
      </c>
      <c r="BC303" s="5">
        <f t="shared" si="47"/>
        <v>29774426.369999997</v>
      </c>
      <c r="BD303" s="5">
        <f t="shared" si="47"/>
        <v>398111009.21999997</v>
      </c>
      <c r="BE303" s="5">
        <f t="shared" si="47"/>
        <v>12818436.74</v>
      </c>
      <c r="BF303" s="5">
        <f t="shared" si="47"/>
        <v>7935958.3100000005</v>
      </c>
      <c r="BG303" s="5">
        <f t="shared" si="47"/>
        <v>0</v>
      </c>
      <c r="BH303" s="5">
        <f t="shared" si="47"/>
        <v>5709402007.7699995</v>
      </c>
    </row>
    <row r="304" spans="1:60" ht="15.75" thickTop="1" x14ac:dyDescent="0.2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</row>
    <row r="305" spans="1:60" x14ac:dyDescent="0.2">
      <c r="A305" s="3">
        <v>37622</v>
      </c>
      <c r="B305" s="4">
        <v>16643736.859999999</v>
      </c>
      <c r="C305" s="4">
        <v>962233.22</v>
      </c>
      <c r="D305" s="4">
        <v>6593680.8700000001</v>
      </c>
      <c r="E305" s="4">
        <v>2104569.36</v>
      </c>
      <c r="F305" s="4">
        <v>1729559.8</v>
      </c>
      <c r="G305" s="4">
        <v>2837385.44</v>
      </c>
      <c r="H305" s="4">
        <v>3715484.56</v>
      </c>
      <c r="I305" s="4">
        <v>916019.66</v>
      </c>
      <c r="J305" s="4">
        <v>2321078.37</v>
      </c>
      <c r="K305" s="4">
        <v>1663167.06</v>
      </c>
      <c r="L305" s="4">
        <v>1424542</v>
      </c>
      <c r="M305" s="4">
        <v>804644.98</v>
      </c>
      <c r="N305" s="4">
        <v>8584812.5500000007</v>
      </c>
      <c r="O305" s="4">
        <v>36628994.43</v>
      </c>
      <c r="P305" s="4">
        <v>962531.23</v>
      </c>
      <c r="Q305" s="4">
        <v>762949.31</v>
      </c>
      <c r="R305" s="4">
        <v>759592.74</v>
      </c>
      <c r="S305" s="4">
        <v>1729658.51</v>
      </c>
      <c r="T305" s="4">
        <v>1322415.33</v>
      </c>
      <c r="U305" s="4">
        <v>117867.74</v>
      </c>
      <c r="V305" s="4">
        <v>1369455.15</v>
      </c>
      <c r="W305" s="4">
        <v>2291431.2200000002</v>
      </c>
      <c r="X305" s="4">
        <v>351647.79</v>
      </c>
      <c r="Y305" s="4">
        <v>1066385.0900000001</v>
      </c>
      <c r="Z305" s="4">
        <v>988825.5</v>
      </c>
      <c r="AA305" s="4">
        <v>28634860.039999999</v>
      </c>
      <c r="AB305" s="4">
        <v>1047822.99</v>
      </c>
      <c r="AC305" s="4">
        <v>71450898.489999995</v>
      </c>
      <c r="AD305" s="4">
        <v>5047009.54</v>
      </c>
      <c r="AE305" s="4">
        <v>5908821.1600000001</v>
      </c>
      <c r="AF305" s="4">
        <v>15095670.060000001</v>
      </c>
      <c r="AG305" s="4">
        <v>3595508.98</v>
      </c>
      <c r="AH305" s="4">
        <v>10771781.17</v>
      </c>
      <c r="AI305" s="4">
        <v>782053.72</v>
      </c>
      <c r="AJ305" s="4">
        <v>1226060.29</v>
      </c>
      <c r="AK305" s="4">
        <v>1319372.94</v>
      </c>
      <c r="AL305" s="4">
        <v>2030963.86</v>
      </c>
      <c r="AM305" s="4">
        <v>3641595.36</v>
      </c>
      <c r="AN305" s="4">
        <v>10439905.890000001</v>
      </c>
      <c r="AO305" s="4">
        <v>2240634.9900000002</v>
      </c>
      <c r="AP305" s="4">
        <v>5294648.84</v>
      </c>
      <c r="AQ305" s="4">
        <v>5310617.82</v>
      </c>
      <c r="AR305" s="4">
        <v>581748.13</v>
      </c>
      <c r="AS305" s="4">
        <v>314524.40999999997</v>
      </c>
      <c r="AT305" s="4">
        <v>940577.35</v>
      </c>
      <c r="AU305" s="4">
        <v>2263854.16</v>
      </c>
      <c r="AV305" s="4">
        <v>67590774.799999997</v>
      </c>
      <c r="AW305" s="4">
        <v>1382734.87</v>
      </c>
      <c r="AX305" s="4">
        <v>874783.42</v>
      </c>
      <c r="AY305" s="4">
        <v>2517224.81</v>
      </c>
      <c r="AZ305" s="4">
        <v>6469905.6200000001</v>
      </c>
      <c r="BA305" s="4">
        <v>2343498.3199999998</v>
      </c>
      <c r="BB305" s="4">
        <v>834798.84</v>
      </c>
      <c r="BC305" s="4">
        <v>1453956.21</v>
      </c>
      <c r="BD305" s="4">
        <v>27828474.399999999</v>
      </c>
      <c r="BE305" s="4">
        <v>782232.78</v>
      </c>
      <c r="BF305" s="4">
        <v>297782.46999999997</v>
      </c>
      <c r="BG305" s="4">
        <v>0</v>
      </c>
      <c r="BH305" s="4">
        <f t="shared" ref="BH305:BH316" si="48">SUM(B305:BG305)</f>
        <v>388967765.50000006</v>
      </c>
    </row>
    <row r="306" spans="1:60" x14ac:dyDescent="0.2">
      <c r="A306" s="3">
        <v>37653</v>
      </c>
      <c r="B306" s="4">
        <v>13440593.560000001</v>
      </c>
      <c r="C306" s="4">
        <v>764754.81</v>
      </c>
      <c r="D306" s="4">
        <v>5372207.9699999997</v>
      </c>
      <c r="E306" s="4">
        <v>1706818.5</v>
      </c>
      <c r="F306" s="4">
        <v>1450040.67</v>
      </c>
      <c r="G306" s="4">
        <v>2287227.84</v>
      </c>
      <c r="H306" s="4">
        <v>2972466.16</v>
      </c>
      <c r="I306" s="4">
        <v>781022.6</v>
      </c>
      <c r="J306" s="4">
        <v>1878996.22</v>
      </c>
      <c r="K306" s="4">
        <v>1437763.85</v>
      </c>
      <c r="L306" s="4">
        <v>1148247.07</v>
      </c>
      <c r="M306" s="4">
        <v>660804.25</v>
      </c>
      <c r="N306" s="4">
        <v>6900268.7400000002</v>
      </c>
      <c r="O306" s="4">
        <v>29488823.75</v>
      </c>
      <c r="P306" s="4">
        <v>787301.32</v>
      </c>
      <c r="Q306" s="4">
        <v>621438.43000000005</v>
      </c>
      <c r="R306" s="4">
        <v>628868.16</v>
      </c>
      <c r="S306" s="4">
        <v>1400520.27</v>
      </c>
      <c r="T306" s="4">
        <v>1015638.18</v>
      </c>
      <c r="U306" s="4">
        <v>87090.45</v>
      </c>
      <c r="V306" s="4">
        <v>1130320.5900000001</v>
      </c>
      <c r="W306" s="4">
        <v>1846062.79</v>
      </c>
      <c r="X306" s="4">
        <v>300750.24</v>
      </c>
      <c r="Y306" s="4">
        <v>908516.04</v>
      </c>
      <c r="Z306" s="4">
        <v>749558.24</v>
      </c>
      <c r="AA306" s="4">
        <v>23451733.98</v>
      </c>
      <c r="AB306" s="4">
        <v>865863.64</v>
      </c>
      <c r="AC306" s="4">
        <v>58968302.390000001</v>
      </c>
      <c r="AD306" s="4">
        <v>3743898.9</v>
      </c>
      <c r="AE306" s="4">
        <v>4973914.4000000004</v>
      </c>
      <c r="AF306" s="4">
        <v>12315711.460000001</v>
      </c>
      <c r="AG306" s="4">
        <v>2980185.29</v>
      </c>
      <c r="AH306" s="4">
        <v>8834432.4299999997</v>
      </c>
      <c r="AI306" s="4">
        <v>622348.06000000006</v>
      </c>
      <c r="AJ306" s="4">
        <v>978129.3</v>
      </c>
      <c r="AK306" s="4">
        <v>1063022.52</v>
      </c>
      <c r="AL306" s="4">
        <v>1708940</v>
      </c>
      <c r="AM306" s="4">
        <v>2913197.54</v>
      </c>
      <c r="AN306" s="4">
        <v>8040580.6600000001</v>
      </c>
      <c r="AO306" s="4">
        <v>1794262.97</v>
      </c>
      <c r="AP306" s="4">
        <v>4397095.6900000004</v>
      </c>
      <c r="AQ306" s="4">
        <v>4178213.97</v>
      </c>
      <c r="AR306" s="4">
        <v>467105.24</v>
      </c>
      <c r="AS306" s="4">
        <v>255865.31</v>
      </c>
      <c r="AT306" s="4">
        <v>789724.18</v>
      </c>
      <c r="AU306" s="4">
        <v>1845268.84</v>
      </c>
      <c r="AV306" s="4">
        <v>56717488.869999997</v>
      </c>
      <c r="AW306" s="4">
        <v>1126709.3799999999</v>
      </c>
      <c r="AX306" s="4">
        <v>708551.69</v>
      </c>
      <c r="AY306" s="4">
        <v>2066120.36</v>
      </c>
      <c r="AZ306" s="4">
        <v>5314102.9400000004</v>
      </c>
      <c r="BA306" s="4">
        <v>1903685.04</v>
      </c>
      <c r="BB306" s="4">
        <v>671940.19</v>
      </c>
      <c r="BC306" s="4">
        <v>1226795.6100000001</v>
      </c>
      <c r="BD306" s="4">
        <v>22517200.859999999</v>
      </c>
      <c r="BE306" s="4">
        <v>633103.65</v>
      </c>
      <c r="BF306" s="4">
        <v>246240.5</v>
      </c>
      <c r="BG306" s="4">
        <v>0</v>
      </c>
      <c r="BH306" s="4">
        <f t="shared" si="48"/>
        <v>318085836.56000012</v>
      </c>
    </row>
    <row r="307" spans="1:60" x14ac:dyDescent="0.2">
      <c r="A307" s="3">
        <v>37681</v>
      </c>
      <c r="B307" s="4">
        <v>19731801.170000002</v>
      </c>
      <c r="C307" s="4">
        <v>1389980.24</v>
      </c>
      <c r="D307" s="4">
        <v>8891263.9600000009</v>
      </c>
      <c r="E307" s="4">
        <v>3001815.71</v>
      </c>
      <c r="F307" s="4">
        <v>2684181.6</v>
      </c>
      <c r="G307" s="4">
        <v>4655694.87</v>
      </c>
      <c r="H307" s="4">
        <v>3918622.11</v>
      </c>
      <c r="I307" s="4">
        <v>1743249.35</v>
      </c>
      <c r="J307" s="4">
        <v>2912940.93</v>
      </c>
      <c r="K307" s="4">
        <v>2884053.98</v>
      </c>
      <c r="L307" s="4">
        <v>2538920.9</v>
      </c>
      <c r="M307" s="4">
        <v>1443476.71</v>
      </c>
      <c r="N307" s="4">
        <v>11149815.82</v>
      </c>
      <c r="O307" s="4">
        <v>54131125.630000003</v>
      </c>
      <c r="P307" s="4">
        <v>1460005.2</v>
      </c>
      <c r="Q307" s="4">
        <v>1240663.83</v>
      </c>
      <c r="R307" s="4">
        <v>1133175.94</v>
      </c>
      <c r="S307" s="4">
        <v>2564953.38</v>
      </c>
      <c r="T307" s="4">
        <v>2352798.9300000002</v>
      </c>
      <c r="U307" s="4">
        <v>189482.26</v>
      </c>
      <c r="V307" s="4">
        <v>2243212.5699999998</v>
      </c>
      <c r="W307" s="4">
        <v>3368925.55</v>
      </c>
      <c r="X307" s="4">
        <v>553756.73</v>
      </c>
      <c r="Y307" s="4">
        <v>1661928.8</v>
      </c>
      <c r="Z307" s="4">
        <v>1834574.76</v>
      </c>
      <c r="AA307" s="4">
        <v>35568152.869999997</v>
      </c>
      <c r="AB307" s="4">
        <v>2046913.52</v>
      </c>
      <c r="AC307" s="4">
        <v>81206706.640000001</v>
      </c>
      <c r="AD307" s="4">
        <v>7209573.9299999997</v>
      </c>
      <c r="AE307" s="4">
        <v>9766055.8000000007</v>
      </c>
      <c r="AF307" s="4">
        <v>19105302.559999999</v>
      </c>
      <c r="AG307" s="4">
        <v>4943141.9000000004</v>
      </c>
      <c r="AH307" s="4">
        <v>14297208.220000001</v>
      </c>
      <c r="AI307" s="4">
        <v>1249342.17</v>
      </c>
      <c r="AJ307" s="4">
        <v>1823905.22</v>
      </c>
      <c r="AK307" s="4">
        <v>2280820.4</v>
      </c>
      <c r="AL307" s="4">
        <v>3840652.14</v>
      </c>
      <c r="AM307" s="4">
        <v>5106366.1500000004</v>
      </c>
      <c r="AN307" s="4">
        <v>14978603.710000001</v>
      </c>
      <c r="AO307" s="4">
        <v>3619224.69</v>
      </c>
      <c r="AP307" s="4">
        <v>8471218.3900000006</v>
      </c>
      <c r="AQ307" s="4">
        <v>6074031.79</v>
      </c>
      <c r="AR307" s="4">
        <v>819449.98</v>
      </c>
      <c r="AS307" s="4">
        <v>555171.91</v>
      </c>
      <c r="AT307" s="4">
        <v>1754892.8</v>
      </c>
      <c r="AU307" s="4">
        <v>3489346.06</v>
      </c>
      <c r="AV307" s="4">
        <v>90503298.75</v>
      </c>
      <c r="AW307" s="4">
        <v>1807119.67</v>
      </c>
      <c r="AX307" s="4">
        <v>1448247.69</v>
      </c>
      <c r="AY307" s="4">
        <v>3576105.69</v>
      </c>
      <c r="AZ307" s="4">
        <v>9164322.7200000007</v>
      </c>
      <c r="BA307" s="4">
        <v>2868026.03</v>
      </c>
      <c r="BB307" s="4">
        <v>1393935.75</v>
      </c>
      <c r="BC307" s="4">
        <v>2435683.96</v>
      </c>
      <c r="BD307" s="4">
        <v>31418206.379999999</v>
      </c>
      <c r="BE307" s="4">
        <v>1209545.53</v>
      </c>
      <c r="BF307" s="4">
        <v>649188.35</v>
      </c>
      <c r="BG307" s="4">
        <v>0</v>
      </c>
      <c r="BH307" s="4">
        <f t="shared" si="48"/>
        <v>514360182.30000001</v>
      </c>
    </row>
    <row r="308" spans="1:60" x14ac:dyDescent="0.2">
      <c r="A308" s="3">
        <v>37712</v>
      </c>
      <c r="B308" s="4">
        <v>14826604.640000001</v>
      </c>
      <c r="C308" s="4">
        <v>849263.63</v>
      </c>
      <c r="D308" s="4">
        <v>6136093.4699999997</v>
      </c>
      <c r="E308" s="4">
        <v>1740957.99</v>
      </c>
      <c r="F308" s="4">
        <v>1702645.95</v>
      </c>
      <c r="G308" s="4">
        <v>2566539.94</v>
      </c>
      <c r="H308" s="4">
        <v>3039489.84</v>
      </c>
      <c r="I308" s="4">
        <v>1030801.85</v>
      </c>
      <c r="J308" s="4">
        <v>2059909.59</v>
      </c>
      <c r="K308" s="4">
        <v>1668108.4</v>
      </c>
      <c r="L308" s="4">
        <v>1397320.12</v>
      </c>
      <c r="M308" s="4">
        <v>794760.06</v>
      </c>
      <c r="N308" s="4">
        <v>8278562.8099999996</v>
      </c>
      <c r="O308" s="4">
        <v>33860186.590000004</v>
      </c>
      <c r="P308" s="4">
        <v>902180.93</v>
      </c>
      <c r="Q308" s="4">
        <v>743451.22</v>
      </c>
      <c r="R308" s="4">
        <v>791638.38</v>
      </c>
      <c r="S308" s="4">
        <v>1786132.87</v>
      </c>
      <c r="T308" s="4">
        <v>1190114.08</v>
      </c>
      <c r="U308" s="4">
        <v>100472.74</v>
      </c>
      <c r="V308" s="4">
        <v>1390782.73</v>
      </c>
      <c r="W308" s="4">
        <v>2370262.08</v>
      </c>
      <c r="X308" s="4">
        <v>349133.28</v>
      </c>
      <c r="Y308" s="4">
        <v>1129134.56</v>
      </c>
      <c r="Z308" s="4">
        <v>948899.09</v>
      </c>
      <c r="AA308" s="4">
        <v>27249834.629999999</v>
      </c>
      <c r="AB308" s="4">
        <v>1069062.4099999999</v>
      </c>
      <c r="AC308" s="4">
        <v>63090834.880000003</v>
      </c>
      <c r="AD308" s="4">
        <v>5723671.5599999996</v>
      </c>
      <c r="AE308" s="4">
        <v>5744501.6900000004</v>
      </c>
      <c r="AF308" s="4">
        <v>13948696.039999999</v>
      </c>
      <c r="AG308" s="4">
        <v>3091526.28</v>
      </c>
      <c r="AH308" s="4">
        <v>10084871.289999999</v>
      </c>
      <c r="AI308" s="4">
        <v>782144.39</v>
      </c>
      <c r="AJ308" s="4">
        <v>1458598.15</v>
      </c>
      <c r="AK308" s="4">
        <v>1310738.57</v>
      </c>
      <c r="AL308" s="4">
        <v>2169757.09</v>
      </c>
      <c r="AM308" s="4">
        <v>3623287.64</v>
      </c>
      <c r="AN308" s="4">
        <v>8742146.3599999994</v>
      </c>
      <c r="AO308" s="4">
        <v>2088178.5</v>
      </c>
      <c r="AP308" s="4">
        <v>5061497</v>
      </c>
      <c r="AQ308" s="4">
        <v>4695141.2699999996</v>
      </c>
      <c r="AR308" s="4">
        <v>573959.52</v>
      </c>
      <c r="AS308" s="4">
        <v>326359.02</v>
      </c>
      <c r="AT308" s="4">
        <v>941635.62</v>
      </c>
      <c r="AU308" s="4">
        <v>2156405.1800000002</v>
      </c>
      <c r="AV308" s="4">
        <v>63626515.340000004</v>
      </c>
      <c r="AW308" s="4">
        <v>1369900.1</v>
      </c>
      <c r="AX308" s="4">
        <v>895120.09</v>
      </c>
      <c r="AY308" s="4">
        <v>2229487.85</v>
      </c>
      <c r="AZ308" s="4">
        <v>5894366.9299999997</v>
      </c>
      <c r="BA308" s="4">
        <v>2197866.34</v>
      </c>
      <c r="BB308" s="4">
        <v>863959.46</v>
      </c>
      <c r="BC308" s="4">
        <v>1681841.95</v>
      </c>
      <c r="BD308" s="4">
        <v>24866485.449999999</v>
      </c>
      <c r="BE308" s="4">
        <v>795812.73</v>
      </c>
      <c r="BF308" s="4">
        <v>323814.15999999997</v>
      </c>
      <c r="BG308" s="4">
        <v>0</v>
      </c>
      <c r="BH308" s="4">
        <f t="shared" si="48"/>
        <v>360331464.33000004</v>
      </c>
    </row>
    <row r="309" spans="1:60" x14ac:dyDescent="0.2">
      <c r="A309" s="3">
        <v>37742</v>
      </c>
      <c r="B309" s="4">
        <v>15157855.699999999</v>
      </c>
      <c r="C309" s="4">
        <v>883423.42</v>
      </c>
      <c r="D309" s="4">
        <v>6179433.0099999998</v>
      </c>
      <c r="E309" s="4">
        <v>1897937.42</v>
      </c>
      <c r="F309" s="4">
        <v>1709124.86</v>
      </c>
      <c r="G309" s="4">
        <v>2915566.81</v>
      </c>
      <c r="H309" s="4">
        <v>3140302.85</v>
      </c>
      <c r="I309" s="4">
        <v>1137630.06</v>
      </c>
      <c r="J309" s="4">
        <v>2133446.56</v>
      </c>
      <c r="K309" s="4">
        <v>1719359.99</v>
      </c>
      <c r="L309" s="4">
        <v>1383582.8</v>
      </c>
      <c r="M309" s="4">
        <v>789404.41</v>
      </c>
      <c r="N309" s="4">
        <v>8131124.7300000004</v>
      </c>
      <c r="O309" s="4">
        <v>35741108.539999999</v>
      </c>
      <c r="P309" s="4">
        <v>932086.79</v>
      </c>
      <c r="Q309" s="4">
        <v>726588.44</v>
      </c>
      <c r="R309" s="4">
        <v>819469.15</v>
      </c>
      <c r="S309" s="4">
        <v>1780194.71</v>
      </c>
      <c r="T309" s="4">
        <v>1175982.45</v>
      </c>
      <c r="U309" s="4">
        <v>97678.13</v>
      </c>
      <c r="V309" s="4">
        <v>1406692.22</v>
      </c>
      <c r="W309" s="4">
        <v>2455172.65</v>
      </c>
      <c r="X309" s="4">
        <v>353006.78</v>
      </c>
      <c r="Y309" s="4">
        <v>1140739.03</v>
      </c>
      <c r="Z309" s="4">
        <v>946126.72</v>
      </c>
      <c r="AA309" s="4">
        <v>26982203.530000001</v>
      </c>
      <c r="AB309" s="4">
        <v>1109756.8</v>
      </c>
      <c r="AC309" s="4">
        <v>63963142.829999998</v>
      </c>
      <c r="AD309" s="4">
        <v>7343788.7800000003</v>
      </c>
      <c r="AE309" s="4">
        <v>6015074.1699999999</v>
      </c>
      <c r="AF309" s="4">
        <v>14464609.210000001</v>
      </c>
      <c r="AG309" s="4">
        <v>3204812.17</v>
      </c>
      <c r="AH309" s="4">
        <v>10457260.75</v>
      </c>
      <c r="AI309" s="4">
        <v>804557.2</v>
      </c>
      <c r="AJ309" s="4">
        <v>1509220.45</v>
      </c>
      <c r="AK309" s="4">
        <v>1341641.46</v>
      </c>
      <c r="AL309" s="4">
        <v>2259817.04</v>
      </c>
      <c r="AM309" s="4">
        <v>3706303.22</v>
      </c>
      <c r="AN309" s="4">
        <v>8923867.9199999999</v>
      </c>
      <c r="AO309" s="4">
        <v>2125631.27</v>
      </c>
      <c r="AP309" s="4">
        <v>5235274.72</v>
      </c>
      <c r="AQ309" s="4">
        <v>4875755.1500000004</v>
      </c>
      <c r="AR309" s="4">
        <v>594473.75</v>
      </c>
      <c r="AS309" s="4">
        <v>312427.18</v>
      </c>
      <c r="AT309" s="4">
        <v>975007.53</v>
      </c>
      <c r="AU309" s="4">
        <v>2216622.4900000002</v>
      </c>
      <c r="AV309" s="4">
        <v>64411878.280000001</v>
      </c>
      <c r="AW309" s="4">
        <v>1536252.63</v>
      </c>
      <c r="AX309" s="4">
        <v>894881.93</v>
      </c>
      <c r="AY309" s="4">
        <v>2298208.39</v>
      </c>
      <c r="AZ309" s="4">
        <v>5921569.04</v>
      </c>
      <c r="BA309" s="4">
        <v>2265305.73</v>
      </c>
      <c r="BB309" s="4">
        <v>916847.5</v>
      </c>
      <c r="BC309" s="4">
        <v>1679253.75</v>
      </c>
      <c r="BD309" s="4">
        <v>25005051.350000001</v>
      </c>
      <c r="BE309" s="4">
        <v>821118.81</v>
      </c>
      <c r="BF309" s="4">
        <v>349838.04</v>
      </c>
      <c r="BG309" s="4">
        <v>0</v>
      </c>
      <c r="BH309" s="4">
        <f t="shared" si="48"/>
        <v>369274491.30000007</v>
      </c>
    </row>
    <row r="310" spans="1:60" x14ac:dyDescent="0.2">
      <c r="A310" s="3">
        <v>37773</v>
      </c>
      <c r="B310" s="4">
        <v>20836118.25</v>
      </c>
      <c r="C310" s="4">
        <v>1619989.67</v>
      </c>
      <c r="D310" s="4">
        <v>8633419.8000000007</v>
      </c>
      <c r="E310" s="4">
        <v>3065687.17</v>
      </c>
      <c r="F310" s="4">
        <v>2841881.96</v>
      </c>
      <c r="G310" s="4">
        <v>4830391.47</v>
      </c>
      <c r="H310" s="4">
        <v>4545146.4400000004</v>
      </c>
      <c r="I310" s="4">
        <v>1737441.37</v>
      </c>
      <c r="J310" s="4">
        <v>3264048.69</v>
      </c>
      <c r="K310" s="4">
        <v>2965261.15</v>
      </c>
      <c r="L310" s="4">
        <v>2185165.35</v>
      </c>
      <c r="M310" s="4">
        <v>1546103.41</v>
      </c>
      <c r="N310" s="4">
        <v>11827313.77</v>
      </c>
      <c r="O310" s="4">
        <v>48353843.840000004</v>
      </c>
      <c r="P310" s="4">
        <v>1506333.93</v>
      </c>
      <c r="Q310" s="4">
        <v>1300525.92</v>
      </c>
      <c r="R310" s="4">
        <v>1175130.02</v>
      </c>
      <c r="S310" s="4">
        <v>2783278.96</v>
      </c>
      <c r="T310" s="4">
        <v>2375304.48</v>
      </c>
      <c r="U310" s="4">
        <v>229594.21</v>
      </c>
      <c r="V310" s="4">
        <v>2604412.42</v>
      </c>
      <c r="W310" s="4">
        <v>3898240.12</v>
      </c>
      <c r="X310" s="4">
        <v>691047.79</v>
      </c>
      <c r="Y310" s="4">
        <v>2069437.33</v>
      </c>
      <c r="Z310" s="4">
        <v>1823377.33</v>
      </c>
      <c r="AA310" s="4">
        <v>36373879.479999997</v>
      </c>
      <c r="AB310" s="4">
        <v>1828153.62</v>
      </c>
      <c r="AC310" s="4">
        <v>90919034</v>
      </c>
      <c r="AD310" s="4">
        <v>8859984.4399999995</v>
      </c>
      <c r="AE310" s="4">
        <v>9939539.1899999995</v>
      </c>
      <c r="AF310" s="4">
        <v>20552672.390000001</v>
      </c>
      <c r="AG310" s="4">
        <v>4981597.42</v>
      </c>
      <c r="AH310" s="4">
        <v>16610759.869999999</v>
      </c>
      <c r="AI310" s="4">
        <v>1215291.6299999999</v>
      </c>
      <c r="AJ310" s="4">
        <v>1602442.37</v>
      </c>
      <c r="AK310" s="4">
        <v>2274896.62</v>
      </c>
      <c r="AL310" s="4">
        <v>4047294.57</v>
      </c>
      <c r="AM310" s="4">
        <v>5778986.9500000002</v>
      </c>
      <c r="AN310" s="4">
        <v>16833322.66</v>
      </c>
      <c r="AO310" s="4">
        <v>3729098.89</v>
      </c>
      <c r="AP310" s="4">
        <v>7986159.8899999997</v>
      </c>
      <c r="AQ310" s="4">
        <v>7674809.9400000004</v>
      </c>
      <c r="AR310" s="4">
        <v>922259.94</v>
      </c>
      <c r="AS310" s="4">
        <v>953780.99</v>
      </c>
      <c r="AT310" s="4">
        <v>1697101.42</v>
      </c>
      <c r="AU310" s="4">
        <v>3599589.18</v>
      </c>
      <c r="AV310" s="4">
        <v>107423644.89</v>
      </c>
      <c r="AW310" s="4">
        <v>2508250.23</v>
      </c>
      <c r="AX310" s="4">
        <v>1540081.91</v>
      </c>
      <c r="AY310" s="4">
        <v>4039900.3</v>
      </c>
      <c r="AZ310" s="4">
        <v>9812550.7300000004</v>
      </c>
      <c r="BA310" s="4">
        <v>3912273.64</v>
      </c>
      <c r="BB310" s="4">
        <v>1508808.29</v>
      </c>
      <c r="BC310" s="4">
        <v>2519272.69</v>
      </c>
      <c r="BD310" s="4">
        <v>34943031.299999997</v>
      </c>
      <c r="BE310" s="4">
        <v>1373219.65</v>
      </c>
      <c r="BF310" s="4">
        <v>591908.81000000006</v>
      </c>
      <c r="BG310" s="4">
        <v>0</v>
      </c>
      <c r="BH310" s="4">
        <f t="shared" si="48"/>
        <v>557262092.75</v>
      </c>
    </row>
    <row r="311" spans="1:60" x14ac:dyDescent="0.2">
      <c r="A311" s="3">
        <v>37803</v>
      </c>
      <c r="B311" s="4">
        <v>16392939.99</v>
      </c>
      <c r="C311" s="4">
        <v>1021708.12</v>
      </c>
      <c r="D311" s="4">
        <v>7110960.9999999991</v>
      </c>
      <c r="E311" s="4">
        <v>1964284.09</v>
      </c>
      <c r="F311" s="4">
        <v>2025079.84</v>
      </c>
      <c r="G311" s="4">
        <v>3338626.15</v>
      </c>
      <c r="H311" s="4">
        <v>3501255.5</v>
      </c>
      <c r="I311" s="4">
        <v>1071644.71</v>
      </c>
      <c r="J311" s="4">
        <v>2522963.33</v>
      </c>
      <c r="K311" s="4">
        <v>1922201.18</v>
      </c>
      <c r="L311" s="4">
        <v>1552097.91</v>
      </c>
      <c r="M311" s="4">
        <v>1004988.67</v>
      </c>
      <c r="N311" s="4">
        <v>11696915.510000002</v>
      </c>
      <c r="O311" s="4">
        <v>38444186.270000003</v>
      </c>
      <c r="P311" s="4">
        <v>1405404.51</v>
      </c>
      <c r="Q311" s="4">
        <v>906951.3</v>
      </c>
      <c r="R311" s="4">
        <v>964042.78</v>
      </c>
      <c r="S311" s="4">
        <v>2342427.23</v>
      </c>
      <c r="T311" s="4">
        <v>1652820.29</v>
      </c>
      <c r="U311" s="4">
        <v>207289.38</v>
      </c>
      <c r="V311" s="4">
        <v>1750535.09</v>
      </c>
      <c r="W311" s="4">
        <v>3047013.86</v>
      </c>
      <c r="X311" s="4">
        <v>426644.57</v>
      </c>
      <c r="Y311" s="4">
        <v>1693357.47</v>
      </c>
      <c r="Z311" s="4">
        <v>1113815.83</v>
      </c>
      <c r="AA311" s="4">
        <v>30013738.23</v>
      </c>
      <c r="AB311" s="4">
        <v>1622893.03</v>
      </c>
      <c r="AC311" s="4">
        <v>71699289.319999993</v>
      </c>
      <c r="AD311" s="4">
        <v>6684137.96</v>
      </c>
      <c r="AE311" s="4">
        <v>7040708.6100000003</v>
      </c>
      <c r="AF311" s="4">
        <v>15878645.619999999</v>
      </c>
      <c r="AG311" s="4">
        <v>3762412.56</v>
      </c>
      <c r="AH311" s="4">
        <v>11832330.510000002</v>
      </c>
      <c r="AI311" s="4">
        <v>887348.08</v>
      </c>
      <c r="AJ311" s="4">
        <v>1589593.44</v>
      </c>
      <c r="AK311" s="4">
        <v>1754276.57</v>
      </c>
      <c r="AL311" s="4">
        <v>2594120.94</v>
      </c>
      <c r="AM311" s="4">
        <v>4332839.7</v>
      </c>
      <c r="AN311" s="4">
        <v>10274740.48</v>
      </c>
      <c r="AO311" s="4">
        <v>2384981.88</v>
      </c>
      <c r="AP311" s="4">
        <v>6210250.7000000002</v>
      </c>
      <c r="AQ311" s="4">
        <v>5934446.1699999999</v>
      </c>
      <c r="AR311" s="4">
        <v>728938.05</v>
      </c>
      <c r="AS311" s="4">
        <v>451796.4</v>
      </c>
      <c r="AT311" s="4">
        <v>1197134.05</v>
      </c>
      <c r="AU311" s="4">
        <v>2576626.7200000002</v>
      </c>
      <c r="AV311" s="4">
        <v>77036174.479999989</v>
      </c>
      <c r="AW311" s="4">
        <v>2274085.66</v>
      </c>
      <c r="AX311" s="4">
        <v>910193.96</v>
      </c>
      <c r="AY311" s="4">
        <v>2604051.46</v>
      </c>
      <c r="AZ311" s="4">
        <v>6921505.9800000004</v>
      </c>
      <c r="BA311" s="4">
        <v>3711870.95</v>
      </c>
      <c r="BB311" s="4">
        <v>1031505.64</v>
      </c>
      <c r="BC311" s="4">
        <v>1981733.82</v>
      </c>
      <c r="BD311" s="4">
        <v>27192978.950000003</v>
      </c>
      <c r="BE311" s="4">
        <v>992341.7</v>
      </c>
      <c r="BF311" s="4">
        <v>407126.68</v>
      </c>
      <c r="BG311" s="4">
        <v>0</v>
      </c>
      <c r="BH311" s="4">
        <f t="shared" si="48"/>
        <v>423594972.88</v>
      </c>
    </row>
    <row r="312" spans="1:60" x14ac:dyDescent="0.2">
      <c r="A312" s="3">
        <v>37834</v>
      </c>
      <c r="B312" s="4">
        <v>15492439.92</v>
      </c>
      <c r="C312" s="4">
        <v>986238</v>
      </c>
      <c r="D312" s="4">
        <v>8765502.0099999998</v>
      </c>
      <c r="E312" s="4">
        <v>1946304.76</v>
      </c>
      <c r="F312" s="4">
        <v>1925174.28</v>
      </c>
      <c r="G312" s="4">
        <v>3099485.68</v>
      </c>
      <c r="H312" s="4">
        <v>3477487.61</v>
      </c>
      <c r="I312" s="4">
        <v>1045206.48</v>
      </c>
      <c r="J312" s="4">
        <v>3137803.52</v>
      </c>
      <c r="K312" s="4">
        <v>1893524.58</v>
      </c>
      <c r="L312" s="4">
        <v>1542263.72</v>
      </c>
      <c r="M312" s="4">
        <v>951663.72</v>
      </c>
      <c r="N312" s="4">
        <v>10303514.350000001</v>
      </c>
      <c r="O312" s="4">
        <v>36741293.379999995</v>
      </c>
      <c r="P312" s="4">
        <v>1315805.02</v>
      </c>
      <c r="Q312" s="4">
        <v>867466.22</v>
      </c>
      <c r="R312" s="4">
        <v>883158.62</v>
      </c>
      <c r="S312" s="4">
        <v>2283645.4</v>
      </c>
      <c r="T312" s="4">
        <v>1550284.05</v>
      </c>
      <c r="U312" s="4">
        <v>182541.53</v>
      </c>
      <c r="V312" s="4">
        <v>1691052.44</v>
      </c>
      <c r="W312" s="4">
        <v>3084653.71</v>
      </c>
      <c r="X312" s="4">
        <v>410488.83</v>
      </c>
      <c r="Y312" s="4">
        <v>1621289.55</v>
      </c>
      <c r="Z312" s="4">
        <v>1095519.6399999999</v>
      </c>
      <c r="AA312" s="4">
        <v>28981428.890000001</v>
      </c>
      <c r="AB312" s="4">
        <v>1565039.96</v>
      </c>
      <c r="AC312" s="4">
        <v>68780684.629999995</v>
      </c>
      <c r="AD312" s="4">
        <v>6329691.3399999999</v>
      </c>
      <c r="AE312" s="4">
        <v>6719090.3399999999</v>
      </c>
      <c r="AF312" s="4">
        <v>15219353.120000001</v>
      </c>
      <c r="AG312" s="4">
        <v>3644188.65</v>
      </c>
      <c r="AH312" s="4">
        <v>11353251.060000001</v>
      </c>
      <c r="AI312" s="4">
        <v>830348.31</v>
      </c>
      <c r="AJ312" s="4">
        <v>1513361.39</v>
      </c>
      <c r="AK312" s="4">
        <v>1752344.86</v>
      </c>
      <c r="AL312" s="4">
        <v>2559975.6800000002</v>
      </c>
      <c r="AM312" s="4">
        <v>4162295.16</v>
      </c>
      <c r="AN312" s="4">
        <v>10851163.26</v>
      </c>
      <c r="AO312" s="4">
        <v>2432972.31</v>
      </c>
      <c r="AP312" s="4">
        <v>5850470.6299999999</v>
      </c>
      <c r="AQ312" s="4">
        <v>5629621.8499999996</v>
      </c>
      <c r="AR312" s="4">
        <v>714022.72</v>
      </c>
      <c r="AS312" s="4">
        <v>449770.9</v>
      </c>
      <c r="AT312" s="4">
        <v>1139728.27</v>
      </c>
      <c r="AU312" s="4">
        <v>2621516.91</v>
      </c>
      <c r="AV312" s="4">
        <v>78698774.890000001</v>
      </c>
      <c r="AW312" s="4">
        <v>2237026.1</v>
      </c>
      <c r="AX312" s="4">
        <v>903181.43</v>
      </c>
      <c r="AY312" s="4">
        <v>2674802.4300000002</v>
      </c>
      <c r="AZ312" s="4">
        <v>6527237.2200000007</v>
      </c>
      <c r="BA312" s="4">
        <v>3538184.43</v>
      </c>
      <c r="BB312" s="4">
        <v>982185.82</v>
      </c>
      <c r="BC312" s="4">
        <v>1813902.06</v>
      </c>
      <c r="BD312" s="4">
        <v>25716244.530000001</v>
      </c>
      <c r="BE312" s="4">
        <v>935173.46</v>
      </c>
      <c r="BF312" s="4">
        <v>383368.92</v>
      </c>
      <c r="BG312" s="4">
        <v>0</v>
      </c>
      <c r="BH312" s="4">
        <f t="shared" si="48"/>
        <v>413804208.55000007</v>
      </c>
    </row>
    <row r="313" spans="1:60" x14ac:dyDescent="0.2">
      <c r="A313" s="3">
        <v>37865</v>
      </c>
      <c r="B313" s="4">
        <v>19789217.640000001</v>
      </c>
      <c r="C313" s="4">
        <v>1878153.22</v>
      </c>
      <c r="D313" s="4">
        <v>9313424.0700000003</v>
      </c>
      <c r="E313" s="4">
        <v>3034621.1</v>
      </c>
      <c r="F313" s="4">
        <v>2834836.55</v>
      </c>
      <c r="G313" s="4">
        <v>5103382.37</v>
      </c>
      <c r="H313" s="4">
        <v>4455731.18</v>
      </c>
      <c r="I313" s="4">
        <v>1904697.42</v>
      </c>
      <c r="J313" s="4">
        <v>3167530.68</v>
      </c>
      <c r="K313" s="4">
        <v>3784261.91</v>
      </c>
      <c r="L313" s="4">
        <v>2340366.88</v>
      </c>
      <c r="M313" s="4">
        <v>1787930.74</v>
      </c>
      <c r="N313" s="4">
        <v>15480014.59</v>
      </c>
      <c r="O313" s="4">
        <v>45723494.490000002</v>
      </c>
      <c r="P313" s="4">
        <v>2111146.16</v>
      </c>
      <c r="Q313" s="4">
        <v>1540961.81</v>
      </c>
      <c r="R313" s="4">
        <v>1392665.74</v>
      </c>
      <c r="S313" s="4">
        <v>2773171.25</v>
      </c>
      <c r="T313" s="4">
        <v>2607834.2599999998</v>
      </c>
      <c r="U313" s="4">
        <v>449277.06</v>
      </c>
      <c r="V313" s="4">
        <v>2565240.13</v>
      </c>
      <c r="W313" s="4">
        <v>5090179.49</v>
      </c>
      <c r="X313" s="4">
        <v>657207.32999999996</v>
      </c>
      <c r="Y313" s="4">
        <v>2247412.54</v>
      </c>
      <c r="Z313" s="4">
        <v>1764281.21</v>
      </c>
      <c r="AA313" s="4">
        <v>35587803.719999999</v>
      </c>
      <c r="AB313" s="4">
        <v>2208734.5099999998</v>
      </c>
      <c r="AC313" s="4">
        <v>88099257.810000002</v>
      </c>
      <c r="AD313" s="4">
        <v>8797311.4100000001</v>
      </c>
      <c r="AE313" s="4">
        <v>9163538.3300000001</v>
      </c>
      <c r="AF313" s="4">
        <v>18948995.539999999</v>
      </c>
      <c r="AG313" s="4">
        <v>4657526.41</v>
      </c>
      <c r="AH313" s="4">
        <v>17089288.640000001</v>
      </c>
      <c r="AI313" s="4">
        <v>1163906.8500000001</v>
      </c>
      <c r="AJ313" s="4">
        <v>2129732.66</v>
      </c>
      <c r="AK313" s="4">
        <v>2720499.71</v>
      </c>
      <c r="AL313" s="4">
        <v>4050301.53</v>
      </c>
      <c r="AM313" s="4">
        <v>6532054.1799999997</v>
      </c>
      <c r="AN313" s="4">
        <v>17723051.600000001</v>
      </c>
      <c r="AO313" s="4">
        <v>3041515.03</v>
      </c>
      <c r="AP313" s="4">
        <v>9450332.5700000003</v>
      </c>
      <c r="AQ313" s="4">
        <v>7657142.1499999994</v>
      </c>
      <c r="AR313" s="4">
        <v>1017296.54</v>
      </c>
      <c r="AS313" s="4">
        <v>1290373.21</v>
      </c>
      <c r="AT313" s="4">
        <v>1548849.04</v>
      </c>
      <c r="AU313" s="4">
        <v>3822579.7</v>
      </c>
      <c r="AV313" s="4">
        <v>119193007.66</v>
      </c>
      <c r="AW313" s="4">
        <v>3679537.11</v>
      </c>
      <c r="AX313" s="4">
        <v>1412652.98</v>
      </c>
      <c r="AY313" s="4">
        <v>4440878.76</v>
      </c>
      <c r="AZ313" s="4">
        <v>10158467.620000001</v>
      </c>
      <c r="BA313" s="4">
        <v>4611357.46</v>
      </c>
      <c r="BB313" s="4">
        <v>1539972.73</v>
      </c>
      <c r="BC313" s="4">
        <v>3056931.54</v>
      </c>
      <c r="BD313" s="4">
        <v>34290757.869999997</v>
      </c>
      <c r="BE313" s="4">
        <v>1450283.32</v>
      </c>
      <c r="BF313" s="4">
        <v>839669.91</v>
      </c>
      <c r="BG313" s="4">
        <v>0</v>
      </c>
      <c r="BH313" s="4">
        <f t="shared" si="48"/>
        <v>575170647.92000008</v>
      </c>
    </row>
    <row r="314" spans="1:60" x14ac:dyDescent="0.2">
      <c r="A314" s="3">
        <v>37895</v>
      </c>
      <c r="B314" s="4">
        <v>15678914.51</v>
      </c>
      <c r="C314" s="4">
        <v>930204.43</v>
      </c>
      <c r="D314" s="4">
        <v>7357204.5999999996</v>
      </c>
      <c r="E314" s="4">
        <v>1937044.95</v>
      </c>
      <c r="F314" s="4">
        <v>1864011.09</v>
      </c>
      <c r="G314" s="4">
        <v>2912241.99</v>
      </c>
      <c r="H314" s="4">
        <v>3435264.37</v>
      </c>
      <c r="I314" s="4">
        <v>1033582.12</v>
      </c>
      <c r="J314" s="4">
        <v>2267022.59</v>
      </c>
      <c r="K314" s="4">
        <v>1886694.89</v>
      </c>
      <c r="L314" s="4">
        <v>1503862.99</v>
      </c>
      <c r="M314" s="4">
        <v>974494.48</v>
      </c>
      <c r="N314" s="4">
        <v>10598135.57</v>
      </c>
      <c r="O314" s="4">
        <v>35744000.789999999</v>
      </c>
      <c r="P314" s="4">
        <v>1079580.5</v>
      </c>
      <c r="Q314" s="4">
        <v>812386.33</v>
      </c>
      <c r="R314" s="4">
        <v>805746.02</v>
      </c>
      <c r="S314" s="4">
        <v>1846418.73</v>
      </c>
      <c r="T314" s="4">
        <v>1438454.81</v>
      </c>
      <c r="U314" s="4">
        <v>147045.66</v>
      </c>
      <c r="V314" s="4">
        <v>1485384.76</v>
      </c>
      <c r="W314" s="4">
        <v>2736777.66</v>
      </c>
      <c r="X314" s="4">
        <v>364724.44</v>
      </c>
      <c r="Y314" s="4">
        <v>1523582.69</v>
      </c>
      <c r="Z314" s="4">
        <v>1011409.78</v>
      </c>
      <c r="AA314" s="4">
        <v>28016059.559999999</v>
      </c>
      <c r="AB314" s="4">
        <v>1414714.87</v>
      </c>
      <c r="AC314" s="4">
        <v>67023039.210000008</v>
      </c>
      <c r="AD314" s="4">
        <v>6238029.5499999998</v>
      </c>
      <c r="AE314" s="4">
        <v>6379227.7800000003</v>
      </c>
      <c r="AF314" s="4">
        <v>15035519.790000001</v>
      </c>
      <c r="AG314" s="4">
        <v>3467615.01</v>
      </c>
      <c r="AH314" s="4">
        <v>11321534.670000002</v>
      </c>
      <c r="AI314" s="4">
        <v>739894.62</v>
      </c>
      <c r="AJ314" s="4">
        <v>1424431.72</v>
      </c>
      <c r="AK314" s="4">
        <v>1506810.23</v>
      </c>
      <c r="AL314" s="4">
        <v>2457169.3199999998</v>
      </c>
      <c r="AM314" s="4">
        <v>3969767.5</v>
      </c>
      <c r="AN314" s="4">
        <v>10790353.9</v>
      </c>
      <c r="AO314" s="4">
        <v>2285577.11</v>
      </c>
      <c r="AP314" s="4">
        <v>5694737.0300000003</v>
      </c>
      <c r="AQ314" s="4">
        <v>5563311.5899999999</v>
      </c>
      <c r="AR314" s="4">
        <v>622137.61</v>
      </c>
      <c r="AS314" s="4">
        <v>400564.35</v>
      </c>
      <c r="AT314" s="4">
        <v>1167137.26</v>
      </c>
      <c r="AU314" s="4">
        <v>2398665.06</v>
      </c>
      <c r="AV314" s="4">
        <v>73406998.100000009</v>
      </c>
      <c r="AW314" s="4">
        <v>1886352.2</v>
      </c>
      <c r="AX314" s="4">
        <v>933246.49</v>
      </c>
      <c r="AY314" s="4">
        <v>2641551.85</v>
      </c>
      <c r="AZ314" s="4">
        <v>6452334.6299999999</v>
      </c>
      <c r="BA314" s="4">
        <v>2601608.21</v>
      </c>
      <c r="BB314" s="4">
        <v>952036.31</v>
      </c>
      <c r="BC314" s="4">
        <v>1685862.41</v>
      </c>
      <c r="BD314" s="4">
        <v>25938182.23</v>
      </c>
      <c r="BE314" s="4">
        <v>811015.06</v>
      </c>
      <c r="BF314" s="4">
        <v>431879.58</v>
      </c>
      <c r="BG314" s="4">
        <v>0</v>
      </c>
      <c r="BH314" s="4">
        <f t="shared" si="48"/>
        <v>397031555.56000006</v>
      </c>
    </row>
    <row r="315" spans="1:60" x14ac:dyDescent="0.2">
      <c r="A315" s="3">
        <v>37926</v>
      </c>
      <c r="B315" s="4">
        <v>15267107.219999999</v>
      </c>
      <c r="C315" s="4">
        <v>901706.64</v>
      </c>
      <c r="D315" s="4">
        <v>7174982.0199999996</v>
      </c>
      <c r="E315" s="4">
        <v>1915636.65</v>
      </c>
      <c r="F315" s="4">
        <v>1824371.11</v>
      </c>
      <c r="G315" s="4">
        <v>2897187.32</v>
      </c>
      <c r="H315" s="4">
        <v>3276434.41</v>
      </c>
      <c r="I315" s="4">
        <v>1019150.55</v>
      </c>
      <c r="J315" s="4">
        <v>2239879.19</v>
      </c>
      <c r="K315" s="4">
        <v>1810061.5</v>
      </c>
      <c r="L315" s="4">
        <v>1484380.12</v>
      </c>
      <c r="M315" s="4">
        <v>922110.35</v>
      </c>
      <c r="N315" s="4">
        <v>10249295.76</v>
      </c>
      <c r="O315" s="4">
        <v>35737810.149999999</v>
      </c>
      <c r="P315" s="4">
        <v>1027808.26</v>
      </c>
      <c r="Q315" s="4">
        <v>815926.14</v>
      </c>
      <c r="R315" s="4">
        <v>832727.43</v>
      </c>
      <c r="S315" s="4">
        <v>1838201</v>
      </c>
      <c r="T315" s="4">
        <v>1381934.77</v>
      </c>
      <c r="U315" s="4">
        <v>124761.68</v>
      </c>
      <c r="V315" s="4">
        <v>1507190.74</v>
      </c>
      <c r="W315" s="4">
        <v>2789397.35</v>
      </c>
      <c r="X315" s="4">
        <v>365402.06</v>
      </c>
      <c r="Y315" s="4">
        <v>1489416.98</v>
      </c>
      <c r="Z315" s="4">
        <v>1008542.8</v>
      </c>
      <c r="AA315" s="4">
        <v>27388658.93</v>
      </c>
      <c r="AB315" s="4">
        <v>1413151.28</v>
      </c>
      <c r="AC315" s="4">
        <v>65594767.5</v>
      </c>
      <c r="AD315" s="4">
        <v>6142125.1299999999</v>
      </c>
      <c r="AE315" s="4">
        <v>6428533.6600000001</v>
      </c>
      <c r="AF315" s="4">
        <v>14979251.800000001</v>
      </c>
      <c r="AG315" s="4">
        <v>3440616.19</v>
      </c>
      <c r="AH315" s="4">
        <v>11106423.91</v>
      </c>
      <c r="AI315" s="4">
        <v>725892.56</v>
      </c>
      <c r="AJ315" s="4">
        <v>1335071.3700000001</v>
      </c>
      <c r="AK315" s="4">
        <v>1479452.13</v>
      </c>
      <c r="AL315" s="4">
        <v>2394516.66</v>
      </c>
      <c r="AM315" s="4">
        <v>3913551.26</v>
      </c>
      <c r="AN315" s="4">
        <v>10751663.98</v>
      </c>
      <c r="AO315" s="4">
        <v>2279463.29</v>
      </c>
      <c r="AP315" s="4">
        <v>5617424.7400000002</v>
      </c>
      <c r="AQ315" s="4">
        <v>5508927.7699999996</v>
      </c>
      <c r="AR315" s="4">
        <v>623743.61</v>
      </c>
      <c r="AS315" s="4">
        <v>382826.11</v>
      </c>
      <c r="AT315" s="4">
        <v>1111130.08</v>
      </c>
      <c r="AU315" s="4">
        <v>2384217.4300000002</v>
      </c>
      <c r="AV315" s="4">
        <v>71913992.879999995</v>
      </c>
      <c r="AW315" s="4">
        <v>1794870.42</v>
      </c>
      <c r="AX315" s="4">
        <v>925985.12</v>
      </c>
      <c r="AY315" s="4">
        <v>2599583.42</v>
      </c>
      <c r="AZ315" s="4">
        <v>6259489.8900000006</v>
      </c>
      <c r="BA315" s="4">
        <v>2591270.4500000002</v>
      </c>
      <c r="BB315" s="4">
        <v>940315.53</v>
      </c>
      <c r="BC315" s="4">
        <v>1683289.79</v>
      </c>
      <c r="BD315" s="4">
        <v>25205247.169999994</v>
      </c>
      <c r="BE315" s="4">
        <v>812127.08</v>
      </c>
      <c r="BF315" s="4">
        <v>441703.41</v>
      </c>
      <c r="BG315" s="4">
        <v>0</v>
      </c>
      <c r="BH315" s="4">
        <f t="shared" si="48"/>
        <v>390070706.75</v>
      </c>
    </row>
    <row r="316" spans="1:60" x14ac:dyDescent="0.2">
      <c r="A316" s="3">
        <v>37956</v>
      </c>
      <c r="B316" s="4">
        <v>20236316.899999999</v>
      </c>
      <c r="C316" s="4">
        <v>1628800.84</v>
      </c>
      <c r="D316" s="4">
        <v>7627614.3200000003</v>
      </c>
      <c r="E316" s="4">
        <v>3590753.66</v>
      </c>
      <c r="F316" s="4">
        <v>2632951.1800000002</v>
      </c>
      <c r="G316" s="4">
        <v>4353496.3099999996</v>
      </c>
      <c r="H316" s="4">
        <v>4504682.34</v>
      </c>
      <c r="I316" s="4">
        <v>1636163.17</v>
      </c>
      <c r="J316" s="4">
        <v>3444427.26</v>
      </c>
      <c r="K316" s="4">
        <v>3362352.32</v>
      </c>
      <c r="L316" s="4">
        <v>2364950.4900000002</v>
      </c>
      <c r="M316" s="4">
        <v>1859437.6</v>
      </c>
      <c r="N316" s="4">
        <v>15631672.490000002</v>
      </c>
      <c r="O316" s="4">
        <v>48583801.539999999</v>
      </c>
      <c r="P316" s="4">
        <v>1745337.77</v>
      </c>
      <c r="Q316" s="4">
        <v>1442286.82</v>
      </c>
      <c r="R316" s="4">
        <v>1381027.82</v>
      </c>
      <c r="S316" s="4">
        <v>2945756.44</v>
      </c>
      <c r="T316" s="4">
        <v>2757056.9</v>
      </c>
      <c r="U316" s="4">
        <v>311310.36</v>
      </c>
      <c r="V316" s="4">
        <v>2204822.61</v>
      </c>
      <c r="W316" s="4">
        <v>4255309.49</v>
      </c>
      <c r="X316" s="4">
        <v>663176.16</v>
      </c>
      <c r="Y316" s="4">
        <v>2409718.04</v>
      </c>
      <c r="Z316" s="4">
        <v>1783852.03</v>
      </c>
      <c r="AA316" s="4">
        <v>34806949.939999998</v>
      </c>
      <c r="AB316" s="4">
        <v>2149794.02</v>
      </c>
      <c r="AC316" s="4">
        <v>101650105.75999999</v>
      </c>
      <c r="AD316" s="4">
        <v>8168248.4100000001</v>
      </c>
      <c r="AE316" s="4">
        <v>8198730.3900000006</v>
      </c>
      <c r="AF316" s="4">
        <v>18956753.579999998</v>
      </c>
      <c r="AG316" s="4">
        <v>5134916.59</v>
      </c>
      <c r="AH316" s="4">
        <v>17774880.620000001</v>
      </c>
      <c r="AI316" s="4">
        <v>1184663.3500000001</v>
      </c>
      <c r="AJ316" s="4">
        <v>2187266.3199999998</v>
      </c>
      <c r="AK316" s="4">
        <v>2579318.19</v>
      </c>
      <c r="AL316" s="4">
        <v>4098410.48</v>
      </c>
      <c r="AM316" s="4">
        <v>7115998.080000001</v>
      </c>
      <c r="AN316" s="4">
        <v>17899015.210000001</v>
      </c>
      <c r="AO316" s="4">
        <v>3471224.87</v>
      </c>
      <c r="AP316" s="4">
        <v>9222989.7599999998</v>
      </c>
      <c r="AQ316" s="4">
        <v>7722093.2599999998</v>
      </c>
      <c r="AR316" s="4">
        <v>1100730.23</v>
      </c>
      <c r="AS316" s="4">
        <v>1044513.47</v>
      </c>
      <c r="AT316" s="4">
        <v>1399501.71</v>
      </c>
      <c r="AU316" s="4">
        <v>3729945.85</v>
      </c>
      <c r="AV316" s="4">
        <v>114319483.94999999</v>
      </c>
      <c r="AW316" s="4">
        <v>3329981.32</v>
      </c>
      <c r="AX316" s="4">
        <v>1427283.3</v>
      </c>
      <c r="AY316" s="4">
        <v>4418662.0999999996</v>
      </c>
      <c r="AZ316" s="4">
        <v>10753553.77</v>
      </c>
      <c r="BA316" s="4">
        <v>3745086</v>
      </c>
      <c r="BB316" s="4">
        <v>1456997.68</v>
      </c>
      <c r="BC316" s="4">
        <v>2426080.0099999998</v>
      </c>
      <c r="BD316" s="4">
        <v>37053938.640000001</v>
      </c>
      <c r="BE316" s="4">
        <v>1397079.26</v>
      </c>
      <c r="BF316" s="4">
        <v>926191.34</v>
      </c>
      <c r="BG316" s="4">
        <v>0</v>
      </c>
      <c r="BH316" s="4">
        <f t="shared" si="48"/>
        <v>584207462.31999993</v>
      </c>
    </row>
    <row r="317" spans="1:60" ht="15.75" thickBot="1" x14ac:dyDescent="0.25">
      <c r="A317" s="3" t="s">
        <v>143</v>
      </c>
      <c r="B317" s="5">
        <f t="shared" ref="B317:AG317" si="49">SUM(B305:B316)</f>
        <v>203493646.36000001</v>
      </c>
      <c r="C317" s="5">
        <f t="shared" si="49"/>
        <v>13816456.24</v>
      </c>
      <c r="D317" s="5">
        <f t="shared" si="49"/>
        <v>89155787.099999994</v>
      </c>
      <c r="E317" s="5">
        <f t="shared" si="49"/>
        <v>27906431.359999999</v>
      </c>
      <c r="F317" s="5">
        <f t="shared" si="49"/>
        <v>25223858.889999997</v>
      </c>
      <c r="G317" s="5">
        <f t="shared" si="49"/>
        <v>41797226.189999998</v>
      </c>
      <c r="H317" s="5">
        <f t="shared" si="49"/>
        <v>43982367.370000005</v>
      </c>
      <c r="I317" s="5">
        <f t="shared" si="49"/>
        <v>15056609.34</v>
      </c>
      <c r="J317" s="5">
        <f t="shared" si="49"/>
        <v>31350046.93</v>
      </c>
      <c r="K317" s="5">
        <f t="shared" si="49"/>
        <v>26996810.810000002</v>
      </c>
      <c r="L317" s="5">
        <f t="shared" si="49"/>
        <v>20865700.350000001</v>
      </c>
      <c r="M317" s="5">
        <f t="shared" si="49"/>
        <v>13539819.379999999</v>
      </c>
      <c r="N317" s="5">
        <f t="shared" si="49"/>
        <v>128831446.69</v>
      </c>
      <c r="O317" s="5">
        <f t="shared" si="49"/>
        <v>479178669.40000004</v>
      </c>
      <c r="P317" s="5">
        <f t="shared" si="49"/>
        <v>15235521.619999999</v>
      </c>
      <c r="Q317" s="5">
        <f t="shared" si="49"/>
        <v>11781595.770000001</v>
      </c>
      <c r="R317" s="5">
        <f t="shared" si="49"/>
        <v>11567242.799999999</v>
      </c>
      <c r="S317" s="5">
        <f t="shared" si="49"/>
        <v>26074358.75</v>
      </c>
      <c r="T317" s="5">
        <f t="shared" si="49"/>
        <v>20820638.530000001</v>
      </c>
      <c r="U317" s="5">
        <f t="shared" si="49"/>
        <v>2244411.1999999997</v>
      </c>
      <c r="V317" s="5">
        <f t="shared" si="49"/>
        <v>21349101.449999999</v>
      </c>
      <c r="W317" s="5">
        <f t="shared" si="49"/>
        <v>37233425.969999999</v>
      </c>
      <c r="X317" s="5">
        <f t="shared" si="49"/>
        <v>5486986</v>
      </c>
      <c r="Y317" s="5">
        <f t="shared" si="49"/>
        <v>18960918.120000001</v>
      </c>
      <c r="Z317" s="5">
        <f t="shared" si="49"/>
        <v>15068782.93</v>
      </c>
      <c r="AA317" s="5">
        <f t="shared" si="49"/>
        <v>363055303.80000001</v>
      </c>
      <c r="AB317" s="5">
        <f t="shared" si="49"/>
        <v>18341900.649999999</v>
      </c>
      <c r="AC317" s="5">
        <f t="shared" si="49"/>
        <v>892446063.46000004</v>
      </c>
      <c r="AD317" s="5">
        <f t="shared" si="49"/>
        <v>80287470.949999988</v>
      </c>
      <c r="AE317" s="5">
        <f t="shared" si="49"/>
        <v>86277735.519999996</v>
      </c>
      <c r="AF317" s="5">
        <f t="shared" si="49"/>
        <v>194501181.17000002</v>
      </c>
      <c r="AG317" s="5">
        <f t="shared" si="49"/>
        <v>46904047.449999988</v>
      </c>
      <c r="AH317" s="5">
        <f t="shared" ref="AH317:BG317" si="50">SUM(AH305:AH316)</f>
        <v>151534023.14000002</v>
      </c>
      <c r="AI317" s="5">
        <f t="shared" si="50"/>
        <v>10987790.939999999</v>
      </c>
      <c r="AJ317" s="5">
        <f t="shared" si="50"/>
        <v>18777812.68</v>
      </c>
      <c r="AK317" s="5">
        <f t="shared" si="50"/>
        <v>21383194.199999999</v>
      </c>
      <c r="AL317" s="5">
        <f t="shared" si="50"/>
        <v>34211919.310000002</v>
      </c>
      <c r="AM317" s="5">
        <f t="shared" si="50"/>
        <v>54796242.739999995</v>
      </c>
      <c r="AN317" s="5">
        <f t="shared" si="50"/>
        <v>146248415.63000003</v>
      </c>
      <c r="AO317" s="5">
        <f t="shared" si="50"/>
        <v>31492765.800000001</v>
      </c>
      <c r="AP317" s="5">
        <f t="shared" si="50"/>
        <v>78492099.960000008</v>
      </c>
      <c r="AQ317" s="5">
        <f t="shared" si="50"/>
        <v>70824112.730000004</v>
      </c>
      <c r="AR317" s="5">
        <f t="shared" si="50"/>
        <v>8765865.3200000003</v>
      </c>
      <c r="AS317" s="5">
        <f t="shared" si="50"/>
        <v>6737973.2599999998</v>
      </c>
      <c r="AT317" s="5">
        <f t="shared" si="50"/>
        <v>14662419.310000002</v>
      </c>
      <c r="AU317" s="5">
        <f t="shared" si="50"/>
        <v>33104637.579999998</v>
      </c>
      <c r="AV317" s="5">
        <f t="shared" si="50"/>
        <v>984842032.88999987</v>
      </c>
      <c r="AW317" s="5">
        <f t="shared" si="50"/>
        <v>24932819.689999998</v>
      </c>
      <c r="AX317" s="5">
        <f t="shared" si="50"/>
        <v>12874210.01</v>
      </c>
      <c r="AY317" s="5">
        <f t="shared" si="50"/>
        <v>36106577.420000002</v>
      </c>
      <c r="AZ317" s="5">
        <f t="shared" si="50"/>
        <v>89649407.090000004</v>
      </c>
      <c r="BA317" s="5">
        <f t="shared" si="50"/>
        <v>36290032.600000001</v>
      </c>
      <c r="BB317" s="5">
        <f t="shared" si="50"/>
        <v>13093303.74</v>
      </c>
      <c r="BC317" s="5">
        <f t="shared" si="50"/>
        <v>23644603.799999997</v>
      </c>
      <c r="BD317" s="5">
        <f t="shared" si="50"/>
        <v>341975799.13</v>
      </c>
      <c r="BE317" s="5">
        <f t="shared" si="50"/>
        <v>12013053.030000001</v>
      </c>
      <c r="BF317" s="5">
        <f t="shared" si="50"/>
        <v>5888712.1699999999</v>
      </c>
      <c r="BG317" s="5">
        <f t="shared" si="50"/>
        <v>0</v>
      </c>
      <c r="BH317" s="5">
        <f>SUM(B317:BG317)</f>
        <v>5292161386.7199993</v>
      </c>
    </row>
    <row r="318" spans="1:60" ht="15.75" thickTop="1" x14ac:dyDescent="0.2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</row>
    <row r="319" spans="1:60" x14ac:dyDescent="0.2">
      <c r="A319" s="3">
        <v>37257</v>
      </c>
      <c r="B319" s="4">
        <v>17408170.100000001</v>
      </c>
      <c r="C319" s="4">
        <v>1082249.29</v>
      </c>
      <c r="D319" s="4">
        <v>6778965.5100000007</v>
      </c>
      <c r="E319" s="4">
        <v>2231193.19</v>
      </c>
      <c r="F319" s="4">
        <v>1724564.2</v>
      </c>
      <c r="G319" s="4">
        <v>3510225.73</v>
      </c>
      <c r="H319" s="4">
        <v>3208634.76</v>
      </c>
      <c r="I319" s="4">
        <v>784576.48</v>
      </c>
      <c r="J319" s="4">
        <v>2407161.65</v>
      </c>
      <c r="K319" s="4">
        <v>1774307.35</v>
      </c>
      <c r="L319" s="4">
        <v>1569003.16</v>
      </c>
      <c r="M319" s="4">
        <v>649081.84</v>
      </c>
      <c r="N319" s="4">
        <v>9223136.7699999996</v>
      </c>
      <c r="O319" s="4">
        <v>39091390.590000004</v>
      </c>
      <c r="P319" s="4">
        <v>1188596.75</v>
      </c>
      <c r="Q319" s="4">
        <v>849972.85</v>
      </c>
      <c r="R319" s="4">
        <v>829073.09</v>
      </c>
      <c r="S319" s="4">
        <v>1731311.94</v>
      </c>
      <c r="T319" s="4">
        <v>1553519.03</v>
      </c>
      <c r="U319" s="4">
        <v>134976.71</v>
      </c>
      <c r="V319" s="4">
        <v>1319749.57</v>
      </c>
      <c r="W319" s="4">
        <v>2688302.7</v>
      </c>
      <c r="X319" s="4">
        <v>374951.19</v>
      </c>
      <c r="Y319" s="4">
        <v>1015803.8</v>
      </c>
      <c r="Z319" s="4">
        <v>1023616.2</v>
      </c>
      <c r="AA319" s="4">
        <v>29953508.360000003</v>
      </c>
      <c r="AB319" s="4">
        <v>1062542.56</v>
      </c>
      <c r="AC319" s="4">
        <v>73125404.859999999</v>
      </c>
      <c r="AD319" s="4">
        <v>4898979.07</v>
      </c>
      <c r="AE319" s="4">
        <v>6141476.4000000004</v>
      </c>
      <c r="AF319" s="4">
        <v>14799264.760000002</v>
      </c>
      <c r="AG319" s="4">
        <v>3564598.52</v>
      </c>
      <c r="AH319" s="4">
        <v>10982978.810000001</v>
      </c>
      <c r="AI319" s="4">
        <v>838703.7</v>
      </c>
      <c r="AJ319" s="4">
        <v>1242027.8899999999</v>
      </c>
      <c r="AK319" s="4">
        <v>1342572.48</v>
      </c>
      <c r="AL319" s="4">
        <v>2412471.2400000002</v>
      </c>
      <c r="AM319" s="4">
        <v>3962026.42</v>
      </c>
      <c r="AN319" s="4">
        <v>9214589.7599999998</v>
      </c>
      <c r="AO319" s="4">
        <v>2478040</v>
      </c>
      <c r="AP319" s="4">
        <v>5640219.5899999999</v>
      </c>
      <c r="AQ319" s="4">
        <v>5566611.3100000005</v>
      </c>
      <c r="AR319" s="4">
        <v>596636.18999999994</v>
      </c>
      <c r="AS319" s="4">
        <v>379395.82</v>
      </c>
      <c r="AT319" s="4">
        <v>726545.48</v>
      </c>
      <c r="AU319" s="4">
        <v>2547551.34</v>
      </c>
      <c r="AV319" s="4">
        <v>68910221.599999994</v>
      </c>
      <c r="AW319" s="4">
        <v>1729110.38</v>
      </c>
      <c r="AX319" s="4">
        <v>987475.26</v>
      </c>
      <c r="AY319" s="4">
        <v>2735124.95</v>
      </c>
      <c r="AZ319" s="4">
        <v>6808045.0799999991</v>
      </c>
      <c r="BA319" s="4">
        <v>2328560.1800000002</v>
      </c>
      <c r="BB319" s="4">
        <v>934001.68</v>
      </c>
      <c r="BC319" s="4">
        <v>1675290.55</v>
      </c>
      <c r="BD319" s="4">
        <v>29442409.030000001</v>
      </c>
      <c r="BE319" s="4">
        <v>876469.38</v>
      </c>
      <c r="BF319" s="4">
        <v>364357.33</v>
      </c>
      <c r="BG319" s="4">
        <v>0</v>
      </c>
      <c r="BH319" s="4">
        <f t="shared" ref="BH319:BH331" si="51">SUM(B319:BG319)</f>
        <v>402419744.42999989</v>
      </c>
    </row>
    <row r="320" spans="1:60" x14ac:dyDescent="0.2">
      <c r="A320" s="3">
        <v>37288</v>
      </c>
      <c r="B320" s="4">
        <v>12466956.91</v>
      </c>
      <c r="C320" s="4">
        <v>744909.54</v>
      </c>
      <c r="D320" s="4">
        <v>5221588.24</v>
      </c>
      <c r="E320" s="4">
        <v>1551015.4</v>
      </c>
      <c r="F320" s="4">
        <v>1295891.8899999999</v>
      </c>
      <c r="G320" s="4">
        <v>2181617.5299999998</v>
      </c>
      <c r="H320" s="4">
        <v>2217366.0299999998</v>
      </c>
      <c r="I320" s="4">
        <v>535008.98</v>
      </c>
      <c r="J320" s="4">
        <v>1689162.99</v>
      </c>
      <c r="K320" s="4">
        <v>1275716.17</v>
      </c>
      <c r="L320" s="4">
        <v>1165595.58</v>
      </c>
      <c r="M320" s="4">
        <v>455651.74</v>
      </c>
      <c r="N320" s="4">
        <v>6382935.0600000005</v>
      </c>
      <c r="O320" s="4">
        <v>28596864.039999999</v>
      </c>
      <c r="P320" s="4">
        <v>746885.56</v>
      </c>
      <c r="Q320" s="4">
        <v>601081.52</v>
      </c>
      <c r="R320" s="4">
        <v>597511.51</v>
      </c>
      <c r="S320" s="4">
        <v>1377187.8</v>
      </c>
      <c r="T320" s="4">
        <v>1042905.91</v>
      </c>
      <c r="U320" s="4">
        <v>79296.929999999993</v>
      </c>
      <c r="V320" s="4">
        <v>1016179.47</v>
      </c>
      <c r="W320" s="4">
        <v>2014785.27</v>
      </c>
      <c r="X320" s="4">
        <v>290661.71999999997</v>
      </c>
      <c r="Y320" s="4">
        <v>772832.82</v>
      </c>
      <c r="Z320" s="4">
        <v>747268.02</v>
      </c>
      <c r="AA320" s="4">
        <v>21685552.68</v>
      </c>
      <c r="AB320" s="4">
        <v>833604.93</v>
      </c>
      <c r="AC320" s="4">
        <v>53219300.219999999</v>
      </c>
      <c r="AD320" s="4">
        <v>3840643.2</v>
      </c>
      <c r="AE320" s="4">
        <v>4448151.32</v>
      </c>
      <c r="AF320" s="4">
        <v>11254873.780000001</v>
      </c>
      <c r="AG320" s="4">
        <v>2758327.74</v>
      </c>
      <c r="AH320" s="4">
        <v>7467598.1600000001</v>
      </c>
      <c r="AI320" s="4">
        <v>605257.54</v>
      </c>
      <c r="AJ320" s="4">
        <v>887467.05</v>
      </c>
      <c r="AK320" s="4">
        <v>980099.54</v>
      </c>
      <c r="AL320" s="4">
        <v>1453612.33</v>
      </c>
      <c r="AM320" s="4">
        <v>2919519.53</v>
      </c>
      <c r="AN320" s="4">
        <v>6601708.1500000004</v>
      </c>
      <c r="AO320" s="4">
        <v>1703111.84</v>
      </c>
      <c r="AP320" s="4">
        <v>4124931.74</v>
      </c>
      <c r="AQ320" s="4">
        <v>4118040.41</v>
      </c>
      <c r="AR320" s="4">
        <v>415659.62</v>
      </c>
      <c r="AS320" s="4">
        <v>234749.21</v>
      </c>
      <c r="AT320" s="4">
        <v>526890.04</v>
      </c>
      <c r="AU320" s="4">
        <v>1839134.03</v>
      </c>
      <c r="AV320" s="4">
        <v>48651737.519999996</v>
      </c>
      <c r="AW320" s="4">
        <v>1081090.6200000001</v>
      </c>
      <c r="AX320" s="4">
        <v>724815.37</v>
      </c>
      <c r="AY320" s="4">
        <v>1936699.28</v>
      </c>
      <c r="AZ320" s="4">
        <v>4576922.97</v>
      </c>
      <c r="BA320" s="4">
        <v>1697915.07</v>
      </c>
      <c r="BB320" s="4">
        <v>653221.54</v>
      </c>
      <c r="BC320" s="4">
        <v>1255805.1100000001</v>
      </c>
      <c r="BD320" s="4">
        <v>20946755.359999999</v>
      </c>
      <c r="BE320" s="4">
        <v>597881.06999999995</v>
      </c>
      <c r="BF320" s="4">
        <v>263939.78000000003</v>
      </c>
      <c r="BG320" s="4">
        <v>0</v>
      </c>
      <c r="BH320" s="4">
        <f t="shared" si="51"/>
        <v>289371893.37999994</v>
      </c>
    </row>
    <row r="321" spans="1:60" x14ac:dyDescent="0.2">
      <c r="A321" s="3">
        <v>37316</v>
      </c>
      <c r="B321" s="4">
        <v>22496838.919999998</v>
      </c>
      <c r="C321" s="4">
        <v>1538508.88</v>
      </c>
      <c r="D321" s="4">
        <v>10211008.129999999</v>
      </c>
      <c r="E321" s="4">
        <v>3226685.12</v>
      </c>
      <c r="F321" s="4">
        <v>2678306.1800000002</v>
      </c>
      <c r="G321" s="4">
        <v>4664089.71</v>
      </c>
      <c r="H321" s="4">
        <v>4093591.55</v>
      </c>
      <c r="I321" s="4">
        <v>1369999.87</v>
      </c>
      <c r="J321" s="4">
        <v>3694128.07</v>
      </c>
      <c r="K321" s="4">
        <v>2730298.87</v>
      </c>
      <c r="L321" s="4">
        <v>2076925.15</v>
      </c>
      <c r="M321" s="4">
        <v>1112697.8400000001</v>
      </c>
      <c r="N321" s="4">
        <v>12621989.609999999</v>
      </c>
      <c r="O321" s="4">
        <v>44444710.57</v>
      </c>
      <c r="P321" s="4">
        <v>1620052.83</v>
      </c>
      <c r="Q321" s="4">
        <v>1299354.6200000001</v>
      </c>
      <c r="R321" s="4">
        <v>1393924.34</v>
      </c>
      <c r="S321" s="4">
        <v>2638342.13</v>
      </c>
      <c r="T321" s="4">
        <v>2441254.9900000002</v>
      </c>
      <c r="U321" s="4">
        <v>213056.65</v>
      </c>
      <c r="V321" s="4">
        <v>2332520.02</v>
      </c>
      <c r="W321" s="4">
        <v>2348791.42</v>
      </c>
      <c r="X321" s="4">
        <v>655281.93000000005</v>
      </c>
      <c r="Y321" s="4">
        <v>1651946.62</v>
      </c>
      <c r="Z321" s="4">
        <v>1165105.03</v>
      </c>
      <c r="AA321" s="4">
        <v>36164800.770000003</v>
      </c>
      <c r="AB321" s="4">
        <v>1723448.11</v>
      </c>
      <c r="AC321" s="4">
        <v>94006460.319999993</v>
      </c>
      <c r="AD321" s="4">
        <v>5126564.74</v>
      </c>
      <c r="AE321" s="4">
        <v>9839873.129999999</v>
      </c>
      <c r="AF321" s="4">
        <v>20311608.530000001</v>
      </c>
      <c r="AG321" s="4">
        <v>4538730.7</v>
      </c>
      <c r="AH321" s="4">
        <v>18005053.59</v>
      </c>
      <c r="AI321" s="4">
        <v>1185392.46</v>
      </c>
      <c r="AJ321" s="4">
        <v>1013384.77</v>
      </c>
      <c r="AK321" s="4">
        <v>2096072.22</v>
      </c>
      <c r="AL321" s="4">
        <v>3859926.26</v>
      </c>
      <c r="AM321" s="4">
        <v>5600962.5600000005</v>
      </c>
      <c r="AN321" s="4">
        <v>14229224.58</v>
      </c>
      <c r="AO321" s="4">
        <v>3489067.55</v>
      </c>
      <c r="AP321" s="4">
        <v>8791363.4000000004</v>
      </c>
      <c r="AQ321" s="4">
        <v>7383678.3999999994</v>
      </c>
      <c r="AR321" s="4">
        <v>1237758.6200000001</v>
      </c>
      <c r="AS321" s="4">
        <v>666266.32999999996</v>
      </c>
      <c r="AT321" s="4">
        <v>1177643.73</v>
      </c>
      <c r="AU321" s="4">
        <v>2985368.31</v>
      </c>
      <c r="AV321" s="4">
        <v>100909368.78</v>
      </c>
      <c r="AW321" s="4">
        <v>2330696.8199999998</v>
      </c>
      <c r="AX321" s="4">
        <v>1436827.98</v>
      </c>
      <c r="AY321" s="4">
        <v>3926151.63</v>
      </c>
      <c r="AZ321" s="4">
        <v>9545458.6900000013</v>
      </c>
      <c r="BA321" s="4">
        <v>3366291.11</v>
      </c>
      <c r="BB321" s="4">
        <v>1388538.53</v>
      </c>
      <c r="BC321" s="4">
        <v>2055088.04</v>
      </c>
      <c r="BD321" s="4">
        <v>33959639.689999998</v>
      </c>
      <c r="BE321" s="4">
        <v>1259697.29</v>
      </c>
      <c r="BF321" s="4">
        <v>533823.93000000005</v>
      </c>
      <c r="BG321" s="4">
        <v>0</v>
      </c>
      <c r="BH321" s="4">
        <f t="shared" si="51"/>
        <v>538863640.61999977</v>
      </c>
    </row>
    <row r="322" spans="1:60" x14ac:dyDescent="0.2">
      <c r="A322" s="3">
        <v>37347</v>
      </c>
      <c r="B322" s="4">
        <v>14865047.559999999</v>
      </c>
      <c r="C322" s="4">
        <v>898184.79</v>
      </c>
      <c r="D322" s="4">
        <v>6523800.8899999997</v>
      </c>
      <c r="E322" s="4">
        <v>1868380.97</v>
      </c>
      <c r="F322" s="4">
        <v>1695981.6</v>
      </c>
      <c r="G322" s="4">
        <v>2662571.58</v>
      </c>
      <c r="H322" s="4">
        <v>2459805.2999999998</v>
      </c>
      <c r="I322" s="4">
        <v>801911.91</v>
      </c>
      <c r="J322" s="4">
        <v>2121140.4300000002</v>
      </c>
      <c r="K322" s="4">
        <v>1580013.22</v>
      </c>
      <c r="L322" s="4">
        <v>1328999.52</v>
      </c>
      <c r="M322" s="4">
        <v>819493.44</v>
      </c>
      <c r="N322" s="4">
        <v>7793189.1099999994</v>
      </c>
      <c r="O322" s="4">
        <v>34945351.060000002</v>
      </c>
      <c r="P322" s="4">
        <v>1037652.22</v>
      </c>
      <c r="Q322" s="4">
        <v>795173.56</v>
      </c>
      <c r="R322" s="4">
        <v>771334.04</v>
      </c>
      <c r="S322" s="4">
        <v>1800930.29</v>
      </c>
      <c r="T322" s="4">
        <v>1131045.44</v>
      </c>
      <c r="U322" s="4">
        <v>122702.3</v>
      </c>
      <c r="V322" s="4">
        <v>1287036.51</v>
      </c>
      <c r="W322" s="4">
        <v>2270324.1800000002</v>
      </c>
      <c r="X322" s="4">
        <v>392858.51</v>
      </c>
      <c r="Y322" s="4">
        <v>1139486.07</v>
      </c>
      <c r="Z322" s="4">
        <v>1059545.74</v>
      </c>
      <c r="AA322" s="4">
        <v>28214635.609999999</v>
      </c>
      <c r="AB322" s="4">
        <v>1003692.36</v>
      </c>
      <c r="AC322" s="4">
        <v>62259026.07</v>
      </c>
      <c r="AD322" s="4">
        <v>4407922.8600000003</v>
      </c>
      <c r="AE322" s="4">
        <v>5540100.75</v>
      </c>
      <c r="AF322" s="4">
        <v>14078281.790000001</v>
      </c>
      <c r="AG322" s="4">
        <v>3108167.53</v>
      </c>
      <c r="AH322" s="4">
        <v>9440131.1999999993</v>
      </c>
      <c r="AI322" s="4">
        <v>793953.55</v>
      </c>
      <c r="AJ322" s="4">
        <v>1685872.29</v>
      </c>
      <c r="AK322" s="4">
        <v>1284190.95</v>
      </c>
      <c r="AL322" s="4">
        <v>2096731.77</v>
      </c>
      <c r="AM322" s="4">
        <v>3740219.71</v>
      </c>
      <c r="AN322" s="4">
        <v>8640071.6400000006</v>
      </c>
      <c r="AO322" s="4">
        <v>2056340.66</v>
      </c>
      <c r="AP322" s="4">
        <v>5258314.1100000003</v>
      </c>
      <c r="AQ322" s="4">
        <v>5056094.83</v>
      </c>
      <c r="AR322" s="4">
        <v>558417.56999999995</v>
      </c>
      <c r="AS322" s="4">
        <v>320124.53000000003</v>
      </c>
      <c r="AT322" s="4">
        <v>735965.83</v>
      </c>
      <c r="AU322" s="4">
        <v>2334345.9900000002</v>
      </c>
      <c r="AV322" s="4">
        <v>61264918.910000004</v>
      </c>
      <c r="AW322" s="4">
        <v>1315591.96</v>
      </c>
      <c r="AX322" s="4">
        <v>982160.08</v>
      </c>
      <c r="AY322" s="4">
        <v>2787112.42</v>
      </c>
      <c r="AZ322" s="4">
        <v>5334209.53</v>
      </c>
      <c r="BA322" s="4">
        <v>2311610.16</v>
      </c>
      <c r="BB322" s="4">
        <v>921340.84</v>
      </c>
      <c r="BC322" s="4">
        <v>1714717.8</v>
      </c>
      <c r="BD322" s="4">
        <v>24951854.879999999</v>
      </c>
      <c r="BE322" s="4">
        <v>943794.93</v>
      </c>
      <c r="BF322" s="4">
        <v>352900.86</v>
      </c>
      <c r="BG322" s="4">
        <v>0</v>
      </c>
      <c r="BH322" s="4">
        <f t="shared" si="51"/>
        <v>357664774.21000004</v>
      </c>
    </row>
    <row r="323" spans="1:60" x14ac:dyDescent="0.2">
      <c r="A323" s="3">
        <v>37377</v>
      </c>
      <c r="B323" s="4">
        <v>14059487.750000002</v>
      </c>
      <c r="C323" s="4">
        <v>872074.23999999999</v>
      </c>
      <c r="D323" s="4">
        <v>6438658.7000000002</v>
      </c>
      <c r="E323" s="4">
        <v>1709090.75</v>
      </c>
      <c r="F323" s="4">
        <v>1625716.64</v>
      </c>
      <c r="G323" s="4">
        <v>2534251.04</v>
      </c>
      <c r="H323" s="4">
        <v>2401746.83</v>
      </c>
      <c r="I323" s="4">
        <v>841831.15</v>
      </c>
      <c r="J323" s="4">
        <v>1913551.03</v>
      </c>
      <c r="K323" s="4">
        <v>1511857.91</v>
      </c>
      <c r="L323" s="4">
        <v>1260594.53</v>
      </c>
      <c r="M323" s="4">
        <v>821986.76</v>
      </c>
      <c r="N323" s="4">
        <v>7436555.5899999999</v>
      </c>
      <c r="O323" s="4">
        <v>32594530.330000002</v>
      </c>
      <c r="P323" s="4">
        <v>842017.6</v>
      </c>
      <c r="Q323" s="4">
        <v>726454.06</v>
      </c>
      <c r="R323" s="4">
        <v>715799.74</v>
      </c>
      <c r="S323" s="4">
        <v>1619363.63</v>
      </c>
      <c r="T323" s="4">
        <v>1089284.05</v>
      </c>
      <c r="U323" s="4">
        <v>97417.7</v>
      </c>
      <c r="V323" s="4">
        <v>1262216.25</v>
      </c>
      <c r="W323" s="4">
        <v>2257079.8199999998</v>
      </c>
      <c r="X323" s="4">
        <v>393176.93</v>
      </c>
      <c r="Y323" s="4">
        <v>1040270.23</v>
      </c>
      <c r="Z323" s="4">
        <v>998547.24</v>
      </c>
      <c r="AA323" s="4">
        <v>25339806.739999998</v>
      </c>
      <c r="AB323" s="4">
        <v>993103.96</v>
      </c>
      <c r="AC323" s="4">
        <v>60976503.900000006</v>
      </c>
      <c r="AD323" s="4">
        <v>4068321.98</v>
      </c>
      <c r="AE323" s="4">
        <v>5433846.5699999994</v>
      </c>
      <c r="AF323" s="4">
        <v>13423351.710000001</v>
      </c>
      <c r="AG323" s="4">
        <v>3014499.69</v>
      </c>
      <c r="AH323" s="4">
        <v>9301909.6999999993</v>
      </c>
      <c r="AI323" s="4">
        <v>868980.14</v>
      </c>
      <c r="AJ323" s="4">
        <v>1425054</v>
      </c>
      <c r="AK323" s="4">
        <v>1208908</v>
      </c>
      <c r="AL323" s="4">
        <v>1976224.54</v>
      </c>
      <c r="AM323" s="4">
        <v>3451868.12</v>
      </c>
      <c r="AN323" s="4">
        <v>8578429.2400000002</v>
      </c>
      <c r="AO323" s="4">
        <v>2024236.62</v>
      </c>
      <c r="AP323" s="4">
        <v>4991233.58</v>
      </c>
      <c r="AQ323" s="4">
        <v>4969189.3600000003</v>
      </c>
      <c r="AR323" s="4">
        <v>522120.48</v>
      </c>
      <c r="AS323" s="4">
        <v>303063.51</v>
      </c>
      <c r="AT323" s="4">
        <v>681902.53</v>
      </c>
      <c r="AU323" s="4">
        <v>2244340.2999999998</v>
      </c>
      <c r="AV323" s="4">
        <v>60635857.889999993</v>
      </c>
      <c r="AW323" s="4">
        <v>1276380.8799999999</v>
      </c>
      <c r="AX323" s="4">
        <v>876370.25</v>
      </c>
      <c r="AY323" s="4">
        <v>2208034.67</v>
      </c>
      <c r="AZ323" s="4">
        <v>5033316.3</v>
      </c>
      <c r="BA323" s="4">
        <v>2078902.18</v>
      </c>
      <c r="BB323" s="4">
        <v>812386.96</v>
      </c>
      <c r="BC323" s="4">
        <v>1617971.02</v>
      </c>
      <c r="BD323" s="4">
        <v>24115963.02</v>
      </c>
      <c r="BE323" s="4">
        <v>759690.14</v>
      </c>
      <c r="BF323" s="4">
        <v>316321.77</v>
      </c>
      <c r="BG323" s="4">
        <v>0</v>
      </c>
      <c r="BH323" s="4">
        <f t="shared" si="51"/>
        <v>342591650.24999988</v>
      </c>
    </row>
    <row r="324" spans="1:60" x14ac:dyDescent="0.2">
      <c r="A324" s="3">
        <v>37408</v>
      </c>
      <c r="B324" s="4">
        <v>19153168.329999998</v>
      </c>
      <c r="C324" s="4">
        <v>1377061.87</v>
      </c>
      <c r="D324" s="4">
        <v>8447397.4100000001</v>
      </c>
      <c r="E324" s="4">
        <v>2955630.62</v>
      </c>
      <c r="F324" s="4">
        <v>2645431.75</v>
      </c>
      <c r="G324" s="4">
        <v>3847017.17</v>
      </c>
      <c r="H324" s="4">
        <v>2870677.39</v>
      </c>
      <c r="I324" s="4">
        <v>1274626.19</v>
      </c>
      <c r="J324" s="4">
        <v>3291470.3</v>
      </c>
      <c r="K324" s="4">
        <v>2664046.0699999998</v>
      </c>
      <c r="L324" s="4">
        <v>2215568.15</v>
      </c>
      <c r="M324" s="4">
        <v>1269060.23</v>
      </c>
      <c r="N324" s="4">
        <v>10935580.199999999</v>
      </c>
      <c r="O324" s="4">
        <v>45362502.710000001</v>
      </c>
      <c r="P324" s="4">
        <v>1472675.78</v>
      </c>
      <c r="Q324" s="4">
        <v>1311198.6599999999</v>
      </c>
      <c r="R324" s="4">
        <v>1326728.1499999999</v>
      </c>
      <c r="S324" s="4">
        <v>3198643.88</v>
      </c>
      <c r="T324" s="4">
        <v>2105956.36</v>
      </c>
      <c r="U324" s="4">
        <v>177860.57</v>
      </c>
      <c r="V324" s="4">
        <v>2390990.9500000002</v>
      </c>
      <c r="W324" s="4">
        <v>3430585.7</v>
      </c>
      <c r="X324" s="4">
        <v>443061.85</v>
      </c>
      <c r="Y324" s="4">
        <v>1939181.22</v>
      </c>
      <c r="Z324" s="4">
        <v>1427170.59</v>
      </c>
      <c r="AA324" s="4">
        <v>37962832.960000001</v>
      </c>
      <c r="AB324" s="4">
        <v>1733401.51</v>
      </c>
      <c r="AC324" s="4">
        <v>82240577.799999997</v>
      </c>
      <c r="AD324" s="4">
        <v>4936795</v>
      </c>
      <c r="AE324" s="4">
        <v>9619307.3100000005</v>
      </c>
      <c r="AF324" s="4">
        <v>18000171.48</v>
      </c>
      <c r="AG324" s="4">
        <v>4642033.41</v>
      </c>
      <c r="AH324" s="4">
        <v>14755589.779999999</v>
      </c>
      <c r="AI324" s="4">
        <v>1400579.75</v>
      </c>
      <c r="AJ324" s="4">
        <v>2163277.0699999998</v>
      </c>
      <c r="AK324" s="4">
        <v>2413820.54</v>
      </c>
      <c r="AL324" s="4">
        <v>3514623.35</v>
      </c>
      <c r="AM324" s="4">
        <v>4769431.38</v>
      </c>
      <c r="AN324" s="4">
        <v>10916277.66</v>
      </c>
      <c r="AO324" s="4">
        <v>2937602.06</v>
      </c>
      <c r="AP324" s="4">
        <v>8773832.1899999995</v>
      </c>
      <c r="AQ324" s="4">
        <v>5574492.9900000002</v>
      </c>
      <c r="AR324" s="4">
        <v>1077970.75</v>
      </c>
      <c r="AS324" s="4">
        <v>627426.52</v>
      </c>
      <c r="AT324" s="4">
        <v>1040947.69</v>
      </c>
      <c r="AU324" s="4">
        <v>1097317.19</v>
      </c>
      <c r="AV324" s="4">
        <v>89281962.980000004</v>
      </c>
      <c r="AW324" s="4">
        <v>2212323.41</v>
      </c>
      <c r="AX324" s="4">
        <v>1444691.34</v>
      </c>
      <c r="AY324" s="4">
        <v>3331841.7</v>
      </c>
      <c r="AZ324" s="4">
        <v>8112865.3200000003</v>
      </c>
      <c r="BA324" s="4">
        <v>3699553.46</v>
      </c>
      <c r="BB324" s="4">
        <v>1459852.36</v>
      </c>
      <c r="BC324" s="4">
        <v>2167307.5699999998</v>
      </c>
      <c r="BD324" s="4">
        <v>31560757.760000002</v>
      </c>
      <c r="BE324" s="4">
        <v>1274318.06</v>
      </c>
      <c r="BF324" s="4">
        <v>496249.46</v>
      </c>
      <c r="BG324" s="4">
        <v>0</v>
      </c>
      <c r="BH324" s="4">
        <f t="shared" si="51"/>
        <v>492773323.90999997</v>
      </c>
    </row>
    <row r="325" spans="1:60" x14ac:dyDescent="0.2">
      <c r="A325" s="3">
        <v>37438</v>
      </c>
      <c r="B325" s="4">
        <v>16353435.810000001</v>
      </c>
      <c r="C325" s="4">
        <v>1036672.2</v>
      </c>
      <c r="D325" s="4">
        <v>6574567.7999999998</v>
      </c>
      <c r="E325" s="4">
        <v>2054277.28</v>
      </c>
      <c r="F325" s="4">
        <v>1902034.28</v>
      </c>
      <c r="G325" s="4">
        <v>2987961.82</v>
      </c>
      <c r="H325" s="4">
        <v>2771514.08</v>
      </c>
      <c r="I325" s="4">
        <v>820840.24</v>
      </c>
      <c r="J325" s="4">
        <v>2382116.2999999998</v>
      </c>
      <c r="K325" s="4">
        <v>1954525.68</v>
      </c>
      <c r="L325" s="4">
        <v>1462671.08</v>
      </c>
      <c r="M325" s="4">
        <v>1031058.61</v>
      </c>
      <c r="N325" s="4">
        <v>8657900.7599999998</v>
      </c>
      <c r="O325" s="4">
        <v>35390531.140000001</v>
      </c>
      <c r="P325" s="4">
        <v>1403121.88</v>
      </c>
      <c r="Q325" s="4">
        <v>870274.6</v>
      </c>
      <c r="R325" s="4">
        <v>873000.91</v>
      </c>
      <c r="S325" s="4">
        <v>2294557.0299999998</v>
      </c>
      <c r="T325" s="4">
        <v>1565786</v>
      </c>
      <c r="U325" s="4">
        <v>179755.08</v>
      </c>
      <c r="V325" s="4">
        <v>1612728.77</v>
      </c>
      <c r="W325" s="4">
        <v>2755761.87</v>
      </c>
      <c r="X325" s="4">
        <v>366232.21</v>
      </c>
      <c r="Y325" s="4">
        <v>1323851.49</v>
      </c>
      <c r="Z325" s="4">
        <v>1147656.1299999999</v>
      </c>
      <c r="AA325" s="4">
        <v>29524521.5</v>
      </c>
      <c r="AB325" s="4">
        <v>1324224.78</v>
      </c>
      <c r="AC325" s="4">
        <v>68393456.900000006</v>
      </c>
      <c r="AD325" s="4">
        <v>4782503.26</v>
      </c>
      <c r="AE325" s="4">
        <v>6334699.0099999998</v>
      </c>
      <c r="AF325" s="4">
        <v>15030980.33</v>
      </c>
      <c r="AG325" s="4">
        <v>3634380.24</v>
      </c>
      <c r="AH325" s="4">
        <v>11199640.26</v>
      </c>
      <c r="AI325" s="4">
        <v>824343.2</v>
      </c>
      <c r="AJ325" s="4">
        <v>1523896.55</v>
      </c>
      <c r="AK325" s="4">
        <v>1627489.49</v>
      </c>
      <c r="AL325" s="4">
        <v>2423706.83</v>
      </c>
      <c r="AM325" s="4">
        <v>4015944.94</v>
      </c>
      <c r="AN325" s="4">
        <v>10397767.189999999</v>
      </c>
      <c r="AO325" s="4">
        <v>2341402.6</v>
      </c>
      <c r="AP325" s="4">
        <v>5637835.8399999999</v>
      </c>
      <c r="AQ325" s="4">
        <v>5050331.8600000003</v>
      </c>
      <c r="AR325" s="4">
        <v>662548.9</v>
      </c>
      <c r="AS325" s="4">
        <v>463096.85</v>
      </c>
      <c r="AT325" s="4">
        <v>893623.67</v>
      </c>
      <c r="AU325" s="4">
        <v>2598380.61</v>
      </c>
      <c r="AV325" s="4">
        <v>70838943.209999993</v>
      </c>
      <c r="AW325" s="4">
        <v>1955146.15</v>
      </c>
      <c r="AX325" s="4">
        <v>888439.8</v>
      </c>
      <c r="AY325" s="4">
        <v>2297833.52</v>
      </c>
      <c r="AZ325" s="4">
        <v>6267151.8499999996</v>
      </c>
      <c r="BA325" s="4">
        <v>3328777.49</v>
      </c>
      <c r="BB325" s="4">
        <v>966803.6</v>
      </c>
      <c r="BC325" s="4">
        <v>1871544.04</v>
      </c>
      <c r="BD325" s="4">
        <v>26206205.550000001</v>
      </c>
      <c r="BE325" s="4">
        <v>904197.37</v>
      </c>
      <c r="BF325" s="4">
        <v>447603.7</v>
      </c>
      <c r="BG325" s="4">
        <v>0</v>
      </c>
      <c r="BH325" s="4">
        <f t="shared" si="51"/>
        <v>394430254.14000005</v>
      </c>
    </row>
    <row r="326" spans="1:60" x14ac:dyDescent="0.2">
      <c r="A326" s="3">
        <v>37469</v>
      </c>
      <c r="B326" s="4">
        <v>15564921.4</v>
      </c>
      <c r="C326" s="4">
        <v>902702.31</v>
      </c>
      <c r="D326" s="4">
        <v>6507141.2800000003</v>
      </c>
      <c r="E326" s="4">
        <v>1838317.36</v>
      </c>
      <c r="F326" s="4">
        <v>1765637.36</v>
      </c>
      <c r="G326" s="4">
        <v>2724131.48</v>
      </c>
      <c r="H326" s="4">
        <v>2656358.86</v>
      </c>
      <c r="I326" s="4">
        <v>738737.01</v>
      </c>
      <c r="J326" s="4">
        <v>2250191.2000000002</v>
      </c>
      <c r="K326" s="4">
        <v>1655928.87</v>
      </c>
      <c r="L326" s="4">
        <v>1340955.02</v>
      </c>
      <c r="M326" s="4">
        <v>914272.4</v>
      </c>
      <c r="N326" s="4">
        <v>8969875.5399999991</v>
      </c>
      <c r="O326" s="4">
        <v>34108328.490000002</v>
      </c>
      <c r="P326" s="4">
        <v>1203166.7</v>
      </c>
      <c r="Q326" s="4">
        <v>849356.32</v>
      </c>
      <c r="R326" s="4">
        <v>808161.54</v>
      </c>
      <c r="S326" s="4">
        <v>2057117.78</v>
      </c>
      <c r="T326" s="4">
        <v>1401247.85</v>
      </c>
      <c r="U326" s="4">
        <v>177295.61</v>
      </c>
      <c r="V326" s="4">
        <v>1493694.57</v>
      </c>
      <c r="W326" s="4">
        <v>2602050.0299999998</v>
      </c>
      <c r="X326" s="4">
        <v>373059.81</v>
      </c>
      <c r="Y326" s="4">
        <v>1168994.6499999999</v>
      </c>
      <c r="Z326" s="4">
        <v>1008732.64</v>
      </c>
      <c r="AA326" s="4">
        <v>27662417.129999999</v>
      </c>
      <c r="AB326" s="4">
        <v>1152691.3500000001</v>
      </c>
      <c r="AC326" s="4">
        <v>64219448.399999999</v>
      </c>
      <c r="AD326" s="4">
        <v>4646776.79</v>
      </c>
      <c r="AE326" s="4">
        <v>5778844.1600000001</v>
      </c>
      <c r="AF326" s="4">
        <v>14204664.359999999</v>
      </c>
      <c r="AG326" s="4">
        <v>3347851.82</v>
      </c>
      <c r="AH326" s="4">
        <v>10370716.41</v>
      </c>
      <c r="AI326" s="4">
        <v>739294.42</v>
      </c>
      <c r="AJ326" s="4">
        <v>1422041.94</v>
      </c>
      <c r="AK326" s="4">
        <v>1509341.37</v>
      </c>
      <c r="AL326" s="4">
        <v>2209912.06</v>
      </c>
      <c r="AM326" s="4">
        <v>3723367.51</v>
      </c>
      <c r="AN326" s="4">
        <v>9611029.0700000003</v>
      </c>
      <c r="AO326" s="4">
        <v>2179467.75</v>
      </c>
      <c r="AP326" s="4">
        <v>5295491.51</v>
      </c>
      <c r="AQ326" s="4">
        <v>5015068.34</v>
      </c>
      <c r="AR326" s="4">
        <v>636550.38</v>
      </c>
      <c r="AS326" s="4">
        <v>391634.34</v>
      </c>
      <c r="AT326" s="4">
        <v>808460.27</v>
      </c>
      <c r="AU326" s="4">
        <v>2422054.2999999998</v>
      </c>
      <c r="AV326" s="4">
        <v>66472880.75</v>
      </c>
      <c r="AW326" s="4">
        <v>1695914.24</v>
      </c>
      <c r="AX326" s="4">
        <v>876307.43</v>
      </c>
      <c r="AY326" s="4">
        <v>2384740.35</v>
      </c>
      <c r="AZ326" s="4">
        <v>5699263.4199999999</v>
      </c>
      <c r="BA326" s="4">
        <v>3191053.93</v>
      </c>
      <c r="BB326" s="4">
        <v>895899.47</v>
      </c>
      <c r="BC326" s="4">
        <v>1689691.5</v>
      </c>
      <c r="BD326" s="4">
        <v>24237591.559999999</v>
      </c>
      <c r="BE326" s="4">
        <v>851707.77</v>
      </c>
      <c r="BF326" s="4">
        <v>373981.21</v>
      </c>
      <c r="BG326" s="4">
        <v>0</v>
      </c>
      <c r="BH326" s="4">
        <f t="shared" si="51"/>
        <v>370796531.39000005</v>
      </c>
    </row>
    <row r="327" spans="1:60" x14ac:dyDescent="0.2">
      <c r="A327" s="3">
        <v>37500</v>
      </c>
      <c r="B327" s="4">
        <v>21549305.129999999</v>
      </c>
      <c r="C327" s="4">
        <v>1834789.82</v>
      </c>
      <c r="D327" s="4">
        <v>9462841.9800000004</v>
      </c>
      <c r="E327" s="4">
        <v>2947503.75</v>
      </c>
      <c r="F327" s="4">
        <v>2918074.38</v>
      </c>
      <c r="G327" s="4">
        <v>4936196.5999999996</v>
      </c>
      <c r="H327" s="4">
        <v>3265996.11</v>
      </c>
      <c r="I327" s="4">
        <v>1260151.05</v>
      </c>
      <c r="J327" s="4">
        <v>4158030.08</v>
      </c>
      <c r="K327" s="4">
        <v>3632445.61</v>
      </c>
      <c r="L327" s="4">
        <v>2254779.52</v>
      </c>
      <c r="M327" s="4">
        <v>1580681.25</v>
      </c>
      <c r="N327" s="4">
        <v>11562231.08</v>
      </c>
      <c r="O327" s="4">
        <v>47979716.659999996</v>
      </c>
      <c r="P327" s="4">
        <v>2643890.36</v>
      </c>
      <c r="Q327" s="4">
        <v>1692285.67</v>
      </c>
      <c r="R327" s="4">
        <v>1514307.78</v>
      </c>
      <c r="S327" s="4">
        <v>3726040.05</v>
      </c>
      <c r="T327" s="4">
        <v>2655318.52</v>
      </c>
      <c r="U327" s="4">
        <v>578285.34</v>
      </c>
      <c r="V327" s="4">
        <v>3260784.19</v>
      </c>
      <c r="W327" s="4">
        <v>4821868.5</v>
      </c>
      <c r="X327" s="4">
        <v>791947.63</v>
      </c>
      <c r="Y327" s="4">
        <v>2036904.12</v>
      </c>
      <c r="Z327" s="4">
        <v>1640249.26</v>
      </c>
      <c r="AA327" s="4">
        <v>35056862.829999998</v>
      </c>
      <c r="AB327" s="4">
        <v>1850599.24</v>
      </c>
      <c r="AC327" s="4">
        <v>97635110.709999993</v>
      </c>
      <c r="AD327" s="4">
        <v>6522773.2000000002</v>
      </c>
      <c r="AE327" s="4">
        <v>10611311.82</v>
      </c>
      <c r="AF327" s="4">
        <v>20787844.850000001</v>
      </c>
      <c r="AG327" s="4">
        <v>5156319.9400000004</v>
      </c>
      <c r="AH327" s="4">
        <v>17857585.890000001</v>
      </c>
      <c r="AI327" s="4">
        <v>1268476.69</v>
      </c>
      <c r="AJ327" s="4">
        <v>2543791.65</v>
      </c>
      <c r="AK327" s="4">
        <v>3055023.08</v>
      </c>
      <c r="AL327" s="4">
        <v>4470814.4800000004</v>
      </c>
      <c r="AM327" s="4">
        <v>6449062.3399999999</v>
      </c>
      <c r="AN327" s="4">
        <v>12400949.289999999</v>
      </c>
      <c r="AO327" s="4">
        <v>3639353.58</v>
      </c>
      <c r="AP327" s="4">
        <v>9701470.6600000001</v>
      </c>
      <c r="AQ327" s="4">
        <v>6759843.0199999996</v>
      </c>
      <c r="AR327" s="4">
        <v>1212562.45</v>
      </c>
      <c r="AS327" s="4">
        <v>982186.67</v>
      </c>
      <c r="AT327" s="4">
        <v>1605993.82</v>
      </c>
      <c r="AU327" s="4">
        <v>3975433</v>
      </c>
      <c r="AV327" s="4">
        <v>112806556.51000001</v>
      </c>
      <c r="AW327" s="4">
        <v>3554811.79</v>
      </c>
      <c r="AX327" s="4">
        <v>1366813.06</v>
      </c>
      <c r="AY327" s="4">
        <v>4108787.99</v>
      </c>
      <c r="AZ327" s="4">
        <v>10258283.789999999</v>
      </c>
      <c r="BA327" s="4">
        <v>5866231.5099999998</v>
      </c>
      <c r="BB327" s="4">
        <v>1922426.08</v>
      </c>
      <c r="BC327" s="4">
        <v>2719831.39</v>
      </c>
      <c r="BD327" s="4">
        <v>35250638.049999997</v>
      </c>
      <c r="BE327" s="4">
        <v>1662711.99</v>
      </c>
      <c r="BF327" s="4">
        <v>791190.39</v>
      </c>
      <c r="BG327" s="4">
        <v>0</v>
      </c>
      <c r="BH327" s="4">
        <f t="shared" si="51"/>
        <v>578556276.19999993</v>
      </c>
    </row>
    <row r="328" spans="1:60" x14ac:dyDescent="0.2">
      <c r="A328" s="3">
        <v>37530</v>
      </c>
      <c r="B328" s="4">
        <v>15531921.359999999</v>
      </c>
      <c r="C328" s="4">
        <v>921757.2</v>
      </c>
      <c r="D328" s="4">
        <v>6433369.1200000001</v>
      </c>
      <c r="E328" s="4">
        <v>1930231.34</v>
      </c>
      <c r="F328" s="4">
        <v>1764307.4</v>
      </c>
      <c r="G328" s="4">
        <v>2776954.64</v>
      </c>
      <c r="H328" s="4">
        <v>2559508.0499999998</v>
      </c>
      <c r="I328" s="4">
        <v>977724.9</v>
      </c>
      <c r="J328" s="4">
        <v>2191388.0499999998</v>
      </c>
      <c r="K328" s="4">
        <v>1753207.84</v>
      </c>
      <c r="L328" s="4">
        <v>1435830.31</v>
      </c>
      <c r="M328" s="4">
        <v>910698.14</v>
      </c>
      <c r="N328" s="4">
        <v>8378870.8200000003</v>
      </c>
      <c r="O328" s="4">
        <v>34812442.590000004</v>
      </c>
      <c r="P328" s="4">
        <v>1104676.3999999999</v>
      </c>
      <c r="Q328" s="4">
        <v>806645.48</v>
      </c>
      <c r="R328" s="4">
        <v>859274.66</v>
      </c>
      <c r="S328" s="4">
        <v>1907146.99</v>
      </c>
      <c r="T328" s="4">
        <v>1281147.07</v>
      </c>
      <c r="U328" s="4">
        <v>141847</v>
      </c>
      <c r="V328" s="4">
        <v>1608711.66</v>
      </c>
      <c r="W328" s="4">
        <v>2461828.37</v>
      </c>
      <c r="X328" s="4">
        <v>396660.16</v>
      </c>
      <c r="Y328" s="4">
        <v>1184566.8400000001</v>
      </c>
      <c r="Z328" s="4">
        <v>1037468.47</v>
      </c>
      <c r="AA328" s="4">
        <v>27440011.969999999</v>
      </c>
      <c r="AB328" s="4">
        <v>1140600.3</v>
      </c>
      <c r="AC328" s="4">
        <v>64356427.829999998</v>
      </c>
      <c r="AD328" s="4">
        <v>4634176.87</v>
      </c>
      <c r="AE328" s="4">
        <v>5955607.4000000004</v>
      </c>
      <c r="AF328" s="4">
        <v>14688096.189999999</v>
      </c>
      <c r="AG328" s="4">
        <v>3451226.82</v>
      </c>
      <c r="AH328" s="4">
        <v>10751834.77</v>
      </c>
      <c r="AI328" s="4">
        <v>777670.96</v>
      </c>
      <c r="AJ328" s="4">
        <v>1349747.54</v>
      </c>
      <c r="AK328" s="4">
        <v>1437545.85</v>
      </c>
      <c r="AL328" s="4">
        <v>2212267.17</v>
      </c>
      <c r="AM328" s="4">
        <v>3659443.02</v>
      </c>
      <c r="AN328" s="4">
        <v>9454909.8300000001</v>
      </c>
      <c r="AO328" s="4">
        <v>2312143.52</v>
      </c>
      <c r="AP328" s="4">
        <v>5121968.28</v>
      </c>
      <c r="AQ328" s="4">
        <v>5451628.8499999996</v>
      </c>
      <c r="AR328" s="4">
        <v>607581.48</v>
      </c>
      <c r="AS328" s="4">
        <v>346921.05</v>
      </c>
      <c r="AT328" s="4">
        <v>819031.96</v>
      </c>
      <c r="AU328" s="4">
        <v>2398128.35</v>
      </c>
      <c r="AV328" s="4">
        <v>62848572.710000001</v>
      </c>
      <c r="AW328" s="4">
        <v>1619708.31</v>
      </c>
      <c r="AX328" s="4">
        <v>900774.22</v>
      </c>
      <c r="AY328" s="4">
        <v>2519905.9900000002</v>
      </c>
      <c r="AZ328" s="4">
        <v>6071397.0700000003</v>
      </c>
      <c r="BA328" s="4">
        <v>2524059.7400000002</v>
      </c>
      <c r="BB328" s="4">
        <v>939077.82</v>
      </c>
      <c r="BC328" s="4">
        <v>1734072.86</v>
      </c>
      <c r="BD328" s="4">
        <v>26095705.52</v>
      </c>
      <c r="BE328" s="4">
        <v>838826.62</v>
      </c>
      <c r="BF328" s="4">
        <v>349974.36</v>
      </c>
      <c r="BG328" s="4">
        <v>0</v>
      </c>
      <c r="BH328" s="4">
        <f t="shared" si="51"/>
        <v>369977230.09000003</v>
      </c>
    </row>
    <row r="329" spans="1:60" x14ac:dyDescent="0.2">
      <c r="A329" s="3">
        <v>37561</v>
      </c>
      <c r="B329" s="4">
        <v>15390455.369999999</v>
      </c>
      <c r="C329" s="4">
        <v>917259.41</v>
      </c>
      <c r="D329" s="4">
        <v>6412827.4400000004</v>
      </c>
      <c r="E329" s="4">
        <v>1952289.93</v>
      </c>
      <c r="F329" s="4">
        <v>1731788.55</v>
      </c>
      <c r="G329" s="4">
        <v>2841399.04</v>
      </c>
      <c r="H329" s="4">
        <v>2581246.36</v>
      </c>
      <c r="I329" s="4">
        <v>937282.58</v>
      </c>
      <c r="J329" s="4">
        <v>2197668.69</v>
      </c>
      <c r="K329" s="4">
        <v>1686731.6</v>
      </c>
      <c r="L329" s="4">
        <v>1368196.06</v>
      </c>
      <c r="M329" s="4">
        <v>888549</v>
      </c>
      <c r="N329" s="4">
        <v>8266394.3099999996</v>
      </c>
      <c r="O329" s="4">
        <v>35010100.640000001</v>
      </c>
      <c r="P329" s="4">
        <v>1058936.22</v>
      </c>
      <c r="Q329" s="4">
        <v>774869.55</v>
      </c>
      <c r="R329" s="4">
        <v>773217.76</v>
      </c>
      <c r="S329" s="4">
        <v>1852694.83</v>
      </c>
      <c r="T329" s="4">
        <v>1242629.8</v>
      </c>
      <c r="U329" s="4">
        <v>123808.21</v>
      </c>
      <c r="V329" s="4">
        <v>1413007.41</v>
      </c>
      <c r="W329" s="4">
        <v>2363537.7000000002</v>
      </c>
      <c r="X329" s="4">
        <v>383284.31</v>
      </c>
      <c r="Y329" s="4">
        <v>1163667.1100000001</v>
      </c>
      <c r="Z329" s="4">
        <v>1004162.66</v>
      </c>
      <c r="AA329" s="4">
        <v>27371788.719999999</v>
      </c>
      <c r="AB329" s="4">
        <v>1113986.3899999999</v>
      </c>
      <c r="AC329" s="4">
        <v>63780573.460000001</v>
      </c>
      <c r="AD329" s="4">
        <v>4660514.05</v>
      </c>
      <c r="AE329" s="4">
        <v>5926225.5199999996</v>
      </c>
      <c r="AF329" s="4">
        <v>14425406.949999999</v>
      </c>
      <c r="AG329" s="4">
        <v>3456951.72</v>
      </c>
      <c r="AH329" s="4">
        <v>10648756.68</v>
      </c>
      <c r="AI329" s="4">
        <v>769957.04</v>
      </c>
      <c r="AJ329" s="4">
        <v>1280349.18</v>
      </c>
      <c r="AK329" s="4">
        <v>1397692.62</v>
      </c>
      <c r="AL329" s="4">
        <v>2108994.6800000002</v>
      </c>
      <c r="AM329" s="4">
        <v>3693484.1</v>
      </c>
      <c r="AN329" s="4">
        <v>9136779.5899999999</v>
      </c>
      <c r="AO329" s="4">
        <v>2251853.5099999998</v>
      </c>
      <c r="AP329" s="4">
        <v>5105626.59</v>
      </c>
      <c r="AQ329" s="4">
        <v>4917207.88</v>
      </c>
      <c r="AR329" s="4">
        <v>584800.07999999996</v>
      </c>
      <c r="AS329" s="4">
        <v>322544.46000000002</v>
      </c>
      <c r="AT329" s="4">
        <v>806373.33</v>
      </c>
      <c r="AU329" s="4">
        <v>2330794.23</v>
      </c>
      <c r="AV329" s="4">
        <v>61515970.560000002</v>
      </c>
      <c r="AW329" s="4">
        <v>1419756.57</v>
      </c>
      <c r="AX329" s="4">
        <v>870569.56</v>
      </c>
      <c r="AY329" s="4">
        <v>2473998.66</v>
      </c>
      <c r="AZ329" s="4">
        <v>5949322.9900000002</v>
      </c>
      <c r="BA329" s="4">
        <v>2495059.69</v>
      </c>
      <c r="BB329" s="4">
        <v>908416.7</v>
      </c>
      <c r="BC329" s="4">
        <v>1662393.09</v>
      </c>
      <c r="BD329" s="4">
        <v>24626700.940000001</v>
      </c>
      <c r="BE329" s="4">
        <v>844586.09</v>
      </c>
      <c r="BF329" s="4">
        <v>336242.31</v>
      </c>
      <c r="BG329" s="4">
        <v>0</v>
      </c>
      <c r="BH329" s="4">
        <f t="shared" si="51"/>
        <v>363529682.47999996</v>
      </c>
    </row>
    <row r="330" spans="1:60" x14ac:dyDescent="0.2">
      <c r="A330" s="3">
        <v>37591</v>
      </c>
      <c r="B330" s="4">
        <v>19592844.920000002</v>
      </c>
      <c r="C330" s="4">
        <v>1410023.84</v>
      </c>
      <c r="D330" s="4">
        <v>8752651.9399999995</v>
      </c>
      <c r="E330" s="4">
        <v>2812695.25</v>
      </c>
      <c r="F330" s="4">
        <v>2286027.11</v>
      </c>
      <c r="G330" s="4">
        <v>3985148.35</v>
      </c>
      <c r="H330" s="4">
        <v>3872064.58</v>
      </c>
      <c r="I330" s="4">
        <v>1542356.31</v>
      </c>
      <c r="J330" s="4">
        <v>2950518.21</v>
      </c>
      <c r="K330" s="4">
        <v>2873693.92</v>
      </c>
      <c r="L330" s="4">
        <v>2140454.92</v>
      </c>
      <c r="M330" s="4">
        <v>1279428.24</v>
      </c>
      <c r="N330" s="4">
        <v>10988423.51</v>
      </c>
      <c r="O330" s="4">
        <v>45642994.289999999</v>
      </c>
      <c r="P330" s="4">
        <v>1520230.19</v>
      </c>
      <c r="Q330" s="4">
        <v>1183454.8</v>
      </c>
      <c r="R330" s="4">
        <v>1194788.43</v>
      </c>
      <c r="S330" s="4">
        <v>2511196.6</v>
      </c>
      <c r="T330" s="4">
        <v>2182694.7999999998</v>
      </c>
      <c r="U330" s="4">
        <v>249538.14</v>
      </c>
      <c r="V330" s="4">
        <v>2064956.74</v>
      </c>
      <c r="W330" s="4">
        <v>3664684.9</v>
      </c>
      <c r="X330" s="4">
        <v>631354.41</v>
      </c>
      <c r="Y330" s="4">
        <v>1537770.41</v>
      </c>
      <c r="Z330" s="4">
        <v>1406687.18</v>
      </c>
      <c r="AA330" s="4">
        <v>32023295.100000001</v>
      </c>
      <c r="AB330" s="4">
        <v>1268363.76</v>
      </c>
      <c r="AC330" s="4">
        <v>86019855.609999999</v>
      </c>
      <c r="AD330" s="4">
        <v>6564462.4400000004</v>
      </c>
      <c r="AE330" s="4">
        <v>8510236.1999999993</v>
      </c>
      <c r="AF330" s="4">
        <v>19632997.789999999</v>
      </c>
      <c r="AG330" s="4">
        <v>4521785.1399999997</v>
      </c>
      <c r="AH330" s="4">
        <v>15773344.380000001</v>
      </c>
      <c r="AI330" s="4">
        <v>876791.93</v>
      </c>
      <c r="AJ330" s="4">
        <v>1997519.86</v>
      </c>
      <c r="AK330" s="4">
        <v>1986441.85</v>
      </c>
      <c r="AL330" s="4">
        <v>3960582.82</v>
      </c>
      <c r="AM330" s="4">
        <v>5339046.2300000004</v>
      </c>
      <c r="AN330" s="4">
        <v>14049617.050000001</v>
      </c>
      <c r="AO330" s="4">
        <v>3264406.95</v>
      </c>
      <c r="AP330" s="4">
        <v>8270764.3499999996</v>
      </c>
      <c r="AQ330" s="4">
        <v>6713033.5199999996</v>
      </c>
      <c r="AR330" s="4">
        <v>790495.62</v>
      </c>
      <c r="AS330" s="4">
        <v>749645.53</v>
      </c>
      <c r="AT330" s="4">
        <v>1264664.7</v>
      </c>
      <c r="AU330" s="4">
        <v>3106099.28</v>
      </c>
      <c r="AV330" s="4">
        <v>93680650.209999993</v>
      </c>
      <c r="AW330" s="4">
        <v>2330057.5</v>
      </c>
      <c r="AX330" s="4">
        <v>1308635.93</v>
      </c>
      <c r="AY330" s="4">
        <v>3751475.03</v>
      </c>
      <c r="AZ330" s="4">
        <v>9354223.2400000002</v>
      </c>
      <c r="BA330" s="4">
        <v>3450733.27</v>
      </c>
      <c r="BB330" s="4">
        <v>1373693.43</v>
      </c>
      <c r="BC330" s="4">
        <v>1969400.21</v>
      </c>
      <c r="BD330" s="4">
        <v>35058414.549999997</v>
      </c>
      <c r="BE330" s="4">
        <v>1263309.22</v>
      </c>
      <c r="BF330" s="4">
        <v>940525.62</v>
      </c>
      <c r="BG330" s="4">
        <v>0</v>
      </c>
      <c r="BH330" s="4">
        <f t="shared" si="51"/>
        <v>509441250.30999994</v>
      </c>
    </row>
    <row r="331" spans="1:60" ht="15.75" thickBot="1" x14ac:dyDescent="0.25">
      <c r="A331" s="3" t="s">
        <v>3</v>
      </c>
      <c r="B331" s="5">
        <f t="shared" ref="B331:AG331" si="52">SUM(B319:B330)</f>
        <v>204432553.56</v>
      </c>
      <c r="C331" s="5">
        <f t="shared" si="52"/>
        <v>13536193.390000001</v>
      </c>
      <c r="D331" s="5">
        <f t="shared" si="52"/>
        <v>87764818.439999998</v>
      </c>
      <c r="E331" s="5">
        <f t="shared" si="52"/>
        <v>27077310.960000001</v>
      </c>
      <c r="F331" s="5">
        <f t="shared" si="52"/>
        <v>24033761.339999996</v>
      </c>
      <c r="G331" s="5">
        <f t="shared" si="52"/>
        <v>39651564.689999998</v>
      </c>
      <c r="H331" s="5">
        <f t="shared" si="52"/>
        <v>34958509.899999999</v>
      </c>
      <c r="I331" s="5">
        <f t="shared" si="52"/>
        <v>11885046.670000002</v>
      </c>
      <c r="J331" s="5">
        <f t="shared" si="52"/>
        <v>31246527</v>
      </c>
      <c r="K331" s="5">
        <f t="shared" si="52"/>
        <v>25092773.109999999</v>
      </c>
      <c r="L331" s="5">
        <f t="shared" si="52"/>
        <v>19619573</v>
      </c>
      <c r="M331" s="5">
        <f t="shared" si="52"/>
        <v>11732659.49</v>
      </c>
      <c r="N331" s="5">
        <f t="shared" si="52"/>
        <v>111217082.36</v>
      </c>
      <c r="O331" s="5">
        <f t="shared" si="52"/>
        <v>457979463.11000007</v>
      </c>
      <c r="P331" s="5">
        <f t="shared" si="52"/>
        <v>15841902.49</v>
      </c>
      <c r="Q331" s="5">
        <f t="shared" si="52"/>
        <v>11760121.690000001</v>
      </c>
      <c r="R331" s="5">
        <f t="shared" si="52"/>
        <v>11657121.950000001</v>
      </c>
      <c r="S331" s="5">
        <f t="shared" si="52"/>
        <v>26714532.949999996</v>
      </c>
      <c r="T331" s="5">
        <f t="shared" si="52"/>
        <v>19692789.82</v>
      </c>
      <c r="U331" s="5">
        <f t="shared" si="52"/>
        <v>2275840.2399999998</v>
      </c>
      <c r="V331" s="5">
        <f t="shared" si="52"/>
        <v>21062576.109999996</v>
      </c>
      <c r="W331" s="5">
        <f t="shared" si="52"/>
        <v>33679600.460000001</v>
      </c>
      <c r="X331" s="5">
        <f t="shared" si="52"/>
        <v>5492530.6599999992</v>
      </c>
      <c r="Y331" s="5">
        <f t="shared" si="52"/>
        <v>15975275.379999999</v>
      </c>
      <c r="Z331" s="5">
        <f t="shared" si="52"/>
        <v>13666209.16</v>
      </c>
      <c r="AA331" s="5">
        <f t="shared" si="52"/>
        <v>358400034.37</v>
      </c>
      <c r="AB331" s="5">
        <f t="shared" si="52"/>
        <v>15200259.250000002</v>
      </c>
      <c r="AC331" s="5">
        <f t="shared" si="52"/>
        <v>870232146.08000016</v>
      </c>
      <c r="AD331" s="5">
        <f t="shared" si="52"/>
        <v>59090433.459999993</v>
      </c>
      <c r="AE331" s="5">
        <f t="shared" si="52"/>
        <v>84139679.590000004</v>
      </c>
      <c r="AF331" s="5">
        <f t="shared" si="52"/>
        <v>190637542.51999998</v>
      </c>
      <c r="AG331" s="5">
        <f t="shared" si="52"/>
        <v>45194873.269999996</v>
      </c>
      <c r="AH331" s="5">
        <f t="shared" ref="AH331:BG331" si="53">SUM(AH319:AH330)</f>
        <v>146555139.63</v>
      </c>
      <c r="AI331" s="5">
        <f t="shared" si="53"/>
        <v>10949401.379999999</v>
      </c>
      <c r="AJ331" s="5">
        <f t="shared" si="53"/>
        <v>18534429.789999999</v>
      </c>
      <c r="AK331" s="5">
        <f t="shared" si="53"/>
        <v>20339197.990000002</v>
      </c>
      <c r="AL331" s="5">
        <f t="shared" si="53"/>
        <v>32699867.530000001</v>
      </c>
      <c r="AM331" s="5">
        <f t="shared" si="53"/>
        <v>51324375.860000014</v>
      </c>
      <c r="AN331" s="5">
        <f t="shared" si="53"/>
        <v>123231353.04999998</v>
      </c>
      <c r="AO331" s="5">
        <f t="shared" si="53"/>
        <v>30677026.639999997</v>
      </c>
      <c r="AP331" s="5">
        <f t="shared" si="53"/>
        <v>76713051.840000004</v>
      </c>
      <c r="AQ331" s="5">
        <f t="shared" si="53"/>
        <v>66575220.769999996</v>
      </c>
      <c r="AR331" s="5">
        <f t="shared" si="53"/>
        <v>8903102.1400000006</v>
      </c>
      <c r="AS331" s="5">
        <f t="shared" si="53"/>
        <v>5787054.8200000003</v>
      </c>
      <c r="AT331" s="5">
        <f t="shared" si="53"/>
        <v>11088043.049999999</v>
      </c>
      <c r="AU331" s="5">
        <f t="shared" si="53"/>
        <v>29878946.93</v>
      </c>
      <c r="AV331" s="5">
        <f t="shared" si="53"/>
        <v>897817641.63000011</v>
      </c>
      <c r="AW331" s="5">
        <f t="shared" si="53"/>
        <v>22520588.629999999</v>
      </c>
      <c r="AX331" s="5">
        <f t="shared" si="53"/>
        <v>12663880.279999999</v>
      </c>
      <c r="AY331" s="5">
        <f t="shared" si="53"/>
        <v>34461706.189999998</v>
      </c>
      <c r="AZ331" s="5">
        <f t="shared" si="53"/>
        <v>83010460.25</v>
      </c>
      <c r="BA331" s="5">
        <f t="shared" si="53"/>
        <v>36338747.789999999</v>
      </c>
      <c r="BB331" s="5">
        <f t="shared" si="53"/>
        <v>13175659.009999998</v>
      </c>
      <c r="BC331" s="5">
        <f t="shared" si="53"/>
        <v>22133113.18</v>
      </c>
      <c r="BD331" s="5">
        <f t="shared" si="53"/>
        <v>336452635.90999997</v>
      </c>
      <c r="BE331" s="5">
        <f t="shared" si="53"/>
        <v>12077189.930000002</v>
      </c>
      <c r="BF331" s="5">
        <f t="shared" si="53"/>
        <v>5567110.7199999997</v>
      </c>
      <c r="BG331" s="5">
        <f t="shared" si="53"/>
        <v>0</v>
      </c>
      <c r="BH331" s="5">
        <f t="shared" si="51"/>
        <v>5010416251.4100008</v>
      </c>
    </row>
    <row r="332" spans="1:60" ht="15.75" thickTop="1" x14ac:dyDescent="0.2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</row>
    <row r="333" spans="1:60" x14ac:dyDescent="0.2">
      <c r="A333" s="3">
        <v>36892</v>
      </c>
      <c r="B333" s="4">
        <v>16162582.969999999</v>
      </c>
      <c r="C333" s="4">
        <v>1174681.19</v>
      </c>
      <c r="D333" s="4">
        <v>6709591.2300000004</v>
      </c>
      <c r="E333" s="4">
        <v>1887189.52</v>
      </c>
      <c r="F333" s="4">
        <v>1629643.84</v>
      </c>
      <c r="G333" s="4">
        <v>3091218.5</v>
      </c>
      <c r="H333" s="4">
        <v>2801248.92</v>
      </c>
      <c r="I333" s="4">
        <v>668302.15</v>
      </c>
      <c r="J333" s="4">
        <v>2112424.71</v>
      </c>
      <c r="K333" s="4">
        <v>1626728.24</v>
      </c>
      <c r="L333" s="4">
        <v>1465063.64</v>
      </c>
      <c r="M333" s="4">
        <v>563896.26</v>
      </c>
      <c r="N333" s="4">
        <v>8352804.6200000001</v>
      </c>
      <c r="O333" s="4">
        <v>35584360.409999996</v>
      </c>
      <c r="P333" s="4">
        <v>982171.2</v>
      </c>
      <c r="Q333" s="4">
        <v>754893.86</v>
      </c>
      <c r="R333" s="4">
        <v>745368.92</v>
      </c>
      <c r="S333" s="4">
        <v>1766845.68</v>
      </c>
      <c r="T333" s="4">
        <v>1232001.6399999999</v>
      </c>
      <c r="U333" s="4">
        <v>97255.55</v>
      </c>
      <c r="V333" s="4">
        <v>1243320.99</v>
      </c>
      <c r="W333" s="4">
        <v>2512086.66</v>
      </c>
      <c r="X333" s="4">
        <v>322152.73</v>
      </c>
      <c r="Y333" s="4">
        <v>1085458.99</v>
      </c>
      <c r="Z333" s="4">
        <v>983148.51</v>
      </c>
      <c r="AA333" s="4">
        <v>28789922.25</v>
      </c>
      <c r="AB333" s="4">
        <v>998934.75</v>
      </c>
      <c r="AC333" s="4">
        <v>68059971.909999996</v>
      </c>
      <c r="AD333" s="4">
        <v>4870232.7699999996</v>
      </c>
      <c r="AE333" s="4">
        <v>5688621.6299999999</v>
      </c>
      <c r="AF333" s="4">
        <v>14595741.140000001</v>
      </c>
      <c r="AG333" s="4">
        <v>3484200.05</v>
      </c>
      <c r="AH333" s="4">
        <v>9485534.6400000006</v>
      </c>
      <c r="AI333" s="4">
        <v>751678.01</v>
      </c>
      <c r="AJ333" s="4">
        <v>1212028.18</v>
      </c>
      <c r="AK333" s="4">
        <v>1228596</v>
      </c>
      <c r="AL333" s="4">
        <v>1917764.43</v>
      </c>
      <c r="AM333" s="4">
        <v>3839514.45</v>
      </c>
      <c r="AN333" s="4">
        <v>8914674.6600000001</v>
      </c>
      <c r="AO333" s="4">
        <v>2294775.4</v>
      </c>
      <c r="AP333" s="4">
        <v>4813000.09</v>
      </c>
      <c r="AQ333" s="4">
        <v>5565450.7800000003</v>
      </c>
      <c r="AR333" s="4">
        <v>517452.76</v>
      </c>
      <c r="AS333" s="4">
        <v>298033.89</v>
      </c>
      <c r="AT333" s="4">
        <v>780648.78</v>
      </c>
      <c r="AU333" s="4">
        <v>2184597.69</v>
      </c>
      <c r="AV333" s="4">
        <v>62175166.480000004</v>
      </c>
      <c r="AW333" s="4">
        <v>1335486.47</v>
      </c>
      <c r="AX333" s="4">
        <v>822601.38</v>
      </c>
      <c r="AY333" s="4">
        <v>2270235.12</v>
      </c>
      <c r="AZ333" s="4">
        <v>5478057.379999999</v>
      </c>
      <c r="BA333" s="4">
        <v>2184872.1</v>
      </c>
      <c r="BB333" s="4">
        <v>734713.04</v>
      </c>
      <c r="BC333" s="4">
        <v>1686734.61</v>
      </c>
      <c r="BD333" s="4">
        <v>26990781.57</v>
      </c>
      <c r="BE333" s="4">
        <v>745175.76</v>
      </c>
      <c r="BF333" s="4">
        <v>332669.53000000003</v>
      </c>
      <c r="BG333" s="4">
        <v>0</v>
      </c>
      <c r="BH333" s="4">
        <f t="shared" ref="BH333:BH345" si="54">SUM(B333:BG333)</f>
        <v>370602308.63</v>
      </c>
    </row>
    <row r="334" spans="1:60" x14ac:dyDescent="0.2">
      <c r="A334" s="3">
        <v>36923</v>
      </c>
      <c r="B334" s="4">
        <v>11684164.77</v>
      </c>
      <c r="C334" s="4">
        <v>670434.14</v>
      </c>
      <c r="D334" s="4">
        <v>4999895.53</v>
      </c>
      <c r="E334" s="4">
        <v>1434851.63</v>
      </c>
      <c r="F334" s="4">
        <v>1212119.21</v>
      </c>
      <c r="G334" s="4">
        <v>2264908.0099999998</v>
      </c>
      <c r="H334" s="4">
        <v>2126831.27</v>
      </c>
      <c r="I334" s="4">
        <v>499460.2</v>
      </c>
      <c r="J334" s="4">
        <v>1527891.81</v>
      </c>
      <c r="K334" s="4">
        <v>1159712.03</v>
      </c>
      <c r="L334" s="4">
        <v>1053669.93</v>
      </c>
      <c r="M334" s="4">
        <v>409416.97</v>
      </c>
      <c r="N334" s="4">
        <v>6119783.9799999995</v>
      </c>
      <c r="O334" s="4">
        <v>26691106.59</v>
      </c>
      <c r="P334" s="4">
        <v>681679.86</v>
      </c>
      <c r="Q334" s="4">
        <v>558464.4</v>
      </c>
      <c r="R334" s="4">
        <v>584544.07999999996</v>
      </c>
      <c r="S334" s="4">
        <v>1240530.0900000001</v>
      </c>
      <c r="T334" s="4">
        <v>911655.42</v>
      </c>
      <c r="U334" s="4">
        <v>67977.41</v>
      </c>
      <c r="V334" s="4">
        <v>935459.01</v>
      </c>
      <c r="W334" s="4">
        <v>1832515.03</v>
      </c>
      <c r="X334" s="4">
        <v>253068.58</v>
      </c>
      <c r="Y334" s="4">
        <v>779270.23</v>
      </c>
      <c r="Z334" s="4">
        <v>715985.92000000004</v>
      </c>
      <c r="AA334" s="4">
        <v>23498997.740000002</v>
      </c>
      <c r="AB334" s="4">
        <v>739752.29</v>
      </c>
      <c r="AC334" s="4">
        <v>49756472.910000004</v>
      </c>
      <c r="AD334" s="4">
        <v>3850842.97</v>
      </c>
      <c r="AE334" s="4">
        <v>4340702.25</v>
      </c>
      <c r="AF334" s="4">
        <v>11034485.85</v>
      </c>
      <c r="AG334" s="4">
        <v>2609844.9500000002</v>
      </c>
      <c r="AH334" s="4">
        <v>6939460.6200000001</v>
      </c>
      <c r="AI334" s="4">
        <v>576371.86</v>
      </c>
      <c r="AJ334" s="4">
        <v>889069.39</v>
      </c>
      <c r="AK334" s="4">
        <v>907171.34</v>
      </c>
      <c r="AL334" s="4">
        <v>1529568.85</v>
      </c>
      <c r="AM334" s="4">
        <v>2733399.27</v>
      </c>
      <c r="AN334" s="4">
        <v>6510054.8300000001</v>
      </c>
      <c r="AO334" s="4">
        <v>1631698.24</v>
      </c>
      <c r="AP334" s="4">
        <v>3574128.26</v>
      </c>
      <c r="AQ334" s="4">
        <v>3529904.37</v>
      </c>
      <c r="AR334" s="4">
        <v>365713.77</v>
      </c>
      <c r="AS334" s="4">
        <v>249993.28</v>
      </c>
      <c r="AT334" s="4">
        <v>537554.23</v>
      </c>
      <c r="AU334" s="4">
        <v>1657259.76</v>
      </c>
      <c r="AV334" s="4">
        <v>45687287.210000001</v>
      </c>
      <c r="AW334" s="4">
        <v>946074.88</v>
      </c>
      <c r="AX334" s="4">
        <v>609702.85</v>
      </c>
      <c r="AY334" s="4">
        <v>1673519.36</v>
      </c>
      <c r="AZ334" s="4">
        <v>4039709.76</v>
      </c>
      <c r="BA334" s="4">
        <v>1637821.31</v>
      </c>
      <c r="BB334" s="4">
        <v>544058.53</v>
      </c>
      <c r="BC334" s="4">
        <v>1415664.87</v>
      </c>
      <c r="BD334" s="4">
        <v>20094526.419999998</v>
      </c>
      <c r="BE334" s="4">
        <v>550950.61</v>
      </c>
      <c r="BF334" s="4">
        <v>249473.82</v>
      </c>
      <c r="BG334" s="4">
        <v>0</v>
      </c>
      <c r="BH334" s="4">
        <f t="shared" si="54"/>
        <v>275326632.75000006</v>
      </c>
    </row>
    <row r="335" spans="1:60" x14ac:dyDescent="0.2">
      <c r="A335" s="3">
        <v>36951</v>
      </c>
      <c r="B335" s="4">
        <v>22226703.260000002</v>
      </c>
      <c r="C335" s="4">
        <v>1373788.5</v>
      </c>
      <c r="D335" s="4">
        <v>9324821.8100000005</v>
      </c>
      <c r="E335" s="4">
        <v>2988977.28</v>
      </c>
      <c r="F335" s="4">
        <v>2258942.41</v>
      </c>
      <c r="G335" s="4">
        <v>4562777.05</v>
      </c>
      <c r="H335" s="4">
        <v>3706603.92</v>
      </c>
      <c r="I335" s="4">
        <v>1119496.2</v>
      </c>
      <c r="J335" s="4">
        <v>2886204.99</v>
      </c>
      <c r="K335" s="4">
        <v>2794058.63</v>
      </c>
      <c r="L335" s="4">
        <v>1942923.29</v>
      </c>
      <c r="M335" s="4">
        <v>789611.08</v>
      </c>
      <c r="N335" s="4">
        <v>12840573.969999999</v>
      </c>
      <c r="O335" s="4">
        <v>53628000.969999999</v>
      </c>
      <c r="P335" s="4">
        <v>1663413.97</v>
      </c>
      <c r="Q335" s="4">
        <v>1400840.38</v>
      </c>
      <c r="R335" s="4">
        <v>1103904.3799999999</v>
      </c>
      <c r="S335" s="4">
        <v>3093247.91</v>
      </c>
      <c r="T335" s="4">
        <v>2030981.55</v>
      </c>
      <c r="U335" s="4">
        <v>268699.02</v>
      </c>
      <c r="V335" s="4">
        <v>2469977.15</v>
      </c>
      <c r="W335" s="4">
        <v>3828209.98</v>
      </c>
      <c r="X335" s="4">
        <v>542882.25</v>
      </c>
      <c r="Y335" s="4">
        <v>1425777.67</v>
      </c>
      <c r="Z335" s="4">
        <v>1444681.73</v>
      </c>
      <c r="AA335" s="4">
        <v>33612813.740000002</v>
      </c>
      <c r="AB335" s="4">
        <v>1394633.2</v>
      </c>
      <c r="AC335" s="4">
        <v>95631557.780000001</v>
      </c>
      <c r="AD335" s="4">
        <v>6356559.6699999999</v>
      </c>
      <c r="AE335" s="4">
        <v>8285176.6100000003</v>
      </c>
      <c r="AF335" s="4">
        <v>20102803.57</v>
      </c>
      <c r="AG335" s="4">
        <v>5326733.93</v>
      </c>
      <c r="AH335" s="4">
        <v>14403742.970000001</v>
      </c>
      <c r="AI335" s="4">
        <v>1334573.8700000001</v>
      </c>
      <c r="AJ335" s="4">
        <v>1737495.41</v>
      </c>
      <c r="AK335" s="4">
        <v>2139952.4700000002</v>
      </c>
      <c r="AL335" s="4">
        <v>2931389</v>
      </c>
      <c r="AM335" s="4">
        <v>5529916.9100000001</v>
      </c>
      <c r="AN335" s="4">
        <v>10415405.6</v>
      </c>
      <c r="AO335" s="4">
        <v>3260235.32</v>
      </c>
      <c r="AP335" s="4">
        <v>8227454.0399999991</v>
      </c>
      <c r="AQ335" s="4">
        <v>7990771.6899999995</v>
      </c>
      <c r="AR335" s="4">
        <v>679683.73</v>
      </c>
      <c r="AS335" s="4">
        <v>529318.68000000005</v>
      </c>
      <c r="AT335" s="4">
        <v>831405.23</v>
      </c>
      <c r="AU335" s="4">
        <v>3030442.32</v>
      </c>
      <c r="AV335" s="4">
        <v>79868020.090000004</v>
      </c>
      <c r="AW335" s="4">
        <v>1355159.96</v>
      </c>
      <c r="AX335" s="4">
        <v>1501025.79</v>
      </c>
      <c r="AY335" s="4">
        <v>3084812.11</v>
      </c>
      <c r="AZ335" s="4">
        <v>8785441.6099999994</v>
      </c>
      <c r="BA335" s="4">
        <v>3332175.23</v>
      </c>
      <c r="BB335" s="4">
        <v>1133905.45</v>
      </c>
      <c r="BC335" s="4">
        <v>2252762.4300000002</v>
      </c>
      <c r="BD335" s="4">
        <v>36574507.870000005</v>
      </c>
      <c r="BE335" s="4">
        <v>1273953.9099999999</v>
      </c>
      <c r="BF335" s="4">
        <v>608138.65</v>
      </c>
      <c r="BG335" s="4">
        <v>0</v>
      </c>
      <c r="BH335" s="4">
        <f t="shared" si="54"/>
        <v>515238068.19000024</v>
      </c>
    </row>
    <row r="336" spans="1:60" x14ac:dyDescent="0.2">
      <c r="A336" s="3">
        <v>36982</v>
      </c>
      <c r="B336" s="4">
        <v>13703944.050000003</v>
      </c>
      <c r="C336" s="4">
        <v>887933.29</v>
      </c>
      <c r="D336" s="4">
        <v>6183223.2899999991</v>
      </c>
      <c r="E336" s="4">
        <v>1705807.39</v>
      </c>
      <c r="F336" s="4">
        <v>1552369.86</v>
      </c>
      <c r="G336" s="4">
        <v>2555198.21</v>
      </c>
      <c r="H336" s="4">
        <v>2365973.63</v>
      </c>
      <c r="I336" s="4">
        <v>685274.22</v>
      </c>
      <c r="J336" s="4">
        <v>1905419.8</v>
      </c>
      <c r="K336" s="4">
        <v>1517976.67</v>
      </c>
      <c r="L336" s="4">
        <v>1235762.57</v>
      </c>
      <c r="M336" s="4">
        <v>552183.31999999995</v>
      </c>
      <c r="N336" s="4">
        <v>7374984.3099999996</v>
      </c>
      <c r="O336" s="4">
        <v>33137151.490000002</v>
      </c>
      <c r="P336" s="4">
        <v>841804.53</v>
      </c>
      <c r="Q336" s="4">
        <v>699130.88</v>
      </c>
      <c r="R336" s="4">
        <v>770740.44</v>
      </c>
      <c r="S336" s="4">
        <v>1568628.86</v>
      </c>
      <c r="T336" s="4">
        <v>1128479.32</v>
      </c>
      <c r="U336" s="4">
        <v>104724.85</v>
      </c>
      <c r="V336" s="4">
        <v>1233643.53</v>
      </c>
      <c r="W336" s="4">
        <v>2475278.1</v>
      </c>
      <c r="X336" s="4">
        <v>363469.26</v>
      </c>
      <c r="Y336" s="4">
        <v>1101610.58</v>
      </c>
      <c r="Z336" s="4">
        <v>976974.58</v>
      </c>
      <c r="AA336" s="4">
        <v>26942812.359999999</v>
      </c>
      <c r="AB336" s="4">
        <v>984875.53</v>
      </c>
      <c r="AC336" s="4">
        <v>58844112.936666667</v>
      </c>
      <c r="AD336" s="4">
        <v>4437583.2300000004</v>
      </c>
      <c r="AE336" s="4">
        <v>5336392.95</v>
      </c>
      <c r="AF336" s="4">
        <v>13189342.080000002</v>
      </c>
      <c r="AG336" s="4">
        <v>2973354.05</v>
      </c>
      <c r="AH336" s="4">
        <v>8731378.0599999987</v>
      </c>
      <c r="AI336" s="4">
        <v>743179.66</v>
      </c>
      <c r="AJ336" s="4">
        <v>1391014.55</v>
      </c>
      <c r="AK336" s="4">
        <v>1167890.82</v>
      </c>
      <c r="AL336" s="4">
        <v>1817591.28</v>
      </c>
      <c r="AM336" s="4">
        <v>3490618.62</v>
      </c>
      <c r="AN336" s="4">
        <v>7262793.4199999999</v>
      </c>
      <c r="AO336" s="4">
        <v>2062137.35</v>
      </c>
      <c r="AP336" s="4">
        <v>4696584.8899999997</v>
      </c>
      <c r="AQ336" s="4">
        <v>4536612.25</v>
      </c>
      <c r="AR336" s="4">
        <v>527589.6</v>
      </c>
      <c r="AS336" s="4">
        <v>277716.28000000003</v>
      </c>
      <c r="AT336" s="4">
        <v>697412.18</v>
      </c>
      <c r="AU336" s="4">
        <v>2211053.77</v>
      </c>
      <c r="AV336" s="4">
        <v>55125060.57</v>
      </c>
      <c r="AW336" s="4">
        <v>1380703.04</v>
      </c>
      <c r="AX336" s="4">
        <v>825137.35</v>
      </c>
      <c r="AY336" s="4">
        <v>2156282.79</v>
      </c>
      <c r="AZ336" s="4">
        <v>4976122.01</v>
      </c>
      <c r="BA336" s="4">
        <v>1992929.86</v>
      </c>
      <c r="BB336" s="4">
        <v>830648.47</v>
      </c>
      <c r="BC336" s="4">
        <v>1620092.95</v>
      </c>
      <c r="BD336" s="4">
        <v>23760183.370000001</v>
      </c>
      <c r="BE336" s="4">
        <v>784678.51</v>
      </c>
      <c r="BF336" s="4">
        <v>339412.44</v>
      </c>
      <c r="BG336" s="4">
        <v>0</v>
      </c>
      <c r="BH336" s="4">
        <f t="shared" si="54"/>
        <v>332740984.25666672</v>
      </c>
    </row>
    <row r="337" spans="1:60" x14ac:dyDescent="0.2">
      <c r="A337" s="3">
        <v>37012</v>
      </c>
      <c r="B337" s="4">
        <v>14000573.649999999</v>
      </c>
      <c r="C337" s="4">
        <v>914901.03</v>
      </c>
      <c r="D337" s="4">
        <v>6442321.4399999995</v>
      </c>
      <c r="E337" s="4">
        <v>1692017.41</v>
      </c>
      <c r="F337" s="4">
        <v>1597388.89</v>
      </c>
      <c r="G337" s="4">
        <v>2633956.88</v>
      </c>
      <c r="H337" s="4">
        <v>2456285.75</v>
      </c>
      <c r="I337" s="4">
        <v>703425.79</v>
      </c>
      <c r="J337" s="4">
        <v>1990139.22</v>
      </c>
      <c r="K337" s="4">
        <v>1495623.06</v>
      </c>
      <c r="L337" s="4">
        <v>1294543.56</v>
      </c>
      <c r="M337" s="4">
        <v>559163.87</v>
      </c>
      <c r="N337" s="4">
        <v>7515638.5300000003</v>
      </c>
      <c r="O337" s="4">
        <v>33494559.829999998</v>
      </c>
      <c r="P337" s="4">
        <v>853418.44</v>
      </c>
      <c r="Q337" s="4">
        <v>706303.35</v>
      </c>
      <c r="R337" s="4">
        <v>733819.38</v>
      </c>
      <c r="S337" s="4">
        <v>1636002.04</v>
      </c>
      <c r="T337" s="4">
        <v>1169628.1200000001</v>
      </c>
      <c r="U337" s="4">
        <v>91863.28</v>
      </c>
      <c r="V337" s="4">
        <v>1247020.99</v>
      </c>
      <c r="W337" s="4">
        <v>2494826.34</v>
      </c>
      <c r="X337" s="4">
        <v>368343.6</v>
      </c>
      <c r="Y337" s="4">
        <v>1100085.22</v>
      </c>
      <c r="Z337" s="4">
        <v>968389.11</v>
      </c>
      <c r="AA337" s="4">
        <v>27311876.590000004</v>
      </c>
      <c r="AB337" s="4">
        <v>986308.86</v>
      </c>
      <c r="AC337" s="4">
        <v>59330087.950000003</v>
      </c>
      <c r="AD337" s="4">
        <v>5024255.25</v>
      </c>
      <c r="AE337" s="4">
        <v>5427319.959999999</v>
      </c>
      <c r="AF337" s="4">
        <v>13429656.939999999</v>
      </c>
      <c r="AG337" s="4">
        <v>3059954.45</v>
      </c>
      <c r="AH337" s="4">
        <v>10093828.91</v>
      </c>
      <c r="AI337" s="4">
        <v>772654.93</v>
      </c>
      <c r="AJ337" s="4">
        <v>1426012.02</v>
      </c>
      <c r="AK337" s="4">
        <v>1250390.7</v>
      </c>
      <c r="AL337" s="4">
        <v>1778140.61</v>
      </c>
      <c r="AM337" s="4">
        <v>3550754.82</v>
      </c>
      <c r="AN337" s="4">
        <v>7107785.0800000001</v>
      </c>
      <c r="AO337" s="4">
        <v>2049450.48</v>
      </c>
      <c r="AP337" s="4">
        <v>4735093.4400000004</v>
      </c>
      <c r="AQ337" s="4">
        <v>4656054.47</v>
      </c>
      <c r="AR337" s="4">
        <v>534232.93000000005</v>
      </c>
      <c r="AS337" s="4">
        <v>282472.07</v>
      </c>
      <c r="AT337" s="4">
        <v>742050.81</v>
      </c>
      <c r="AU337" s="4">
        <v>2234065.5</v>
      </c>
      <c r="AV337" s="4">
        <v>55305078.780000001</v>
      </c>
      <c r="AW337" s="4">
        <v>1314922.28</v>
      </c>
      <c r="AX337" s="4">
        <v>832409.8</v>
      </c>
      <c r="AY337" s="4">
        <v>2178925.98</v>
      </c>
      <c r="AZ337" s="4">
        <v>4965835.82</v>
      </c>
      <c r="BA337" s="4">
        <v>2064579.97</v>
      </c>
      <c r="BB337" s="4">
        <v>879881.17</v>
      </c>
      <c r="BC337" s="4">
        <v>1651398.76</v>
      </c>
      <c r="BD337" s="4">
        <v>23675977.41</v>
      </c>
      <c r="BE337" s="4">
        <v>807333.24</v>
      </c>
      <c r="BF337" s="4">
        <v>332969.24</v>
      </c>
      <c r="BG337" s="4">
        <v>0</v>
      </c>
      <c r="BH337" s="4">
        <f t="shared" si="54"/>
        <v>337951998.00000012</v>
      </c>
    </row>
    <row r="338" spans="1:60" x14ac:dyDescent="0.2">
      <c r="A338" s="3">
        <v>37043</v>
      </c>
      <c r="B338" s="4">
        <v>20664497.189999998</v>
      </c>
      <c r="C338" s="4">
        <v>1799220.53</v>
      </c>
      <c r="D338" s="4">
        <v>8877653.4699999988</v>
      </c>
      <c r="E338" s="4">
        <v>3300988.34</v>
      </c>
      <c r="F338" s="4">
        <v>2637187.5499999998</v>
      </c>
      <c r="G338" s="4">
        <v>4438980.49</v>
      </c>
      <c r="H338" s="4">
        <v>3427651.72</v>
      </c>
      <c r="I338" s="4">
        <v>1048474.75</v>
      </c>
      <c r="J338" s="4">
        <v>3073455.21</v>
      </c>
      <c r="K338" s="4">
        <v>2600056.38</v>
      </c>
      <c r="L338" s="4">
        <v>2040172.15</v>
      </c>
      <c r="M338" s="4">
        <v>644110.55000000005</v>
      </c>
      <c r="N338" s="4">
        <v>11307760.530000001</v>
      </c>
      <c r="O338" s="4">
        <v>44709941.420000002</v>
      </c>
      <c r="P338" s="4">
        <v>1628187.56</v>
      </c>
      <c r="Q338" s="4">
        <v>937255.37</v>
      </c>
      <c r="R338" s="4">
        <v>1180620.8799999999</v>
      </c>
      <c r="S338" s="4">
        <v>2823429.74</v>
      </c>
      <c r="T338" s="4">
        <v>2628394.9</v>
      </c>
      <c r="U338" s="4">
        <v>262687.33</v>
      </c>
      <c r="V338" s="4">
        <v>2118010.56</v>
      </c>
      <c r="W338" s="4">
        <v>3107772.55</v>
      </c>
      <c r="X338" s="4">
        <v>738200.26</v>
      </c>
      <c r="Y338" s="4">
        <v>1674122.56</v>
      </c>
      <c r="Z338" s="4">
        <v>1442014.99</v>
      </c>
      <c r="AA338" s="4">
        <v>30547888.299999997</v>
      </c>
      <c r="AB338" s="4">
        <v>1503317.43</v>
      </c>
      <c r="AC338" s="4">
        <v>87754118.539999992</v>
      </c>
      <c r="AD338" s="4">
        <v>5498964.5600000005</v>
      </c>
      <c r="AE338" s="4">
        <v>7847766.8600000003</v>
      </c>
      <c r="AF338" s="4">
        <v>19431111.129999999</v>
      </c>
      <c r="AG338" s="4">
        <v>4556001.58</v>
      </c>
      <c r="AH338" s="4">
        <v>15226282.199999999</v>
      </c>
      <c r="AI338" s="4">
        <v>1129823.1599999999</v>
      </c>
      <c r="AJ338" s="4">
        <v>1968014.83</v>
      </c>
      <c r="AK338" s="4">
        <v>1951715.13</v>
      </c>
      <c r="AL338" s="4">
        <v>3091889.2</v>
      </c>
      <c r="AM338" s="4">
        <v>5557471.75</v>
      </c>
      <c r="AN338" s="4">
        <v>10992973.539999999</v>
      </c>
      <c r="AO338" s="4">
        <v>3087486.46</v>
      </c>
      <c r="AP338" s="4">
        <v>7369293.5600000005</v>
      </c>
      <c r="AQ338" s="4">
        <v>4092367.68</v>
      </c>
      <c r="AR338" s="4">
        <v>838390.01</v>
      </c>
      <c r="AS338" s="4">
        <v>709493.61</v>
      </c>
      <c r="AT338" s="4">
        <v>989065.08</v>
      </c>
      <c r="AU338" s="4">
        <v>3456559.15</v>
      </c>
      <c r="AV338" s="4">
        <v>82686415.819999993</v>
      </c>
      <c r="AW338" s="4">
        <v>2206578.4300000002</v>
      </c>
      <c r="AX338" s="4">
        <v>1418845.93</v>
      </c>
      <c r="AY338" s="4">
        <v>3540042.93</v>
      </c>
      <c r="AZ338" s="4">
        <v>9846426.0200000014</v>
      </c>
      <c r="BA338" s="4">
        <v>3223855.18</v>
      </c>
      <c r="BB338" s="4">
        <v>1408711.32</v>
      </c>
      <c r="BC338" s="4">
        <v>2578814.5499999998</v>
      </c>
      <c r="BD338" s="4">
        <v>33060619.710000001</v>
      </c>
      <c r="BE338" s="4">
        <v>1308791.8899999999</v>
      </c>
      <c r="BF338" s="4">
        <v>678400.53</v>
      </c>
      <c r="BG338" s="4">
        <v>0</v>
      </c>
      <c r="BH338" s="4">
        <f t="shared" si="54"/>
        <v>488668343.04999989</v>
      </c>
    </row>
    <row r="339" spans="1:60" x14ac:dyDescent="0.2">
      <c r="A339" s="3">
        <v>37073</v>
      </c>
      <c r="B339" s="4">
        <v>15792219.469999999</v>
      </c>
      <c r="C339" s="4">
        <v>1036469.74</v>
      </c>
      <c r="D339" s="4">
        <v>6589740.3800000008</v>
      </c>
      <c r="E339" s="4">
        <v>1923503.42</v>
      </c>
      <c r="F339" s="4">
        <v>1841085.02</v>
      </c>
      <c r="G339" s="4">
        <v>3039527.78</v>
      </c>
      <c r="H339" s="4">
        <v>2587150.54</v>
      </c>
      <c r="I339" s="4">
        <v>812895.5</v>
      </c>
      <c r="J339" s="4">
        <v>2111070.41</v>
      </c>
      <c r="K339" s="4">
        <v>1841837.57</v>
      </c>
      <c r="L339" s="4">
        <v>1405924.85</v>
      </c>
      <c r="M339" s="4">
        <v>665016.44999999995</v>
      </c>
      <c r="N339" s="4">
        <v>8358767.2999999998</v>
      </c>
      <c r="O339" s="4">
        <v>35174392.390000001</v>
      </c>
      <c r="P339" s="4">
        <v>1323194.58</v>
      </c>
      <c r="Q339" s="4">
        <v>829143.83</v>
      </c>
      <c r="R339" s="4">
        <v>816042.04</v>
      </c>
      <c r="S339" s="4">
        <v>2144999.46</v>
      </c>
      <c r="T339" s="4">
        <v>1505659.71</v>
      </c>
      <c r="U339" s="4">
        <v>191212.59</v>
      </c>
      <c r="V339" s="4">
        <v>1447580.84</v>
      </c>
      <c r="W339" s="4">
        <v>2955242.76</v>
      </c>
      <c r="X339" s="4">
        <v>391506.05</v>
      </c>
      <c r="Y339" s="4">
        <v>1276826.79</v>
      </c>
      <c r="Z339" s="4">
        <v>1115419.53</v>
      </c>
      <c r="AA339" s="4">
        <v>29999841.719999999</v>
      </c>
      <c r="AB339" s="4">
        <v>1205402.67</v>
      </c>
      <c r="AC339" s="4">
        <v>66556813.900000006</v>
      </c>
      <c r="AD339" s="4">
        <v>4803195.3099999996</v>
      </c>
      <c r="AE339" s="4">
        <v>6150109.5200000005</v>
      </c>
      <c r="AF339" s="4">
        <v>14835275.75</v>
      </c>
      <c r="AG339" s="4">
        <v>3347084.47</v>
      </c>
      <c r="AH339" s="4">
        <v>10624394.91</v>
      </c>
      <c r="AI339" s="4">
        <v>786536.28</v>
      </c>
      <c r="AJ339" s="4">
        <v>1440249.16</v>
      </c>
      <c r="AK339" s="4">
        <v>1514797.91</v>
      </c>
      <c r="AL339" s="4">
        <v>2212676.69</v>
      </c>
      <c r="AM339" s="4">
        <v>4079332.31</v>
      </c>
      <c r="AN339" s="4">
        <v>8042009.9100000001</v>
      </c>
      <c r="AO339" s="4">
        <v>2400270.2400000002</v>
      </c>
      <c r="AP339" s="4">
        <v>5730901.6799999997</v>
      </c>
      <c r="AQ339" s="4">
        <v>5282274.6399999997</v>
      </c>
      <c r="AR339" s="4">
        <v>595051.32999999996</v>
      </c>
      <c r="AS339" s="4">
        <v>439886.54</v>
      </c>
      <c r="AT339" s="4">
        <v>911455.62</v>
      </c>
      <c r="AU339" s="4">
        <v>2649295.1</v>
      </c>
      <c r="AV339" s="4">
        <v>65991629.060000002</v>
      </c>
      <c r="AW339" s="4">
        <v>1898483.61</v>
      </c>
      <c r="AX339" s="4">
        <v>898850.29</v>
      </c>
      <c r="AY339" s="4">
        <v>2544875.7999999998</v>
      </c>
      <c r="AZ339" s="4">
        <v>6164064.5999999996</v>
      </c>
      <c r="BA339" s="4">
        <v>3169541</v>
      </c>
      <c r="BB339" s="4">
        <v>990008.77</v>
      </c>
      <c r="BC339" s="4">
        <v>1808856.62</v>
      </c>
      <c r="BD339" s="4">
        <v>26452804.039999999</v>
      </c>
      <c r="BE339" s="4">
        <v>935502.51</v>
      </c>
      <c r="BF339" s="4">
        <v>404729.59999999998</v>
      </c>
      <c r="BG339" s="4">
        <v>0</v>
      </c>
      <c r="BH339" s="4">
        <f t="shared" si="54"/>
        <v>382042630.56000012</v>
      </c>
    </row>
    <row r="340" spans="1:60" x14ac:dyDescent="0.2">
      <c r="A340" s="3">
        <v>37104</v>
      </c>
      <c r="B340" s="4">
        <v>14862608.310000001</v>
      </c>
      <c r="C340" s="4">
        <v>887531.89</v>
      </c>
      <c r="D340" s="4">
        <v>6337042.6799999997</v>
      </c>
      <c r="E340" s="4">
        <v>1742586.31</v>
      </c>
      <c r="F340" s="4">
        <v>1692794.27</v>
      </c>
      <c r="G340" s="4">
        <v>2680813.8199999998</v>
      </c>
      <c r="H340" s="4">
        <v>2485764.16</v>
      </c>
      <c r="I340" s="4">
        <v>705989.43</v>
      </c>
      <c r="J340" s="4">
        <v>2003655.54</v>
      </c>
      <c r="K340" s="4">
        <v>1628615.03</v>
      </c>
      <c r="L340" s="4">
        <v>1301686.31</v>
      </c>
      <c r="M340" s="4">
        <v>589748.65</v>
      </c>
      <c r="N340" s="4">
        <v>7844045.1900000004</v>
      </c>
      <c r="O340" s="4">
        <v>33342944.299999997</v>
      </c>
      <c r="P340" s="4">
        <v>1161680.8899999999</v>
      </c>
      <c r="Q340" s="4">
        <v>769291.49</v>
      </c>
      <c r="R340" s="4">
        <v>777188.63</v>
      </c>
      <c r="S340" s="4">
        <v>2058314.9</v>
      </c>
      <c r="T340" s="4">
        <v>1343785.12</v>
      </c>
      <c r="U340" s="4">
        <v>167689.18</v>
      </c>
      <c r="V340" s="4">
        <v>1332567.73</v>
      </c>
      <c r="W340" s="4">
        <v>2703699.92</v>
      </c>
      <c r="X340" s="4">
        <v>344960.47</v>
      </c>
      <c r="Y340" s="4">
        <v>1190917.31</v>
      </c>
      <c r="Z340" s="4">
        <v>1021473.99</v>
      </c>
      <c r="AA340" s="4">
        <v>27978028.750000004</v>
      </c>
      <c r="AB340" s="4">
        <v>1087338.77</v>
      </c>
      <c r="AC340" s="4">
        <v>62639007.920000002</v>
      </c>
      <c r="AD340" s="4">
        <v>4533422.6100000003</v>
      </c>
      <c r="AE340" s="4">
        <v>5705029.9000000004</v>
      </c>
      <c r="AF340" s="4">
        <v>14098252.920000002</v>
      </c>
      <c r="AG340" s="4">
        <v>3254388.14</v>
      </c>
      <c r="AH340" s="4">
        <v>10151585.310000001</v>
      </c>
      <c r="AI340" s="4">
        <v>710242.37</v>
      </c>
      <c r="AJ340" s="4">
        <v>1361525.58</v>
      </c>
      <c r="AK340" s="4">
        <v>1426524.64</v>
      </c>
      <c r="AL340" s="4">
        <v>2019981.48</v>
      </c>
      <c r="AM340" s="4">
        <v>3766798.6</v>
      </c>
      <c r="AN340" s="4">
        <v>7543696.1699999999</v>
      </c>
      <c r="AO340" s="4">
        <v>2178974.2000000002</v>
      </c>
      <c r="AP340" s="4">
        <v>5471323.4499999993</v>
      </c>
      <c r="AQ340" s="4">
        <v>4643889.7699999996</v>
      </c>
      <c r="AR340" s="4">
        <v>604840.47</v>
      </c>
      <c r="AS340" s="4">
        <v>377391.72</v>
      </c>
      <c r="AT340" s="4">
        <v>846986.63</v>
      </c>
      <c r="AU340" s="4">
        <v>2451253.0499999998</v>
      </c>
      <c r="AV340" s="4">
        <v>62093656.18</v>
      </c>
      <c r="AW340" s="4">
        <v>1615388.89</v>
      </c>
      <c r="AX340" s="4">
        <v>888210.73</v>
      </c>
      <c r="AY340" s="4">
        <v>2336330.9500000002</v>
      </c>
      <c r="AZ340" s="4">
        <v>5416535.3600000003</v>
      </c>
      <c r="BA340" s="4">
        <v>3078488.25</v>
      </c>
      <c r="BB340" s="4">
        <v>867593.54</v>
      </c>
      <c r="BC340" s="4">
        <v>1698815.75</v>
      </c>
      <c r="BD340" s="4">
        <v>24075583.339999996</v>
      </c>
      <c r="BE340" s="4">
        <v>862094.52</v>
      </c>
      <c r="BF340" s="4">
        <v>375674.5</v>
      </c>
      <c r="BG340" s="4">
        <v>0</v>
      </c>
      <c r="BH340" s="4">
        <f t="shared" si="54"/>
        <v>357136249.9799999</v>
      </c>
    </row>
    <row r="341" spans="1:60" x14ac:dyDescent="0.2">
      <c r="A341" s="3">
        <v>37135</v>
      </c>
      <c r="B341" s="4">
        <v>18639700.219999999</v>
      </c>
      <c r="C341" s="4">
        <v>1666668.26</v>
      </c>
      <c r="D341" s="4">
        <v>8029758.8899999997</v>
      </c>
      <c r="E341" s="4">
        <v>10282033.579999998</v>
      </c>
      <c r="F341" s="4">
        <v>2365441.9900000002</v>
      </c>
      <c r="G341" s="4">
        <v>3999976.24</v>
      </c>
      <c r="H341" s="4">
        <v>3260561.7</v>
      </c>
      <c r="I341" s="4">
        <v>1259216.1299999999</v>
      </c>
      <c r="J341" s="4">
        <v>2910572.39</v>
      </c>
      <c r="K341" s="4">
        <v>2391760.96</v>
      </c>
      <c r="L341" s="4">
        <v>1810477.83</v>
      </c>
      <c r="M341" s="4">
        <v>946414.26</v>
      </c>
      <c r="N341" s="4">
        <v>10068581.32</v>
      </c>
      <c r="O341" s="4">
        <v>41134356.170000002</v>
      </c>
      <c r="P341" s="4">
        <v>1790575.23</v>
      </c>
      <c r="Q341" s="4">
        <v>1622461.24</v>
      </c>
      <c r="R341" s="4">
        <v>1127428.6499999999</v>
      </c>
      <c r="S341" s="4">
        <v>2619566.2999999998</v>
      </c>
      <c r="T341" s="4">
        <v>2120658.7999999998</v>
      </c>
      <c r="U341" s="4">
        <v>466654.32</v>
      </c>
      <c r="V341" s="4">
        <v>2338292.54</v>
      </c>
      <c r="W341" s="4">
        <v>3373033.8</v>
      </c>
      <c r="X341" s="4">
        <v>592825.26</v>
      </c>
      <c r="Y341" s="4">
        <v>1848157.25</v>
      </c>
      <c r="Z341" s="4">
        <v>1507849.17</v>
      </c>
      <c r="AA341" s="4">
        <v>31825921.169999998</v>
      </c>
      <c r="AB341" s="4">
        <v>1264828.57</v>
      </c>
      <c r="AC341" s="4">
        <v>72761500.980000004</v>
      </c>
      <c r="AD341" s="4">
        <v>5816858.5800000001</v>
      </c>
      <c r="AE341" s="4">
        <v>7652126.2700000014</v>
      </c>
      <c r="AF341" s="4">
        <v>15347211.540000001</v>
      </c>
      <c r="AG341" s="4">
        <v>4022502.66</v>
      </c>
      <c r="AH341" s="4">
        <v>12969410.329999998</v>
      </c>
      <c r="AI341" s="4">
        <v>1023878.39</v>
      </c>
      <c r="AJ341" s="4">
        <v>1912143.02</v>
      </c>
      <c r="AK341" s="4">
        <v>1906538.26</v>
      </c>
      <c r="AL341" s="4">
        <v>2776463.52</v>
      </c>
      <c r="AM341" s="4">
        <v>4541048.53</v>
      </c>
      <c r="AN341" s="4">
        <v>9679625.5700000003</v>
      </c>
      <c r="AO341" s="4">
        <v>3164013.56</v>
      </c>
      <c r="AP341" s="4">
        <v>6941990.5299999993</v>
      </c>
      <c r="AQ341" s="4">
        <v>5449819.4799999995</v>
      </c>
      <c r="AR341" s="4">
        <v>873112.32</v>
      </c>
      <c r="AS341" s="4">
        <v>734100.21</v>
      </c>
      <c r="AT341" s="4">
        <v>1279970.33</v>
      </c>
      <c r="AU341" s="4">
        <v>3361099</v>
      </c>
      <c r="AV341" s="4">
        <v>75363679.879999995</v>
      </c>
      <c r="AW341" s="4">
        <v>2252000.81</v>
      </c>
      <c r="AX341" s="4">
        <v>1200495.8400000001</v>
      </c>
      <c r="AY341" s="4">
        <v>3905419.16</v>
      </c>
      <c r="AZ341" s="4">
        <v>7416874.8200000003</v>
      </c>
      <c r="BA341" s="4">
        <v>4011226.36</v>
      </c>
      <c r="BB341" s="4">
        <v>1495770.5</v>
      </c>
      <c r="BC341" s="4">
        <v>2476846.5</v>
      </c>
      <c r="BD341" s="4">
        <v>31584023.399999999</v>
      </c>
      <c r="BE341" s="4">
        <v>1318203.18</v>
      </c>
      <c r="BF341" s="4">
        <v>884906.78</v>
      </c>
      <c r="BG341" s="4">
        <v>0</v>
      </c>
      <c r="BH341" s="4">
        <f t="shared" si="54"/>
        <v>455386632.54999983</v>
      </c>
    </row>
    <row r="342" spans="1:60" x14ac:dyDescent="0.2">
      <c r="A342" s="3">
        <v>37165</v>
      </c>
      <c r="B342" s="4">
        <v>14163345.560000001</v>
      </c>
      <c r="C342" s="4">
        <v>855388.18</v>
      </c>
      <c r="D342" s="4">
        <v>5957729.1900000004</v>
      </c>
      <c r="E342" s="4">
        <v>1657696.59</v>
      </c>
      <c r="F342" s="4">
        <v>1580192.67</v>
      </c>
      <c r="G342" s="4">
        <v>2444803.98</v>
      </c>
      <c r="H342" s="4">
        <v>2347544.0699999998</v>
      </c>
      <c r="I342" s="4">
        <v>679008.25</v>
      </c>
      <c r="J342" s="4">
        <v>1950734.92</v>
      </c>
      <c r="K342" s="4">
        <v>1490678.93</v>
      </c>
      <c r="L342" s="4">
        <v>1258913.1200000001</v>
      </c>
      <c r="M342" s="4">
        <v>575767.25</v>
      </c>
      <c r="N342" s="4">
        <v>7324234.1699999999</v>
      </c>
      <c r="O342" s="4">
        <v>31166023.129999999</v>
      </c>
      <c r="P342" s="4">
        <v>899505.32</v>
      </c>
      <c r="Q342" s="4">
        <v>725788.33</v>
      </c>
      <c r="R342" s="4">
        <v>722402.26</v>
      </c>
      <c r="S342" s="4">
        <v>1676783.07</v>
      </c>
      <c r="T342" s="4">
        <v>1209859.42</v>
      </c>
      <c r="U342" s="4">
        <v>122269.05</v>
      </c>
      <c r="V342" s="4">
        <v>1332698.57</v>
      </c>
      <c r="W342" s="4">
        <v>2381190.58</v>
      </c>
      <c r="X342" s="4">
        <v>353866.27</v>
      </c>
      <c r="Y342" s="4">
        <v>1101576.48</v>
      </c>
      <c r="Z342" s="4">
        <v>887016.85</v>
      </c>
      <c r="AA342" s="4">
        <v>25489291.82</v>
      </c>
      <c r="AB342" s="4">
        <v>989406.97</v>
      </c>
      <c r="AC342" s="4">
        <v>56962008.230000004</v>
      </c>
      <c r="AD342" s="4">
        <v>4104922.53</v>
      </c>
      <c r="AE342" s="4">
        <v>5346856.2</v>
      </c>
      <c r="AF342" s="4">
        <v>12983042.360000001</v>
      </c>
      <c r="AG342" s="4">
        <v>3068325</v>
      </c>
      <c r="AH342" s="4">
        <v>9205213.0399999991</v>
      </c>
      <c r="AI342" s="4">
        <v>682194.68</v>
      </c>
      <c r="AJ342" s="4">
        <v>1214672.3999999999</v>
      </c>
      <c r="AK342" s="4">
        <v>1299690.6100000001</v>
      </c>
      <c r="AL342" s="4">
        <v>1721909.84</v>
      </c>
      <c r="AM342" s="4">
        <v>3543279.28</v>
      </c>
      <c r="AN342" s="4">
        <v>6581156.9199999999</v>
      </c>
      <c r="AO342" s="4">
        <v>2093585.14</v>
      </c>
      <c r="AP342" s="4">
        <v>4915029.0199999996</v>
      </c>
      <c r="AQ342" s="4">
        <v>4268183.53</v>
      </c>
      <c r="AR342" s="4">
        <v>562075.07999999996</v>
      </c>
      <c r="AS342" s="4">
        <v>315581.65999999997</v>
      </c>
      <c r="AT342" s="4">
        <v>801609.03</v>
      </c>
      <c r="AU342" s="4">
        <v>2221829.19</v>
      </c>
      <c r="AV342" s="4">
        <v>54238347.099999994</v>
      </c>
      <c r="AW342" s="4">
        <v>1391628.59</v>
      </c>
      <c r="AX342" s="4">
        <v>799605.35</v>
      </c>
      <c r="AY342" s="4">
        <v>2228625.37</v>
      </c>
      <c r="AZ342" s="4">
        <v>5147834.99</v>
      </c>
      <c r="BA342" s="4">
        <v>2324471.64</v>
      </c>
      <c r="BB342" s="4">
        <v>747415.71</v>
      </c>
      <c r="BC342" s="4">
        <v>1689984.18</v>
      </c>
      <c r="BD342" s="4">
        <v>21886181.539999999</v>
      </c>
      <c r="BE342" s="4">
        <v>773098.87</v>
      </c>
      <c r="BF342" s="4">
        <v>363659.2</v>
      </c>
      <c r="BG342" s="4">
        <v>0</v>
      </c>
      <c r="BH342" s="4">
        <f t="shared" si="54"/>
        <v>324825731.27999997</v>
      </c>
    </row>
    <row r="343" spans="1:60" x14ac:dyDescent="0.2">
      <c r="A343" s="3">
        <v>37196</v>
      </c>
      <c r="B343" s="4">
        <v>15762813.390000001</v>
      </c>
      <c r="C343" s="4">
        <v>919303</v>
      </c>
      <c r="D343" s="4">
        <v>6605322.7199999997</v>
      </c>
      <c r="E343" s="4">
        <v>1821844.08</v>
      </c>
      <c r="F343" s="4">
        <v>1723409.68</v>
      </c>
      <c r="G343" s="4">
        <v>2636658.71</v>
      </c>
      <c r="H343" s="4">
        <v>2624969.92</v>
      </c>
      <c r="I343" s="4">
        <v>733030.35</v>
      </c>
      <c r="J343" s="4">
        <v>2171464.88</v>
      </c>
      <c r="K343" s="4">
        <v>1669775.38</v>
      </c>
      <c r="L343" s="4">
        <v>1370365.28</v>
      </c>
      <c r="M343" s="4">
        <v>628653.25</v>
      </c>
      <c r="N343" s="4">
        <v>8252156.7000000011</v>
      </c>
      <c r="O343" s="4">
        <v>34391867.119999997</v>
      </c>
      <c r="P343" s="4">
        <v>935914.53</v>
      </c>
      <c r="Q343" s="4">
        <v>782307.98</v>
      </c>
      <c r="R343" s="4">
        <v>766548.7</v>
      </c>
      <c r="S343" s="4">
        <v>1751672.81</v>
      </c>
      <c r="T343" s="4">
        <v>1259381.81</v>
      </c>
      <c r="U343" s="4">
        <v>111918.43</v>
      </c>
      <c r="V343" s="4">
        <v>1428363.13</v>
      </c>
      <c r="W343" s="4">
        <v>2634233.88</v>
      </c>
      <c r="X343" s="4">
        <v>378559.54</v>
      </c>
      <c r="Y343" s="4">
        <v>1160817.98</v>
      </c>
      <c r="Z343" s="4">
        <v>961114.28</v>
      </c>
      <c r="AA343" s="4">
        <v>28016894.23</v>
      </c>
      <c r="AB343" s="4">
        <v>1086192.1499999999</v>
      </c>
      <c r="AC343" s="4">
        <v>63902843.329999998</v>
      </c>
      <c r="AD343" s="4">
        <v>4528404.51</v>
      </c>
      <c r="AE343" s="4">
        <v>5944583.5300000003</v>
      </c>
      <c r="AF343" s="4">
        <v>14707320.09</v>
      </c>
      <c r="AG343" s="4">
        <v>3394818.54</v>
      </c>
      <c r="AH343" s="4">
        <v>10329589.010000002</v>
      </c>
      <c r="AI343" s="4">
        <v>740164.83</v>
      </c>
      <c r="AJ343" s="4">
        <v>1413649.34</v>
      </c>
      <c r="AK343" s="4">
        <v>1399594.48</v>
      </c>
      <c r="AL343" s="4">
        <v>1963772</v>
      </c>
      <c r="AM343" s="4">
        <v>3934277.73</v>
      </c>
      <c r="AN343" s="4">
        <v>7553093.2800000003</v>
      </c>
      <c r="AO343" s="4">
        <v>2312145.7000000002</v>
      </c>
      <c r="AP343" s="4">
        <v>5379485.8500000006</v>
      </c>
      <c r="AQ343" s="4">
        <v>4745535.29</v>
      </c>
      <c r="AR343" s="4">
        <v>595092.42000000004</v>
      </c>
      <c r="AS343" s="4">
        <v>317243.32</v>
      </c>
      <c r="AT343" s="4">
        <v>861409.42</v>
      </c>
      <c r="AU343" s="4">
        <v>2403228.16</v>
      </c>
      <c r="AV343" s="4">
        <v>59775895.660000004</v>
      </c>
      <c r="AW343" s="4">
        <v>1630667.84</v>
      </c>
      <c r="AX343" s="4">
        <v>882833.94</v>
      </c>
      <c r="AY343" s="4">
        <v>2400116.0699999998</v>
      </c>
      <c r="AZ343" s="4">
        <v>5737055.9500000002</v>
      </c>
      <c r="BA343" s="4">
        <v>2431270.2799999998</v>
      </c>
      <c r="BB343" s="4">
        <v>834262.21</v>
      </c>
      <c r="BC343" s="4">
        <v>1862688.64</v>
      </c>
      <c r="BD343" s="4">
        <v>24953108.300000004</v>
      </c>
      <c r="BE343" s="4">
        <v>821031.63</v>
      </c>
      <c r="BF343" s="4">
        <v>380765.41</v>
      </c>
      <c r="BG343" s="4">
        <v>0</v>
      </c>
      <c r="BH343" s="4">
        <f t="shared" si="54"/>
        <v>360721500.6699999</v>
      </c>
    </row>
    <row r="344" spans="1:60" x14ac:dyDescent="0.2">
      <c r="A344" s="3">
        <v>37226</v>
      </c>
      <c r="B344" s="4">
        <v>19124662.210000001</v>
      </c>
      <c r="C344" s="4">
        <v>1463851.83</v>
      </c>
      <c r="D344" s="4">
        <v>8759210.0300000012</v>
      </c>
      <c r="E344" s="4">
        <v>2904190.02</v>
      </c>
      <c r="F344" s="4">
        <v>2313009.16</v>
      </c>
      <c r="G344" s="4">
        <v>4228303.3899999997</v>
      </c>
      <c r="H344" s="4">
        <v>3522479.88</v>
      </c>
      <c r="I344" s="4">
        <v>1310825.1499999999</v>
      </c>
      <c r="J344" s="4">
        <v>2739050.96</v>
      </c>
      <c r="K344" s="4">
        <v>2741961.56</v>
      </c>
      <c r="L344" s="4">
        <v>2063753.69</v>
      </c>
      <c r="M344" s="4">
        <v>1095210.08</v>
      </c>
      <c r="N344" s="4">
        <v>11308325.82</v>
      </c>
      <c r="O344" s="4">
        <v>49505211.210000001</v>
      </c>
      <c r="P344" s="4">
        <v>1556521.87</v>
      </c>
      <c r="Q344" s="4">
        <v>1092409.1000000001</v>
      </c>
      <c r="R344" s="4">
        <v>1210906.06</v>
      </c>
      <c r="S344" s="4">
        <v>2905918.73</v>
      </c>
      <c r="T344" s="4">
        <v>1960119.48</v>
      </c>
      <c r="U344" s="4">
        <v>257831.86</v>
      </c>
      <c r="V344" s="4">
        <v>2115614.09</v>
      </c>
      <c r="W344" s="4">
        <v>3034402.98</v>
      </c>
      <c r="X344" s="4">
        <v>582250.55000000005</v>
      </c>
      <c r="Y344" s="4">
        <v>1815820.84</v>
      </c>
      <c r="Z344" s="4">
        <v>1678737.76</v>
      </c>
      <c r="AA344" s="4">
        <v>37272448.489999995</v>
      </c>
      <c r="AB344" s="4">
        <v>1491810.31</v>
      </c>
      <c r="AC344" s="4">
        <v>88036447.200000003</v>
      </c>
      <c r="AD344" s="4">
        <v>6018552.8500000006</v>
      </c>
      <c r="AE344" s="4">
        <v>9033501.5700000003</v>
      </c>
      <c r="AF344" s="4">
        <v>20474208.73</v>
      </c>
      <c r="AG344" s="4">
        <v>4766629.7699999996</v>
      </c>
      <c r="AH344" s="4">
        <v>13413140.800000001</v>
      </c>
      <c r="AI344" s="4">
        <v>1155903.48</v>
      </c>
      <c r="AJ344" s="4">
        <v>2092817.73</v>
      </c>
      <c r="AK344" s="4">
        <v>2081850.31</v>
      </c>
      <c r="AL344" s="4">
        <v>3075754.52</v>
      </c>
      <c r="AM344" s="4">
        <v>4590095.91</v>
      </c>
      <c r="AN344" s="4">
        <v>10683863.359999999</v>
      </c>
      <c r="AO344" s="4">
        <v>3416160.29</v>
      </c>
      <c r="AP344" s="4">
        <v>7736774.4699999997</v>
      </c>
      <c r="AQ344" s="4">
        <v>6663739.9199999999</v>
      </c>
      <c r="AR344" s="4">
        <v>918526.35</v>
      </c>
      <c r="AS344" s="4">
        <v>549078.46</v>
      </c>
      <c r="AT344" s="4">
        <v>1026163.25</v>
      </c>
      <c r="AU344" s="4">
        <v>3445073.07</v>
      </c>
      <c r="AV344" s="4">
        <v>89373394.700000003</v>
      </c>
      <c r="AW344" s="4">
        <v>1709038.15</v>
      </c>
      <c r="AX344" s="4">
        <v>1334510.33</v>
      </c>
      <c r="AY344" s="4">
        <v>3640045.7</v>
      </c>
      <c r="AZ344" s="4">
        <v>7992324.1100000003</v>
      </c>
      <c r="BA344" s="4">
        <v>3400377.81</v>
      </c>
      <c r="BB344" s="4">
        <v>1277221.82</v>
      </c>
      <c r="BC344" s="4">
        <v>2356963.48</v>
      </c>
      <c r="BD344" s="4">
        <v>31601492.769999996</v>
      </c>
      <c r="BE344" s="4">
        <v>1119021.33</v>
      </c>
      <c r="BF344" s="4">
        <v>678400.58</v>
      </c>
      <c r="BG344" s="4">
        <v>0</v>
      </c>
      <c r="BH344" s="4">
        <f t="shared" si="54"/>
        <v>503715909.93000007</v>
      </c>
    </row>
    <row r="345" spans="1:60" ht="15.75" thickBot="1" x14ac:dyDescent="0.25">
      <c r="A345" s="3" t="s">
        <v>4</v>
      </c>
      <c r="B345" s="5">
        <f t="shared" ref="B345:AG345" si="55">SUM(B333:B344)</f>
        <v>196787815.04999998</v>
      </c>
      <c r="C345" s="5">
        <f t="shared" si="55"/>
        <v>13650171.58</v>
      </c>
      <c r="D345" s="5">
        <f t="shared" si="55"/>
        <v>84816310.659999996</v>
      </c>
      <c r="E345" s="5">
        <f t="shared" si="55"/>
        <v>33341685.569999997</v>
      </c>
      <c r="F345" s="5">
        <f t="shared" si="55"/>
        <v>22403584.550000001</v>
      </c>
      <c r="G345" s="5">
        <f t="shared" si="55"/>
        <v>38577123.060000002</v>
      </c>
      <c r="H345" s="5">
        <f t="shared" si="55"/>
        <v>33713065.479999997</v>
      </c>
      <c r="I345" s="5">
        <f t="shared" si="55"/>
        <v>10225398.119999999</v>
      </c>
      <c r="J345" s="5">
        <f t="shared" si="55"/>
        <v>27382084.84</v>
      </c>
      <c r="K345" s="5">
        <f t="shared" si="55"/>
        <v>22958784.439999998</v>
      </c>
      <c r="L345" s="5">
        <f t="shared" si="55"/>
        <v>18243256.219999999</v>
      </c>
      <c r="M345" s="5">
        <f t="shared" si="55"/>
        <v>8019191.9900000002</v>
      </c>
      <c r="N345" s="5">
        <f t="shared" si="55"/>
        <v>106667656.44</v>
      </c>
      <c r="O345" s="5">
        <f t="shared" si="55"/>
        <v>451959915.03000003</v>
      </c>
      <c r="P345" s="5">
        <f t="shared" si="55"/>
        <v>14318067.98</v>
      </c>
      <c r="Q345" s="5">
        <f t="shared" si="55"/>
        <v>10878290.209999999</v>
      </c>
      <c r="R345" s="5">
        <f t="shared" si="55"/>
        <v>10539514.42</v>
      </c>
      <c r="S345" s="5">
        <f t="shared" si="55"/>
        <v>25285939.59</v>
      </c>
      <c r="T345" s="5">
        <f t="shared" si="55"/>
        <v>18500605.290000003</v>
      </c>
      <c r="U345" s="5">
        <f t="shared" si="55"/>
        <v>2210782.87</v>
      </c>
      <c r="V345" s="5">
        <f t="shared" si="55"/>
        <v>19242549.129999999</v>
      </c>
      <c r="W345" s="5">
        <f t="shared" si="55"/>
        <v>33332492.580000006</v>
      </c>
      <c r="X345" s="5">
        <f t="shared" si="55"/>
        <v>5232084.8199999984</v>
      </c>
      <c r="Y345" s="5">
        <f t="shared" si="55"/>
        <v>15560441.9</v>
      </c>
      <c r="Z345" s="5">
        <f t="shared" si="55"/>
        <v>13702806.42</v>
      </c>
      <c r="AA345" s="5">
        <f t="shared" si="55"/>
        <v>351286737.16000003</v>
      </c>
      <c r="AB345" s="5">
        <f t="shared" si="55"/>
        <v>13732801.500000002</v>
      </c>
      <c r="AC345" s="5">
        <f t="shared" si="55"/>
        <v>830234943.5866667</v>
      </c>
      <c r="AD345" s="5">
        <f t="shared" si="55"/>
        <v>59843794.840000004</v>
      </c>
      <c r="AE345" s="5">
        <f t="shared" si="55"/>
        <v>76758187.25</v>
      </c>
      <c r="AF345" s="5">
        <f t="shared" si="55"/>
        <v>184228452.09999999</v>
      </c>
      <c r="AG345" s="5">
        <f t="shared" si="55"/>
        <v>43863837.590000004</v>
      </c>
      <c r="AH345" s="5">
        <f t="shared" ref="AH345:BG345" si="56">SUM(AH333:AH344)</f>
        <v>131573560.80000001</v>
      </c>
      <c r="AI345" s="5">
        <f t="shared" si="56"/>
        <v>10407201.520000001</v>
      </c>
      <c r="AJ345" s="5">
        <f t="shared" si="56"/>
        <v>18058691.609999999</v>
      </c>
      <c r="AK345" s="5">
        <f t="shared" si="56"/>
        <v>18274712.670000002</v>
      </c>
      <c r="AL345" s="5">
        <f t="shared" si="56"/>
        <v>26836901.419999998</v>
      </c>
      <c r="AM345" s="5">
        <f t="shared" si="56"/>
        <v>49156508.179999992</v>
      </c>
      <c r="AN345" s="5">
        <f t="shared" si="56"/>
        <v>101287132.34</v>
      </c>
      <c r="AO345" s="5">
        <f t="shared" si="56"/>
        <v>29950932.379999999</v>
      </c>
      <c r="AP345" s="5">
        <f t="shared" si="56"/>
        <v>69591059.280000001</v>
      </c>
      <c r="AQ345" s="5">
        <f t="shared" si="56"/>
        <v>61424603.86999999</v>
      </c>
      <c r="AR345" s="5">
        <f t="shared" si="56"/>
        <v>7611760.7699999996</v>
      </c>
      <c r="AS345" s="5">
        <f t="shared" si="56"/>
        <v>5080309.7200000007</v>
      </c>
      <c r="AT345" s="5">
        <f t="shared" si="56"/>
        <v>10305730.59</v>
      </c>
      <c r="AU345" s="5">
        <f t="shared" si="56"/>
        <v>31305755.760000002</v>
      </c>
      <c r="AV345" s="5">
        <f t="shared" si="56"/>
        <v>787683631.52999997</v>
      </c>
      <c r="AW345" s="5">
        <f t="shared" si="56"/>
        <v>19036132.949999999</v>
      </c>
      <c r="AX345" s="5">
        <f t="shared" si="56"/>
        <v>12014229.579999998</v>
      </c>
      <c r="AY345" s="5">
        <f t="shared" si="56"/>
        <v>31959231.34</v>
      </c>
      <c r="AZ345" s="5">
        <f t="shared" si="56"/>
        <v>75966282.430000007</v>
      </c>
      <c r="BA345" s="5">
        <f t="shared" si="56"/>
        <v>32851608.989999998</v>
      </c>
      <c r="BB345" s="5">
        <f t="shared" si="56"/>
        <v>11744190.530000001</v>
      </c>
      <c r="BC345" s="5">
        <f t="shared" si="56"/>
        <v>23099623.340000004</v>
      </c>
      <c r="BD345" s="5">
        <f t="shared" si="56"/>
        <v>324709789.73999995</v>
      </c>
      <c r="BE345" s="5">
        <f t="shared" si="56"/>
        <v>11299835.959999999</v>
      </c>
      <c r="BF345" s="5">
        <f t="shared" si="56"/>
        <v>5629200.2800000003</v>
      </c>
      <c r="BG345" s="5">
        <f t="shared" si="56"/>
        <v>0</v>
      </c>
      <c r="BH345" s="5">
        <f t="shared" si="54"/>
        <v>4704356989.8466673</v>
      </c>
    </row>
    <row r="346" spans="1:60" ht="15.75" thickTop="1" x14ac:dyDescent="0.2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</row>
    <row r="347" spans="1:60" x14ac:dyDescent="0.2">
      <c r="A347" s="3">
        <v>36526</v>
      </c>
      <c r="B347" s="4">
        <v>15639856.869999999</v>
      </c>
      <c r="C347" s="4">
        <v>983102.85</v>
      </c>
      <c r="D347" s="4">
        <v>7054264.870000001</v>
      </c>
      <c r="E347" s="4">
        <v>1965138.15</v>
      </c>
      <c r="F347" s="4">
        <v>1552071.94</v>
      </c>
      <c r="G347" s="4">
        <v>3130779.69</v>
      </c>
      <c r="H347" s="4">
        <v>2731521.88</v>
      </c>
      <c r="I347" s="4">
        <v>700421.22</v>
      </c>
      <c r="J347" s="4">
        <v>2118777.23</v>
      </c>
      <c r="K347" s="4">
        <v>1613279.87</v>
      </c>
      <c r="L347" s="4">
        <v>1454602.02</v>
      </c>
      <c r="M347" s="4">
        <v>674775.66</v>
      </c>
      <c r="N347" s="4">
        <v>7710422.7799999993</v>
      </c>
      <c r="O347" s="4">
        <v>36447730.510000005</v>
      </c>
      <c r="P347" s="4">
        <v>942022.43</v>
      </c>
      <c r="Q347" s="4">
        <v>732401.92</v>
      </c>
      <c r="R347" s="4">
        <v>729940.94</v>
      </c>
      <c r="S347" s="4">
        <v>1479726.47</v>
      </c>
      <c r="T347" s="4">
        <v>1282712.73</v>
      </c>
      <c r="U347" s="4">
        <v>95351.77</v>
      </c>
      <c r="V347" s="4">
        <v>1252485.1100000001</v>
      </c>
      <c r="W347" s="4">
        <v>2576663.12</v>
      </c>
      <c r="X347" s="4">
        <v>356325.28</v>
      </c>
      <c r="Y347" s="4">
        <v>1030283.97</v>
      </c>
      <c r="Z347" s="4">
        <v>1007647.07</v>
      </c>
      <c r="AA347" s="4">
        <v>30258041.23</v>
      </c>
      <c r="AB347" s="4">
        <v>1014394.77</v>
      </c>
      <c r="AC347" s="4">
        <v>66434119.910000004</v>
      </c>
      <c r="AD347" s="4">
        <v>4944752.7699999996</v>
      </c>
      <c r="AE347" s="4">
        <v>5914582.290000001</v>
      </c>
      <c r="AF347" s="4">
        <v>15534088.41</v>
      </c>
      <c r="AG347" s="4">
        <v>3340898.74</v>
      </c>
      <c r="AH347" s="4">
        <v>9561441.25</v>
      </c>
      <c r="AI347" s="4">
        <v>765738.05</v>
      </c>
      <c r="AJ347" s="4">
        <v>1152829.3500000001</v>
      </c>
      <c r="AK347" s="4">
        <v>1268609.82</v>
      </c>
      <c r="AL347" s="4">
        <v>2096040.03</v>
      </c>
      <c r="AM347" s="4">
        <v>3592162.99</v>
      </c>
      <c r="AN347" s="4">
        <v>8586316.0300000012</v>
      </c>
      <c r="AO347" s="4">
        <v>2232285.33</v>
      </c>
      <c r="AP347" s="4">
        <v>4691771.91</v>
      </c>
      <c r="AQ347" s="4">
        <v>4907817.41</v>
      </c>
      <c r="AR347" s="4">
        <v>542442.71</v>
      </c>
      <c r="AS347" s="4">
        <v>233654.08</v>
      </c>
      <c r="AT347" s="4">
        <v>803789.5</v>
      </c>
      <c r="AU347" s="4">
        <v>2246539.0499999998</v>
      </c>
      <c r="AV347" s="4">
        <v>59289377.259999998</v>
      </c>
      <c r="AW347" s="4">
        <v>1304152.6399999999</v>
      </c>
      <c r="AX347" s="4">
        <v>871527.49</v>
      </c>
      <c r="AY347" s="4">
        <v>2342759.2599999998</v>
      </c>
      <c r="AZ347" s="4">
        <v>5414688.2800000003</v>
      </c>
      <c r="BA347" s="4">
        <v>2192230.9300000002</v>
      </c>
      <c r="BB347" s="4">
        <v>786892.41</v>
      </c>
      <c r="BC347" s="4">
        <v>1700480.77</v>
      </c>
      <c r="BD347" s="4">
        <v>26443635.549999997</v>
      </c>
      <c r="BE347" s="4">
        <v>808240.6</v>
      </c>
      <c r="BF347" s="4">
        <v>319980.46999999997</v>
      </c>
      <c r="BG347" s="4">
        <v>0</v>
      </c>
      <c r="BH347" s="4">
        <f t="shared" ref="BH347:BH359" si="57">SUM(B347:BG347)</f>
        <v>366858587.6400001</v>
      </c>
    </row>
    <row r="348" spans="1:60" x14ac:dyDescent="0.2">
      <c r="A348" s="3">
        <v>36557</v>
      </c>
      <c r="B348" s="4">
        <v>11500690.779999999</v>
      </c>
      <c r="C348" s="4">
        <v>716584.1</v>
      </c>
      <c r="D348" s="4">
        <v>5197521.46</v>
      </c>
      <c r="E348" s="4">
        <v>1440831.78</v>
      </c>
      <c r="F348" s="4">
        <v>1135059.99</v>
      </c>
      <c r="G348" s="4">
        <v>2336854.75</v>
      </c>
      <c r="H348" s="4">
        <v>2039885.3</v>
      </c>
      <c r="I348" s="4">
        <v>550866.91</v>
      </c>
      <c r="J348" s="4">
        <v>1552489.09</v>
      </c>
      <c r="K348" s="4">
        <v>1179957.93</v>
      </c>
      <c r="L348" s="4">
        <v>1077857.8</v>
      </c>
      <c r="M348" s="4">
        <v>400907.93</v>
      </c>
      <c r="N348" s="4">
        <v>5654656.8300000001</v>
      </c>
      <c r="O348" s="4">
        <v>26779317.760000002</v>
      </c>
      <c r="P348" s="4">
        <v>649915.21</v>
      </c>
      <c r="Q348" s="4">
        <v>531618.22</v>
      </c>
      <c r="R348" s="4">
        <v>544733.17000000004</v>
      </c>
      <c r="S348" s="4">
        <v>1089237.1299999999</v>
      </c>
      <c r="T348" s="4">
        <v>892437.5</v>
      </c>
      <c r="U348" s="4">
        <v>62799.88</v>
      </c>
      <c r="V348" s="4">
        <v>845669.93</v>
      </c>
      <c r="W348" s="4">
        <v>1891136.84</v>
      </c>
      <c r="X348" s="4">
        <v>264804.71999999997</v>
      </c>
      <c r="Y348" s="4">
        <v>753509.07</v>
      </c>
      <c r="Z348" s="4">
        <v>723525.38</v>
      </c>
      <c r="AA348" s="4">
        <v>23305675.84</v>
      </c>
      <c r="AB348" s="4">
        <v>723705.2</v>
      </c>
      <c r="AC348" s="4">
        <v>49062096.840000004</v>
      </c>
      <c r="AD348" s="4">
        <v>3565499.02</v>
      </c>
      <c r="AE348" s="4">
        <v>4511292.43</v>
      </c>
      <c r="AF348" s="4">
        <v>11179773.83</v>
      </c>
      <c r="AG348" s="4">
        <v>2393711.87</v>
      </c>
      <c r="AH348" s="4">
        <v>6886457.3100000005</v>
      </c>
      <c r="AI348" s="4">
        <v>585160.87</v>
      </c>
      <c r="AJ348" s="4">
        <v>788834.36</v>
      </c>
      <c r="AK348" s="4">
        <v>913280.22</v>
      </c>
      <c r="AL348" s="4">
        <v>1352784.65</v>
      </c>
      <c r="AM348" s="4">
        <v>2560336.5099999998</v>
      </c>
      <c r="AN348" s="4">
        <v>6277342.75</v>
      </c>
      <c r="AO348" s="4">
        <v>1650810.64</v>
      </c>
      <c r="AP348" s="4">
        <v>3456331.97</v>
      </c>
      <c r="AQ348" s="4">
        <v>3634680.14</v>
      </c>
      <c r="AR348" s="4">
        <v>414633.21</v>
      </c>
      <c r="AS348" s="4">
        <v>178066.62</v>
      </c>
      <c r="AT348" s="4">
        <v>566325.23</v>
      </c>
      <c r="AU348" s="4">
        <v>1661557.54</v>
      </c>
      <c r="AV348" s="4">
        <v>44478726.240000002</v>
      </c>
      <c r="AW348" s="4">
        <v>961337.35</v>
      </c>
      <c r="AX348" s="4">
        <v>652357.56999999995</v>
      </c>
      <c r="AY348" s="4">
        <v>1749682.86</v>
      </c>
      <c r="AZ348" s="4">
        <v>3895553.13</v>
      </c>
      <c r="BA348" s="4">
        <v>1660512.68</v>
      </c>
      <c r="BB348" s="4">
        <v>580157.24</v>
      </c>
      <c r="BC348" s="4">
        <v>1273529.8400000001</v>
      </c>
      <c r="BD348" s="4">
        <v>19696252.52</v>
      </c>
      <c r="BE348" s="4">
        <v>582251.82999999996</v>
      </c>
      <c r="BF348" s="4">
        <v>235633.38</v>
      </c>
      <c r="BG348" s="4">
        <v>0</v>
      </c>
      <c r="BH348" s="4">
        <f t="shared" si="57"/>
        <v>271247221.15000004</v>
      </c>
    </row>
    <row r="349" spans="1:60" x14ac:dyDescent="0.2">
      <c r="A349" s="3">
        <v>36586</v>
      </c>
      <c r="B349" s="4">
        <v>19541024.019999996</v>
      </c>
      <c r="C349" s="4">
        <v>2069799.85</v>
      </c>
      <c r="D349" s="4">
        <v>9475164.6600000001</v>
      </c>
      <c r="E349" s="4">
        <v>2725284.87</v>
      </c>
      <c r="F349" s="4">
        <v>2786291.07</v>
      </c>
      <c r="G349" s="4">
        <v>4566409.84</v>
      </c>
      <c r="H349" s="4">
        <v>3888219.27</v>
      </c>
      <c r="I349" s="4">
        <v>994513.81</v>
      </c>
      <c r="J349" s="4">
        <v>2850407.61</v>
      </c>
      <c r="K349" s="4">
        <v>2237975.5</v>
      </c>
      <c r="L349" s="4">
        <v>2189773.2200000002</v>
      </c>
      <c r="M349" s="4">
        <v>871588.89</v>
      </c>
      <c r="N349" s="4">
        <v>9316817.3500000015</v>
      </c>
      <c r="O349" s="4">
        <v>47799979.079999998</v>
      </c>
      <c r="P349" s="4">
        <v>1352445.27</v>
      </c>
      <c r="Q349" s="4">
        <v>1098824.1100000001</v>
      </c>
      <c r="R349" s="4">
        <v>921731.76</v>
      </c>
      <c r="S349" s="4">
        <v>2706583.61</v>
      </c>
      <c r="T349" s="4">
        <v>2051789.51</v>
      </c>
      <c r="U349" s="4">
        <v>181364.92</v>
      </c>
      <c r="V349" s="4">
        <v>1912500.63</v>
      </c>
      <c r="W349" s="4">
        <v>3369772.45</v>
      </c>
      <c r="X349" s="4">
        <v>615819.73</v>
      </c>
      <c r="Y349" s="4">
        <v>1707281.61</v>
      </c>
      <c r="Z349" s="4">
        <v>1577725.43</v>
      </c>
      <c r="AA349" s="4">
        <v>35080788.230000004</v>
      </c>
      <c r="AB349" s="4">
        <v>1780591.73</v>
      </c>
      <c r="AC349" s="4">
        <v>68968087.840000004</v>
      </c>
      <c r="AD349" s="4">
        <v>6064266.2999999998</v>
      </c>
      <c r="AE349" s="4">
        <v>7653014.5399999991</v>
      </c>
      <c r="AF349" s="4">
        <v>18344025.809999999</v>
      </c>
      <c r="AG349" s="4">
        <v>5197320.16</v>
      </c>
      <c r="AH349" s="4">
        <v>13313420.199999999</v>
      </c>
      <c r="AI349" s="4">
        <v>1312664.32</v>
      </c>
      <c r="AJ349" s="4">
        <v>1747389.66</v>
      </c>
      <c r="AK349" s="4">
        <v>1760293.81</v>
      </c>
      <c r="AL349" s="4">
        <v>3017874.64</v>
      </c>
      <c r="AM349" s="4">
        <v>6479870.2799999993</v>
      </c>
      <c r="AN349" s="4">
        <v>11574444.879999999</v>
      </c>
      <c r="AO349" s="4">
        <v>2151965.56</v>
      </c>
      <c r="AP349" s="4">
        <v>6769486.9299999997</v>
      </c>
      <c r="AQ349" s="4">
        <v>6769483.4900000002</v>
      </c>
      <c r="AR349" s="4">
        <v>803574.37</v>
      </c>
      <c r="AS349" s="4">
        <v>460683.65</v>
      </c>
      <c r="AT349" s="4">
        <v>1003861.55</v>
      </c>
      <c r="AU349" s="4">
        <v>3124614.3</v>
      </c>
      <c r="AV349" s="4">
        <v>77553493.420000017</v>
      </c>
      <c r="AW349" s="4">
        <v>1950661.28</v>
      </c>
      <c r="AX349" s="4">
        <v>1556695.63</v>
      </c>
      <c r="AY349" s="4">
        <v>3321412.45</v>
      </c>
      <c r="AZ349" s="4">
        <v>7308806.5700000003</v>
      </c>
      <c r="BA349" s="4">
        <v>2967974.81</v>
      </c>
      <c r="BB349" s="4">
        <v>1346790.45</v>
      </c>
      <c r="BC349" s="4">
        <v>2385953.6800000002</v>
      </c>
      <c r="BD349" s="4">
        <v>34229021.359999999</v>
      </c>
      <c r="BE349" s="4">
        <v>1212000.0900000001</v>
      </c>
      <c r="BF349" s="4">
        <v>578262.19999999995</v>
      </c>
      <c r="BG349" s="4">
        <v>29.08</v>
      </c>
      <c r="BH349" s="4">
        <f t="shared" si="57"/>
        <v>466597911.33999991</v>
      </c>
    </row>
    <row r="350" spans="1:60" x14ac:dyDescent="0.2">
      <c r="A350" s="3">
        <v>36617</v>
      </c>
      <c r="B350" s="4">
        <v>13393531.549999999</v>
      </c>
      <c r="C350" s="4">
        <v>954359.05</v>
      </c>
      <c r="D350" s="4">
        <v>6177036.9100000001</v>
      </c>
      <c r="E350" s="4">
        <v>1721809.98</v>
      </c>
      <c r="F350" s="4">
        <v>1577463.34</v>
      </c>
      <c r="G350" s="4">
        <v>2708398.93</v>
      </c>
      <c r="H350" s="4">
        <v>2315418.92</v>
      </c>
      <c r="I350" s="4">
        <v>819536.43</v>
      </c>
      <c r="J350" s="4">
        <v>1828571.59</v>
      </c>
      <c r="K350" s="4">
        <v>1450730.89</v>
      </c>
      <c r="L350" s="4">
        <v>1400673.16</v>
      </c>
      <c r="M350" s="4">
        <v>640846.68999999994</v>
      </c>
      <c r="N350" s="4">
        <v>7202691.0800000001</v>
      </c>
      <c r="O350" s="4">
        <v>32109716.170000002</v>
      </c>
      <c r="P350" s="4">
        <v>915782.38</v>
      </c>
      <c r="Q350" s="4">
        <v>702565.25</v>
      </c>
      <c r="R350" s="4">
        <v>730437.22</v>
      </c>
      <c r="S350" s="4">
        <v>1676110.12</v>
      </c>
      <c r="T350" s="4">
        <v>1113768.49</v>
      </c>
      <c r="U350" s="4">
        <v>113304.9</v>
      </c>
      <c r="V350" s="4">
        <v>1157835</v>
      </c>
      <c r="W350" s="4">
        <v>2395747.0299999998</v>
      </c>
      <c r="X350" s="4">
        <v>347926.84</v>
      </c>
      <c r="Y350" s="4">
        <v>1131214.8899999999</v>
      </c>
      <c r="Z350" s="4">
        <v>1089103.73</v>
      </c>
      <c r="AA350" s="4">
        <v>27303123.920000002</v>
      </c>
      <c r="AB350" s="4">
        <v>965054.94</v>
      </c>
      <c r="AC350" s="4">
        <v>63144900.820000008</v>
      </c>
      <c r="AD350" s="4">
        <v>4472967.45</v>
      </c>
      <c r="AE350" s="4">
        <v>5623287.7199999997</v>
      </c>
      <c r="AF350" s="4">
        <v>13451546.92</v>
      </c>
      <c r="AG350" s="4">
        <v>2939071.85</v>
      </c>
      <c r="AH350" s="4">
        <v>8741290.7000000011</v>
      </c>
      <c r="AI350" s="4">
        <v>734399.25</v>
      </c>
      <c r="AJ350" s="4">
        <v>1330093.8600000001</v>
      </c>
      <c r="AK350" s="4">
        <v>1171731.95</v>
      </c>
      <c r="AL350" s="4">
        <v>1770928.29</v>
      </c>
      <c r="AM350" s="4">
        <v>3397838.36</v>
      </c>
      <c r="AN350" s="4">
        <v>7400415.7599999998</v>
      </c>
      <c r="AO350" s="4">
        <v>2036616.24</v>
      </c>
      <c r="AP350" s="4">
        <v>4438237.3600000003</v>
      </c>
      <c r="AQ350" s="4">
        <v>4422224.5599999996</v>
      </c>
      <c r="AR350" s="4">
        <v>517996.43</v>
      </c>
      <c r="AS350" s="4">
        <v>306609.63</v>
      </c>
      <c r="AT350" s="4">
        <v>722273.24</v>
      </c>
      <c r="AU350" s="4">
        <v>2129884.46</v>
      </c>
      <c r="AV350" s="4">
        <v>57079797.530000001</v>
      </c>
      <c r="AW350" s="4">
        <v>1395309.06</v>
      </c>
      <c r="AX350" s="4">
        <v>914334.66</v>
      </c>
      <c r="AY350" s="4">
        <v>2143000.52</v>
      </c>
      <c r="AZ350" s="4">
        <v>4904311.0199999996</v>
      </c>
      <c r="BA350" s="4">
        <v>2111592.87</v>
      </c>
      <c r="BB350" s="4">
        <v>804875.45</v>
      </c>
      <c r="BC350" s="4">
        <v>1675788.48</v>
      </c>
      <c r="BD350" s="4">
        <v>21933424.359999999</v>
      </c>
      <c r="BE350" s="4">
        <v>858224.3</v>
      </c>
      <c r="BF350" s="4">
        <v>335810.33</v>
      </c>
      <c r="BG350" s="4">
        <v>0</v>
      </c>
      <c r="BH350" s="4">
        <f t="shared" si="57"/>
        <v>336851542.83000004</v>
      </c>
    </row>
    <row r="351" spans="1:60" x14ac:dyDescent="0.2">
      <c r="A351" s="3">
        <v>36647</v>
      </c>
      <c r="B351" s="4">
        <v>12872287.149999999</v>
      </c>
      <c r="C351" s="4">
        <v>929332.24</v>
      </c>
      <c r="D351" s="4">
        <v>5754485.2799999993</v>
      </c>
      <c r="E351" s="4">
        <v>1566195.65</v>
      </c>
      <c r="F351" s="4">
        <v>1608053.4</v>
      </c>
      <c r="G351" s="4">
        <v>2553755.12</v>
      </c>
      <c r="H351" s="4">
        <v>2186258.88</v>
      </c>
      <c r="I351" s="4">
        <v>659324.36</v>
      </c>
      <c r="J351" s="4">
        <v>1726005.83</v>
      </c>
      <c r="K351" s="4">
        <v>1439462.03</v>
      </c>
      <c r="L351" s="4">
        <v>1251368.52</v>
      </c>
      <c r="M351" s="4">
        <v>525886.01</v>
      </c>
      <c r="N351" s="4">
        <v>6721546.3200000003</v>
      </c>
      <c r="O351" s="4">
        <v>29738830.43</v>
      </c>
      <c r="P351" s="4">
        <v>771850.46</v>
      </c>
      <c r="Q351" s="4">
        <v>646678.32999999996</v>
      </c>
      <c r="R351" s="4">
        <v>635380.06999999995</v>
      </c>
      <c r="S351" s="4">
        <v>1586892.04</v>
      </c>
      <c r="T351" s="4">
        <v>1031138.28</v>
      </c>
      <c r="U351" s="4">
        <v>86397</v>
      </c>
      <c r="V351" s="4">
        <v>1073962.93</v>
      </c>
      <c r="W351" s="4">
        <v>2277249.2999999998</v>
      </c>
      <c r="X351" s="4">
        <v>305952.07</v>
      </c>
      <c r="Y351" s="4">
        <v>995927.54</v>
      </c>
      <c r="Z351" s="4">
        <v>913617.7</v>
      </c>
      <c r="AA351" s="4">
        <v>25513681.810000002</v>
      </c>
      <c r="AB351" s="4">
        <v>884042.66</v>
      </c>
      <c r="AC351" s="4">
        <v>53454647.599999994</v>
      </c>
      <c r="AD351" s="4">
        <v>4019505.57</v>
      </c>
      <c r="AE351" s="4">
        <v>5033875.78</v>
      </c>
      <c r="AF351" s="4">
        <v>12521142.550000001</v>
      </c>
      <c r="AG351" s="4">
        <v>2829548.61</v>
      </c>
      <c r="AH351" s="4">
        <v>8002140.2699999996</v>
      </c>
      <c r="AI351" s="4">
        <v>707290.93</v>
      </c>
      <c r="AJ351" s="4">
        <v>1238488.94</v>
      </c>
      <c r="AK351" s="4">
        <v>1096876.05</v>
      </c>
      <c r="AL351" s="4">
        <v>1601543.18</v>
      </c>
      <c r="AM351" s="4">
        <v>3219222.73</v>
      </c>
      <c r="AN351" s="4">
        <v>6865840.3400000008</v>
      </c>
      <c r="AO351" s="4">
        <v>1865253.7</v>
      </c>
      <c r="AP351" s="4">
        <v>4162744.23</v>
      </c>
      <c r="AQ351" s="4">
        <v>4096083.98</v>
      </c>
      <c r="AR351" s="4">
        <v>489819.74</v>
      </c>
      <c r="AS351" s="4">
        <v>271214.40000000002</v>
      </c>
      <c r="AT351" s="4">
        <v>673935.05</v>
      </c>
      <c r="AU351" s="4">
        <v>1944516.6</v>
      </c>
      <c r="AV351" s="4">
        <v>50991543.390000001</v>
      </c>
      <c r="AW351" s="4">
        <v>1177436.58</v>
      </c>
      <c r="AX351" s="4">
        <v>823768.95</v>
      </c>
      <c r="AY351" s="4">
        <v>2027046.39</v>
      </c>
      <c r="AZ351" s="4">
        <v>4452035.18</v>
      </c>
      <c r="BA351" s="4">
        <v>1918107.35</v>
      </c>
      <c r="BB351" s="4">
        <v>751303.96</v>
      </c>
      <c r="BC351" s="4">
        <v>1634574.14</v>
      </c>
      <c r="BD351" s="4">
        <v>19867717.060000002</v>
      </c>
      <c r="BE351" s="4">
        <v>755020.75</v>
      </c>
      <c r="BF351" s="4">
        <v>309047.62</v>
      </c>
      <c r="BG351" s="4">
        <v>0</v>
      </c>
      <c r="BH351" s="4">
        <f t="shared" si="57"/>
        <v>305056853.02999997</v>
      </c>
    </row>
    <row r="352" spans="1:60" x14ac:dyDescent="0.2">
      <c r="A352" s="3">
        <v>36678</v>
      </c>
      <c r="B352" s="4">
        <v>20080312.400000002</v>
      </c>
      <c r="C352" s="4">
        <v>1396126.64</v>
      </c>
      <c r="D352" s="4">
        <v>10050235.24</v>
      </c>
      <c r="E352" s="4">
        <v>2851136.31</v>
      </c>
      <c r="F352" s="4">
        <v>2437355.48</v>
      </c>
      <c r="G352" s="4">
        <v>3894028.35</v>
      </c>
      <c r="H352" s="4">
        <v>4901949.87</v>
      </c>
      <c r="I352" s="4">
        <v>1129352.51</v>
      </c>
      <c r="J352" s="4">
        <v>3197772.58</v>
      </c>
      <c r="K352" s="4">
        <v>2663891.4700000002</v>
      </c>
      <c r="L352" s="4">
        <v>1963953.55</v>
      </c>
      <c r="M352" s="4">
        <v>948261.23</v>
      </c>
      <c r="N352" s="4">
        <v>10770877.189999999</v>
      </c>
      <c r="O352" s="4">
        <v>49044279.710000001</v>
      </c>
      <c r="P352" s="4">
        <v>1349204.13</v>
      </c>
      <c r="Q352" s="4">
        <v>1208234.04</v>
      </c>
      <c r="R352" s="4">
        <v>1723771.86</v>
      </c>
      <c r="S352" s="4">
        <v>2538266.9300000002</v>
      </c>
      <c r="T352" s="4">
        <v>2121572.35</v>
      </c>
      <c r="U352" s="4">
        <v>223880.31</v>
      </c>
      <c r="V352" s="4">
        <v>2212296.0299999998</v>
      </c>
      <c r="W352" s="4">
        <v>4023020.11</v>
      </c>
      <c r="X352" s="4">
        <v>723515.61</v>
      </c>
      <c r="Y352" s="4">
        <v>1881981.86</v>
      </c>
      <c r="Z352" s="4">
        <v>1490576.35</v>
      </c>
      <c r="AA352" s="4">
        <v>34885490.549999997</v>
      </c>
      <c r="AB352" s="4">
        <v>1956750.64</v>
      </c>
      <c r="AC352" s="4">
        <v>82918229.019999996</v>
      </c>
      <c r="AD352" s="4">
        <v>7399875.1499999994</v>
      </c>
      <c r="AE352" s="4">
        <v>8279605.6799999997</v>
      </c>
      <c r="AF352" s="4">
        <v>18187688.5</v>
      </c>
      <c r="AG352" s="4">
        <v>4495192.18</v>
      </c>
      <c r="AH352" s="4">
        <v>13843796.369999999</v>
      </c>
      <c r="AI352" s="4">
        <v>1082652.3799999999</v>
      </c>
      <c r="AJ352" s="4">
        <v>2298110.37</v>
      </c>
      <c r="AK352" s="4">
        <v>1974873.23</v>
      </c>
      <c r="AL352" s="4">
        <v>3617505.17</v>
      </c>
      <c r="AM352" s="4">
        <v>5723552.0899999999</v>
      </c>
      <c r="AN352" s="4">
        <v>10523916.560000001</v>
      </c>
      <c r="AO352" s="4">
        <v>3310167.68</v>
      </c>
      <c r="AP352" s="4">
        <v>7753239.4699999997</v>
      </c>
      <c r="AQ352" s="4">
        <v>5745506.6399999997</v>
      </c>
      <c r="AR352" s="4">
        <v>898055.07</v>
      </c>
      <c r="AS352" s="4">
        <v>671338.37</v>
      </c>
      <c r="AT352" s="4">
        <v>1165597.3799999999</v>
      </c>
      <c r="AU352" s="4">
        <v>4871756.82</v>
      </c>
      <c r="AV352" s="4">
        <v>83070298.280000001</v>
      </c>
      <c r="AW352" s="4">
        <v>1918646.49</v>
      </c>
      <c r="AX352" s="4">
        <v>1163004.22</v>
      </c>
      <c r="AY352" s="4">
        <v>3584775.27</v>
      </c>
      <c r="AZ352" s="4">
        <v>8056646.1099999994</v>
      </c>
      <c r="BA352" s="4">
        <v>3733016.59</v>
      </c>
      <c r="BB352" s="4">
        <v>1483177.64</v>
      </c>
      <c r="BC352" s="4">
        <v>2380913.41</v>
      </c>
      <c r="BD352" s="4">
        <v>37694038.759999998</v>
      </c>
      <c r="BE352" s="4">
        <v>1299446.1200000001</v>
      </c>
      <c r="BF352" s="4">
        <v>627664.14</v>
      </c>
      <c r="BG352" s="4">
        <v>0</v>
      </c>
      <c r="BH352" s="4">
        <f t="shared" si="57"/>
        <v>501440378.45999992</v>
      </c>
    </row>
    <row r="353" spans="1:60" x14ac:dyDescent="0.2">
      <c r="A353" s="3">
        <v>36708</v>
      </c>
      <c r="B353" s="4">
        <v>15612788.220000001</v>
      </c>
      <c r="C353" s="4">
        <v>943529.27</v>
      </c>
      <c r="D353" s="4">
        <v>6920626.6099999994</v>
      </c>
      <c r="E353" s="4">
        <v>1926653.55</v>
      </c>
      <c r="F353" s="4">
        <v>1844197.07</v>
      </c>
      <c r="G353" s="4">
        <v>3347916.62</v>
      </c>
      <c r="H353" s="4">
        <v>2504021.89</v>
      </c>
      <c r="I353" s="4">
        <v>783319.33</v>
      </c>
      <c r="J353" s="4">
        <v>2190140.98</v>
      </c>
      <c r="K353" s="4">
        <v>1826030.46</v>
      </c>
      <c r="L353" s="4">
        <v>1506155.53</v>
      </c>
      <c r="M353" s="4">
        <v>667939.65</v>
      </c>
      <c r="N353" s="4">
        <v>7865440.5999999996</v>
      </c>
      <c r="O353" s="4">
        <v>36721334.339999996</v>
      </c>
      <c r="P353" s="4">
        <v>1286873.4099999999</v>
      </c>
      <c r="Q353" s="4">
        <v>844345.32</v>
      </c>
      <c r="R353" s="4">
        <v>809770.26</v>
      </c>
      <c r="S353" s="4">
        <v>2256209.44</v>
      </c>
      <c r="T353" s="4">
        <v>1422719.03</v>
      </c>
      <c r="U353" s="4">
        <v>199056.3</v>
      </c>
      <c r="V353" s="4">
        <v>1496045.95</v>
      </c>
      <c r="W353" s="4">
        <v>2913506.72</v>
      </c>
      <c r="X353" s="4">
        <v>447448.85</v>
      </c>
      <c r="Y353" s="4">
        <v>1242148.07</v>
      </c>
      <c r="Z353" s="4">
        <v>1099163.3500000001</v>
      </c>
      <c r="AA353" s="4">
        <v>29874051.149999999</v>
      </c>
      <c r="AB353" s="4">
        <v>1200284.5</v>
      </c>
      <c r="AC353" s="4">
        <v>66215678.57</v>
      </c>
      <c r="AD353" s="4">
        <v>5244578.8899999997</v>
      </c>
      <c r="AE353" s="4">
        <v>6113932.5999999996</v>
      </c>
      <c r="AF353" s="4">
        <v>14748142.080000002</v>
      </c>
      <c r="AG353" s="4">
        <v>3290229.69</v>
      </c>
      <c r="AH353" s="4">
        <v>10152437.050000001</v>
      </c>
      <c r="AI353" s="4">
        <v>847843.79</v>
      </c>
      <c r="AJ353" s="4">
        <v>1533529.53</v>
      </c>
      <c r="AK353" s="4">
        <v>1485828.77</v>
      </c>
      <c r="AL353" s="4">
        <v>2100431.98</v>
      </c>
      <c r="AM353" s="4">
        <v>3979230.19</v>
      </c>
      <c r="AN353" s="4">
        <v>8446055.0399999991</v>
      </c>
      <c r="AO353" s="4">
        <v>2174948.6800000002</v>
      </c>
      <c r="AP353" s="4">
        <v>5332786.83</v>
      </c>
      <c r="AQ353" s="4">
        <v>4918926.42</v>
      </c>
      <c r="AR353" s="4">
        <v>624440.78</v>
      </c>
      <c r="AS353" s="4">
        <v>453777.28</v>
      </c>
      <c r="AT353" s="4">
        <v>964815.53</v>
      </c>
      <c r="AU353" s="4">
        <v>2517542.31</v>
      </c>
      <c r="AV353" s="4">
        <v>65875159.289999999</v>
      </c>
      <c r="AW353" s="4">
        <v>1835396.34</v>
      </c>
      <c r="AX353" s="4">
        <v>876538.36</v>
      </c>
      <c r="AY353" s="4">
        <v>2565367.73</v>
      </c>
      <c r="AZ353" s="4">
        <v>5701096.3900000006</v>
      </c>
      <c r="BA353" s="4">
        <v>3350283.18</v>
      </c>
      <c r="BB353" s="4">
        <v>994736.88</v>
      </c>
      <c r="BC353" s="4">
        <v>1946908.18</v>
      </c>
      <c r="BD353" s="4">
        <v>24932914.719999999</v>
      </c>
      <c r="BE353" s="4">
        <v>911126.58</v>
      </c>
      <c r="BF353" s="4">
        <v>391364.33</v>
      </c>
      <c r="BG353" s="4">
        <v>0</v>
      </c>
      <c r="BH353" s="4">
        <f t="shared" si="57"/>
        <v>380277764.45999992</v>
      </c>
    </row>
    <row r="354" spans="1:60" x14ac:dyDescent="0.2">
      <c r="A354" s="3">
        <v>36739</v>
      </c>
      <c r="B354" s="4">
        <v>14166905.74</v>
      </c>
      <c r="C354" s="4">
        <v>870720.31</v>
      </c>
      <c r="D354" s="4">
        <v>6413618.2800000012</v>
      </c>
      <c r="E354" s="4">
        <v>1712137.51</v>
      </c>
      <c r="F354" s="4">
        <v>1646375.4</v>
      </c>
      <c r="G354" s="4">
        <v>2939847.16</v>
      </c>
      <c r="H354" s="4">
        <v>2418820.61</v>
      </c>
      <c r="I354" s="4">
        <v>745676.99</v>
      </c>
      <c r="J354" s="4">
        <v>1976771.95</v>
      </c>
      <c r="K354" s="4">
        <v>1615309.11</v>
      </c>
      <c r="L354" s="4">
        <v>1319290.27</v>
      </c>
      <c r="M354" s="4">
        <v>599607.42000000004</v>
      </c>
      <c r="N354" s="4">
        <v>6906241.3200000003</v>
      </c>
      <c r="O354" s="4">
        <v>32448742.780000001</v>
      </c>
      <c r="P354" s="4">
        <v>1153437.8500000001</v>
      </c>
      <c r="Q354" s="4">
        <v>777358.77</v>
      </c>
      <c r="R354" s="4">
        <v>754859.76</v>
      </c>
      <c r="S354" s="4">
        <v>2013715.11</v>
      </c>
      <c r="T354" s="4">
        <v>1296736.72</v>
      </c>
      <c r="U354" s="4">
        <v>179561.28</v>
      </c>
      <c r="V354" s="4">
        <v>1266013.28</v>
      </c>
      <c r="W354" s="4">
        <v>2683378.35</v>
      </c>
      <c r="X354" s="4">
        <v>359851.23</v>
      </c>
      <c r="Y354" s="4">
        <v>1142859.24</v>
      </c>
      <c r="Z354" s="4">
        <v>1019989.71</v>
      </c>
      <c r="AA354" s="4">
        <v>27616937.710000001</v>
      </c>
      <c r="AB354" s="4">
        <v>1034501.5</v>
      </c>
      <c r="AC354" s="4">
        <v>59518150.300000004</v>
      </c>
      <c r="AD354" s="4">
        <v>4716053.66</v>
      </c>
      <c r="AE354" s="4">
        <v>5561631.5300000003</v>
      </c>
      <c r="AF354" s="4">
        <v>13764840.379999999</v>
      </c>
      <c r="AG354" s="4">
        <v>3051167.67</v>
      </c>
      <c r="AH354" s="4">
        <v>9114457.4600000009</v>
      </c>
      <c r="AI354" s="4">
        <v>725926.98</v>
      </c>
      <c r="AJ354" s="4">
        <v>1407884.17</v>
      </c>
      <c r="AK354" s="4">
        <v>1399072.41</v>
      </c>
      <c r="AL354" s="4">
        <v>1778502.21</v>
      </c>
      <c r="AM354" s="4">
        <v>3569154.34</v>
      </c>
      <c r="AN354" s="4">
        <v>7799547.2000000002</v>
      </c>
      <c r="AO354" s="4">
        <v>2023467.86</v>
      </c>
      <c r="AP354" s="4">
        <v>4928421.92</v>
      </c>
      <c r="AQ354" s="4">
        <v>4310250.4800000004</v>
      </c>
      <c r="AR354" s="4">
        <v>585748.16</v>
      </c>
      <c r="AS354" s="4">
        <v>422327.28</v>
      </c>
      <c r="AT354" s="4">
        <v>877489</v>
      </c>
      <c r="AU354" s="4">
        <v>2321369.58</v>
      </c>
      <c r="AV354" s="4">
        <v>59414231.879999995</v>
      </c>
      <c r="AW354" s="4">
        <v>1607295.84</v>
      </c>
      <c r="AX354" s="4">
        <v>795841.03</v>
      </c>
      <c r="AY354" s="4">
        <v>2208335.9900000002</v>
      </c>
      <c r="AZ354" s="4">
        <v>5064262.7300000004</v>
      </c>
      <c r="BA354" s="4">
        <v>3079956.26</v>
      </c>
      <c r="BB354" s="4">
        <v>890553.18</v>
      </c>
      <c r="BC354" s="4">
        <v>1703943.58</v>
      </c>
      <c r="BD354" s="4">
        <v>22254069.77</v>
      </c>
      <c r="BE354" s="4">
        <v>804645.96</v>
      </c>
      <c r="BF354" s="4">
        <v>355523.44</v>
      </c>
      <c r="BG354" s="4">
        <v>0</v>
      </c>
      <c r="BH354" s="4">
        <f t="shared" si="57"/>
        <v>343133387.60999984</v>
      </c>
    </row>
    <row r="355" spans="1:60" x14ac:dyDescent="0.2">
      <c r="A355" s="3">
        <v>36770</v>
      </c>
      <c r="B355" s="4">
        <v>21241499.600000001</v>
      </c>
      <c r="C355" s="4">
        <v>1642241.32</v>
      </c>
      <c r="D355" s="4">
        <v>7855548.9500000011</v>
      </c>
      <c r="E355" s="4">
        <v>2800996.68</v>
      </c>
      <c r="F355" s="4">
        <v>2516555.41</v>
      </c>
      <c r="G355" s="4">
        <v>3777153.69</v>
      </c>
      <c r="H355" s="4">
        <v>3717431.13</v>
      </c>
      <c r="I355" s="4">
        <v>1348249.38</v>
      </c>
      <c r="J355" s="4">
        <v>3260744.32</v>
      </c>
      <c r="K355" s="4">
        <v>3171356.46</v>
      </c>
      <c r="L355" s="4">
        <v>2039552.2</v>
      </c>
      <c r="M355" s="4">
        <v>1294350.42</v>
      </c>
      <c r="N355" s="4">
        <v>12411386.25</v>
      </c>
      <c r="O355" s="4">
        <v>43431620.599999994</v>
      </c>
      <c r="P355" s="4">
        <v>2095596.81</v>
      </c>
      <c r="Q355" s="4">
        <v>1430567.84</v>
      </c>
      <c r="R355" s="4">
        <v>1655535.62</v>
      </c>
      <c r="S355" s="4">
        <v>2538834.6</v>
      </c>
      <c r="T355" s="4">
        <v>2705609.54</v>
      </c>
      <c r="U355" s="4">
        <v>450520.5</v>
      </c>
      <c r="V355" s="4">
        <v>2825505.41</v>
      </c>
      <c r="W355" s="4">
        <v>4065232.7</v>
      </c>
      <c r="X355" s="4">
        <v>812803.41</v>
      </c>
      <c r="Y355" s="4">
        <v>1993337.97</v>
      </c>
      <c r="Z355" s="4">
        <v>1679345.03</v>
      </c>
      <c r="AA355" s="4">
        <v>35135167.75</v>
      </c>
      <c r="AB355" s="4">
        <v>1460289.48</v>
      </c>
      <c r="AC355" s="4">
        <v>87587633.439999998</v>
      </c>
      <c r="AD355" s="4">
        <v>5134670.7</v>
      </c>
      <c r="AE355" s="4">
        <v>8406759.8399999999</v>
      </c>
      <c r="AF355" s="4">
        <v>17121764.670000002</v>
      </c>
      <c r="AG355" s="4">
        <v>4491348.08</v>
      </c>
      <c r="AH355" s="4">
        <v>14667358.07</v>
      </c>
      <c r="AI355" s="4">
        <v>1119839.72</v>
      </c>
      <c r="AJ355" s="4">
        <v>2252507.35</v>
      </c>
      <c r="AK355" s="4">
        <v>2257628.96</v>
      </c>
      <c r="AL355" s="4">
        <v>3727848.7</v>
      </c>
      <c r="AM355" s="4">
        <v>5596077.3100000005</v>
      </c>
      <c r="AN355" s="4">
        <v>9079868.8100000005</v>
      </c>
      <c r="AO355" s="4">
        <v>3351152.02</v>
      </c>
      <c r="AP355" s="4">
        <v>8190299.25</v>
      </c>
      <c r="AQ355" s="4">
        <v>5504013.8500000006</v>
      </c>
      <c r="AR355" s="4">
        <v>1095102.43</v>
      </c>
      <c r="AS355" s="4">
        <v>731224.27</v>
      </c>
      <c r="AT355" s="4">
        <v>1061229.49</v>
      </c>
      <c r="AU355" s="4">
        <v>3812165.22</v>
      </c>
      <c r="AV355" s="4">
        <v>76347502.319999993</v>
      </c>
      <c r="AW355" s="4">
        <v>2731685.72</v>
      </c>
      <c r="AX355" s="4">
        <v>1426900.08</v>
      </c>
      <c r="AY355" s="4">
        <v>3934694.7</v>
      </c>
      <c r="AZ355" s="4">
        <v>9266792.4299999997</v>
      </c>
      <c r="BA355" s="4">
        <v>4053090.36</v>
      </c>
      <c r="BB355" s="4">
        <v>1682228.46</v>
      </c>
      <c r="BC355" s="4">
        <v>2644286.27</v>
      </c>
      <c r="BD355" s="4">
        <v>31240939.82</v>
      </c>
      <c r="BE355" s="4">
        <v>1452757.87</v>
      </c>
      <c r="BF355" s="4">
        <v>843902.44</v>
      </c>
      <c r="BG355" s="4">
        <v>0</v>
      </c>
      <c r="BH355" s="4">
        <f t="shared" si="57"/>
        <v>490170305.72000003</v>
      </c>
    </row>
    <row r="356" spans="1:60" x14ac:dyDescent="0.2">
      <c r="A356" s="3">
        <v>36800</v>
      </c>
      <c r="B356" s="4">
        <v>14802055.110000001</v>
      </c>
      <c r="C356" s="4">
        <v>1049456.93</v>
      </c>
      <c r="D356" s="4">
        <v>7349767.8899999997</v>
      </c>
      <c r="E356" s="4">
        <v>1925452.7</v>
      </c>
      <c r="F356" s="4">
        <v>1753226.93</v>
      </c>
      <c r="G356" s="4">
        <v>3059076.28</v>
      </c>
      <c r="H356" s="4">
        <v>2535217.56</v>
      </c>
      <c r="I356" s="4">
        <v>873247.36</v>
      </c>
      <c r="J356" s="4">
        <v>2090350.15</v>
      </c>
      <c r="K356" s="4">
        <v>1724378.28</v>
      </c>
      <c r="L356" s="4">
        <v>1564339.15</v>
      </c>
      <c r="M356" s="4">
        <v>685245.84</v>
      </c>
      <c r="N356" s="4">
        <v>8113195.6900000013</v>
      </c>
      <c r="O356" s="4">
        <v>34627834.920000002</v>
      </c>
      <c r="P356" s="4">
        <v>1159552.6299999999</v>
      </c>
      <c r="Q356" s="4">
        <v>731403.54</v>
      </c>
      <c r="R356" s="4">
        <v>2644712.63</v>
      </c>
      <c r="S356" s="4">
        <v>1931114.67</v>
      </c>
      <c r="T356" s="4">
        <v>1328405.8600000001</v>
      </c>
      <c r="U356" s="4">
        <v>157957.12</v>
      </c>
      <c r="V356" s="4">
        <v>1388276.03</v>
      </c>
      <c r="W356" s="4">
        <v>2689689.66</v>
      </c>
      <c r="X356" s="4">
        <v>389977.28</v>
      </c>
      <c r="Y356" s="4">
        <v>1166502.95</v>
      </c>
      <c r="Z356" s="4">
        <v>1037181.31</v>
      </c>
      <c r="AA356" s="4">
        <v>27745797.750000004</v>
      </c>
      <c r="AB356" s="4">
        <v>1035709.43</v>
      </c>
      <c r="AC356" s="4">
        <v>62528733.18</v>
      </c>
      <c r="AD356" s="4">
        <v>4863090.57</v>
      </c>
      <c r="AE356" s="4">
        <v>5744057.9499999993</v>
      </c>
      <c r="AF356" s="4">
        <v>16891705.129999999</v>
      </c>
      <c r="AG356" s="4">
        <v>3193395.71</v>
      </c>
      <c r="AH356" s="4">
        <v>10109687.619999999</v>
      </c>
      <c r="AI356" s="4">
        <v>766453.7</v>
      </c>
      <c r="AJ356" s="4">
        <v>1519888.54</v>
      </c>
      <c r="AK356" s="4">
        <v>1562984.63</v>
      </c>
      <c r="AL356" s="4">
        <v>2076731.37</v>
      </c>
      <c r="AM356" s="4">
        <v>3841707.18</v>
      </c>
      <c r="AN356" s="4">
        <v>8363679.6699999999</v>
      </c>
      <c r="AO356" s="4">
        <v>2126243.9</v>
      </c>
      <c r="AP356" s="4">
        <v>4938531.5999999996</v>
      </c>
      <c r="AQ356" s="4">
        <v>4371171.3499999996</v>
      </c>
      <c r="AR356" s="4">
        <v>554064.99</v>
      </c>
      <c r="AS356" s="4">
        <v>371217.91999999998</v>
      </c>
      <c r="AT356" s="4">
        <v>866665.45</v>
      </c>
      <c r="AU356" s="4">
        <v>2491827.4500000002</v>
      </c>
      <c r="AV356" s="4">
        <v>60314048.170000002</v>
      </c>
      <c r="AW356" s="4">
        <v>1775820.85</v>
      </c>
      <c r="AX356" s="4">
        <v>996420.67</v>
      </c>
      <c r="AY356" s="4">
        <v>2316224.9300000002</v>
      </c>
      <c r="AZ356" s="4">
        <v>5489158.7800000003</v>
      </c>
      <c r="BA356" s="4">
        <v>2636979.61</v>
      </c>
      <c r="BB356" s="4">
        <v>899154.25</v>
      </c>
      <c r="BC356" s="4">
        <v>1756285.45</v>
      </c>
      <c r="BD356" s="4">
        <v>25145612.82</v>
      </c>
      <c r="BE356" s="4">
        <v>856978.55</v>
      </c>
      <c r="BF356" s="4">
        <v>365471.04</v>
      </c>
      <c r="BG356" s="4">
        <v>0</v>
      </c>
      <c r="BH356" s="4">
        <f t="shared" si="57"/>
        <v>365293118.68000001</v>
      </c>
    </row>
    <row r="357" spans="1:60" x14ac:dyDescent="0.2">
      <c r="A357" s="3">
        <v>36831</v>
      </c>
      <c r="B357" s="4">
        <v>14226930.130000001</v>
      </c>
      <c r="C357" s="4">
        <v>852250.18</v>
      </c>
      <c r="D357" s="4">
        <v>6768077.5</v>
      </c>
      <c r="E357" s="4">
        <v>1731782.87</v>
      </c>
      <c r="F357" s="4">
        <v>1588600.09</v>
      </c>
      <c r="G357" s="4">
        <v>2798106.62</v>
      </c>
      <c r="H357" s="4">
        <v>2456107.29</v>
      </c>
      <c r="I357" s="4">
        <v>688705.22</v>
      </c>
      <c r="J357" s="4">
        <v>1984240.19</v>
      </c>
      <c r="K357" s="4">
        <v>1581788.76</v>
      </c>
      <c r="L357" s="4">
        <v>1325496.23</v>
      </c>
      <c r="M357" s="4">
        <v>567375.19999999995</v>
      </c>
      <c r="N357" s="4">
        <v>7635485.0999999996</v>
      </c>
      <c r="O357" s="4">
        <v>33259291.189999998</v>
      </c>
      <c r="P357" s="4">
        <v>979695.04</v>
      </c>
      <c r="Q357" s="4">
        <v>708275.95</v>
      </c>
      <c r="R357" s="4">
        <v>741032.09</v>
      </c>
      <c r="S357" s="4">
        <v>1747152.83</v>
      </c>
      <c r="T357" s="4">
        <v>1145062.48</v>
      </c>
      <c r="U357" s="4">
        <v>117842.42</v>
      </c>
      <c r="V357" s="4">
        <v>1267464.8</v>
      </c>
      <c r="W357" s="4">
        <v>2453544.38</v>
      </c>
      <c r="X357" s="4">
        <v>348340.01</v>
      </c>
      <c r="Y357" s="4">
        <v>1082973.0900000001</v>
      </c>
      <c r="Z357" s="4">
        <v>964993.65</v>
      </c>
      <c r="AA357" s="4">
        <v>27044951.600000001</v>
      </c>
      <c r="AB357" s="4">
        <v>1033999.18</v>
      </c>
      <c r="AC357" s="4">
        <v>59698374.909999996</v>
      </c>
      <c r="AD357" s="4">
        <v>4474793.4000000004</v>
      </c>
      <c r="AE357" s="4">
        <v>5421172.1799999997</v>
      </c>
      <c r="AF357" s="4">
        <v>14149659.600000001</v>
      </c>
      <c r="AG357" s="4">
        <v>3164544.99</v>
      </c>
      <c r="AH357" s="4">
        <v>9089856.2699999996</v>
      </c>
      <c r="AI357" s="4">
        <v>700924.36</v>
      </c>
      <c r="AJ357" s="4">
        <v>1264923.28</v>
      </c>
      <c r="AK357" s="4">
        <v>1300924.45</v>
      </c>
      <c r="AL357" s="4">
        <v>1829894.34</v>
      </c>
      <c r="AM357" s="4">
        <v>3538357.9</v>
      </c>
      <c r="AN357" s="4">
        <v>7611760.8699999992</v>
      </c>
      <c r="AO357" s="4">
        <v>1965162.03</v>
      </c>
      <c r="AP357" s="4">
        <v>4703752.9400000004</v>
      </c>
      <c r="AQ357" s="4">
        <v>4164095.27</v>
      </c>
      <c r="AR357" s="4">
        <v>525319.12</v>
      </c>
      <c r="AS357" s="4">
        <v>331705.28999999998</v>
      </c>
      <c r="AT357" s="4">
        <v>776263.55</v>
      </c>
      <c r="AU357" s="4">
        <v>2246513.7200000002</v>
      </c>
      <c r="AV357" s="4">
        <v>56636843.129999995</v>
      </c>
      <c r="AW357" s="4">
        <v>1340287.71</v>
      </c>
      <c r="AX357" s="4">
        <v>841074.9</v>
      </c>
      <c r="AY357" s="4">
        <v>2237036.64</v>
      </c>
      <c r="AZ357" s="4">
        <v>5227730.0999999996</v>
      </c>
      <c r="BA357" s="4">
        <v>2282829.67</v>
      </c>
      <c r="BB357" s="4">
        <v>823954.81</v>
      </c>
      <c r="BC357" s="4">
        <v>2026852.7</v>
      </c>
      <c r="BD357" s="4">
        <v>22878649.68</v>
      </c>
      <c r="BE357" s="4">
        <v>813010.53</v>
      </c>
      <c r="BF357" s="4">
        <v>322570.21999999997</v>
      </c>
      <c r="BG357" s="4">
        <v>0</v>
      </c>
      <c r="BH357" s="4">
        <f t="shared" si="57"/>
        <v>339488402.65000004</v>
      </c>
    </row>
    <row r="358" spans="1:60" x14ac:dyDescent="0.2">
      <c r="A358" s="3">
        <v>36861</v>
      </c>
      <c r="B358" s="4">
        <v>21356104.809999999</v>
      </c>
      <c r="C358" s="4">
        <v>1493791.14</v>
      </c>
      <c r="D358" s="4">
        <v>7506589.7799999993</v>
      </c>
      <c r="E358" s="4">
        <v>2583818.06</v>
      </c>
      <c r="F358" s="4">
        <v>2589780</v>
      </c>
      <c r="G358" s="4">
        <v>3689199.16</v>
      </c>
      <c r="H358" s="4">
        <v>3861940.85</v>
      </c>
      <c r="I358" s="4">
        <v>1153154.53</v>
      </c>
      <c r="J358" s="4">
        <v>3004599.64</v>
      </c>
      <c r="K358" s="4">
        <v>2283187.29</v>
      </c>
      <c r="L358" s="4">
        <v>1948102.99</v>
      </c>
      <c r="M358" s="4">
        <v>1029833.28</v>
      </c>
      <c r="N358" s="4">
        <v>10756592.02</v>
      </c>
      <c r="O358" s="4">
        <v>46796680.960000001</v>
      </c>
      <c r="P358" s="4">
        <v>1201856</v>
      </c>
      <c r="Q358" s="4">
        <v>1303445</v>
      </c>
      <c r="R358" s="4">
        <v>1041157.33</v>
      </c>
      <c r="S358" s="4">
        <v>2722118.62</v>
      </c>
      <c r="T358" s="4">
        <v>1935339.26</v>
      </c>
      <c r="U358" s="4">
        <v>275298.99</v>
      </c>
      <c r="V358" s="4">
        <v>1861444.06</v>
      </c>
      <c r="W358" s="4">
        <v>3495815.54</v>
      </c>
      <c r="X358" s="4">
        <v>710104.04</v>
      </c>
      <c r="Y358" s="4">
        <v>1741419.15</v>
      </c>
      <c r="Z358" s="4">
        <v>1407883.01</v>
      </c>
      <c r="AA358" s="4">
        <v>32702344.640000001</v>
      </c>
      <c r="AB358" s="4">
        <v>1280752.74</v>
      </c>
      <c r="AC358" s="4">
        <v>86426878.600000009</v>
      </c>
      <c r="AD358" s="4">
        <v>5728458.25</v>
      </c>
      <c r="AE358" s="4">
        <v>8680519.3499999996</v>
      </c>
      <c r="AF358" s="4">
        <v>17811470.629999999</v>
      </c>
      <c r="AG358" s="4">
        <v>4762257.72</v>
      </c>
      <c r="AH358" s="4">
        <v>15117168.77</v>
      </c>
      <c r="AI358" s="4">
        <v>1159914.76</v>
      </c>
      <c r="AJ358" s="4">
        <v>2335544.13</v>
      </c>
      <c r="AK358" s="4">
        <v>2117457.0699999998</v>
      </c>
      <c r="AL358" s="4">
        <v>2865086.09</v>
      </c>
      <c r="AM358" s="4">
        <v>4763869.95</v>
      </c>
      <c r="AN358" s="4">
        <v>9987371.3800000008</v>
      </c>
      <c r="AO358" s="4">
        <v>3246124.61</v>
      </c>
      <c r="AP358" s="4">
        <v>7755062.4299999997</v>
      </c>
      <c r="AQ358" s="4">
        <v>8190443.8599999994</v>
      </c>
      <c r="AR358" s="4">
        <v>827215.05</v>
      </c>
      <c r="AS358" s="4">
        <v>533612.47</v>
      </c>
      <c r="AT358" s="4">
        <v>1327305.96</v>
      </c>
      <c r="AU358" s="4">
        <v>3762865.66</v>
      </c>
      <c r="AV358" s="4">
        <v>69105469.310000002</v>
      </c>
      <c r="AW358" s="4">
        <v>2320140.88</v>
      </c>
      <c r="AX358" s="4">
        <v>1417404.85</v>
      </c>
      <c r="AY358" s="4">
        <v>3806066.28</v>
      </c>
      <c r="AZ358" s="4">
        <v>7849782.3900000006</v>
      </c>
      <c r="BA358" s="4">
        <v>3353543.11</v>
      </c>
      <c r="BB358" s="4">
        <v>1234668.19</v>
      </c>
      <c r="BC358" s="4">
        <v>2469621.4500000002</v>
      </c>
      <c r="BD358" s="4">
        <v>36640617.82</v>
      </c>
      <c r="BE358" s="4">
        <v>1357618.52</v>
      </c>
      <c r="BF358" s="4">
        <v>773009.61</v>
      </c>
      <c r="BG358" s="4">
        <v>58.49</v>
      </c>
      <c r="BH358" s="4">
        <f t="shared" si="57"/>
        <v>479458980.53000009</v>
      </c>
    </row>
    <row r="359" spans="1:60" ht="15.75" thickBot="1" x14ac:dyDescent="0.25">
      <c r="A359" s="3" t="s">
        <v>5</v>
      </c>
      <c r="B359" s="5">
        <f t="shared" ref="B359:AG359" si="58">SUM(B347:B358)</f>
        <v>194433986.38</v>
      </c>
      <c r="C359" s="5">
        <f t="shared" si="58"/>
        <v>13901293.880000001</v>
      </c>
      <c r="D359" s="5">
        <f t="shared" si="58"/>
        <v>86522937.430000007</v>
      </c>
      <c r="E359" s="5">
        <f t="shared" si="58"/>
        <v>24951238.109999999</v>
      </c>
      <c r="F359" s="5">
        <f t="shared" si="58"/>
        <v>23035030.120000001</v>
      </c>
      <c r="G359" s="5">
        <f t="shared" si="58"/>
        <v>38801526.210000008</v>
      </c>
      <c r="H359" s="5">
        <f t="shared" si="58"/>
        <v>35556793.449999996</v>
      </c>
      <c r="I359" s="5">
        <f t="shared" si="58"/>
        <v>10446368.050000001</v>
      </c>
      <c r="J359" s="5">
        <f t="shared" si="58"/>
        <v>27780871.16</v>
      </c>
      <c r="K359" s="5">
        <f t="shared" si="58"/>
        <v>22787348.050000001</v>
      </c>
      <c r="L359" s="5">
        <f t="shared" si="58"/>
        <v>19041164.639999997</v>
      </c>
      <c r="M359" s="5">
        <f t="shared" si="58"/>
        <v>8906618.2199999988</v>
      </c>
      <c r="N359" s="5">
        <f t="shared" si="58"/>
        <v>101065352.52999999</v>
      </c>
      <c r="O359" s="5">
        <f t="shared" si="58"/>
        <v>449205358.44999999</v>
      </c>
      <c r="P359" s="5">
        <f t="shared" si="58"/>
        <v>13858231.620000001</v>
      </c>
      <c r="Q359" s="5">
        <f t="shared" si="58"/>
        <v>10715718.289999999</v>
      </c>
      <c r="R359" s="5">
        <f t="shared" si="58"/>
        <v>12933062.709999999</v>
      </c>
      <c r="S359" s="5">
        <f t="shared" si="58"/>
        <v>24285961.569999997</v>
      </c>
      <c r="T359" s="5">
        <f t="shared" si="58"/>
        <v>18327291.750000004</v>
      </c>
      <c r="U359" s="5">
        <f t="shared" si="58"/>
        <v>2143335.3899999997</v>
      </c>
      <c r="V359" s="5">
        <f t="shared" si="58"/>
        <v>18559499.159999996</v>
      </c>
      <c r="W359" s="5">
        <f t="shared" si="58"/>
        <v>34834756.199999996</v>
      </c>
      <c r="X359" s="5">
        <f t="shared" si="58"/>
        <v>5682869.0700000003</v>
      </c>
      <c r="Y359" s="5">
        <f t="shared" si="58"/>
        <v>15869439.41</v>
      </c>
      <c r="Z359" s="5">
        <f t="shared" si="58"/>
        <v>14010751.719999999</v>
      </c>
      <c r="AA359" s="5">
        <f t="shared" si="58"/>
        <v>356466052.18000007</v>
      </c>
      <c r="AB359" s="5">
        <f t="shared" si="58"/>
        <v>14370076.770000001</v>
      </c>
      <c r="AC359" s="5">
        <f t="shared" si="58"/>
        <v>805957531.02999985</v>
      </c>
      <c r="AD359" s="5">
        <f t="shared" si="58"/>
        <v>60628511.730000004</v>
      </c>
      <c r="AE359" s="5">
        <f t="shared" si="58"/>
        <v>76943731.889999986</v>
      </c>
      <c r="AF359" s="5">
        <f t="shared" si="58"/>
        <v>183705848.50999996</v>
      </c>
      <c r="AG359" s="5">
        <f t="shared" si="58"/>
        <v>43148687.269999996</v>
      </c>
      <c r="AH359" s="5">
        <f t="shared" ref="AH359:BG359" si="59">SUM(AH347:AH358)</f>
        <v>128599511.34</v>
      </c>
      <c r="AI359" s="5">
        <f t="shared" si="59"/>
        <v>10508809.109999999</v>
      </c>
      <c r="AJ359" s="5">
        <f t="shared" si="59"/>
        <v>18870023.539999999</v>
      </c>
      <c r="AK359" s="5">
        <f t="shared" si="59"/>
        <v>18309561.369999997</v>
      </c>
      <c r="AL359" s="5">
        <f t="shared" si="59"/>
        <v>27835170.650000002</v>
      </c>
      <c r="AM359" s="5">
        <f t="shared" si="59"/>
        <v>50261379.829999998</v>
      </c>
      <c r="AN359" s="5">
        <f t="shared" si="59"/>
        <v>102516559.29000001</v>
      </c>
      <c r="AO359" s="5">
        <f t="shared" si="59"/>
        <v>28134198.249999996</v>
      </c>
      <c r="AP359" s="5">
        <f t="shared" si="59"/>
        <v>67120666.840000004</v>
      </c>
      <c r="AQ359" s="5">
        <f t="shared" si="59"/>
        <v>61034697.45000001</v>
      </c>
      <c r="AR359" s="5">
        <f t="shared" si="59"/>
        <v>7878412.0599999996</v>
      </c>
      <c r="AS359" s="5">
        <f t="shared" si="59"/>
        <v>4965431.26</v>
      </c>
      <c r="AT359" s="5">
        <f t="shared" si="59"/>
        <v>10809550.93</v>
      </c>
      <c r="AU359" s="5">
        <f t="shared" si="59"/>
        <v>33131152.709999993</v>
      </c>
      <c r="AV359" s="5">
        <f t="shared" si="59"/>
        <v>760156490.22000003</v>
      </c>
      <c r="AW359" s="5">
        <f t="shared" si="59"/>
        <v>20318170.739999998</v>
      </c>
      <c r="AX359" s="5">
        <f t="shared" si="59"/>
        <v>12335868.41</v>
      </c>
      <c r="AY359" s="5">
        <f t="shared" si="59"/>
        <v>32236403.02</v>
      </c>
      <c r="AZ359" s="5">
        <f t="shared" si="59"/>
        <v>72630863.109999999</v>
      </c>
      <c r="BA359" s="5">
        <f t="shared" si="59"/>
        <v>33340117.420000002</v>
      </c>
      <c r="BB359" s="5">
        <f t="shared" si="59"/>
        <v>12278492.919999998</v>
      </c>
      <c r="BC359" s="5">
        <f t="shared" si="59"/>
        <v>23599137.949999999</v>
      </c>
      <c r="BD359" s="5">
        <f t="shared" si="59"/>
        <v>322956894.23999995</v>
      </c>
      <c r="BE359" s="5">
        <f t="shared" si="59"/>
        <v>11711321.700000001</v>
      </c>
      <c r="BF359" s="5">
        <f t="shared" si="59"/>
        <v>5458239.2199999997</v>
      </c>
      <c r="BG359" s="5">
        <f t="shared" si="59"/>
        <v>87.57</v>
      </c>
      <c r="BH359" s="5">
        <f t="shared" si="57"/>
        <v>4645874454.0999994</v>
      </c>
    </row>
    <row r="360" spans="1:60" ht="15.75" thickTop="1" x14ac:dyDescent="0.2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</row>
    <row r="361" spans="1:60" x14ac:dyDescent="0.2">
      <c r="A361" s="3">
        <v>36161</v>
      </c>
      <c r="B361" s="4">
        <v>14267015.390000001</v>
      </c>
      <c r="C361" s="4">
        <v>858738.3</v>
      </c>
      <c r="D361" s="4">
        <v>6288077.7700000005</v>
      </c>
      <c r="E361" s="4">
        <v>1741069.63</v>
      </c>
      <c r="F361" s="4">
        <v>1489076.36</v>
      </c>
      <c r="G361" s="4">
        <v>2704995.35</v>
      </c>
      <c r="H361" s="4">
        <v>2526087.06</v>
      </c>
      <c r="I361" s="4">
        <v>638168.13</v>
      </c>
      <c r="J361" s="4">
        <v>2115165.35</v>
      </c>
      <c r="K361" s="4">
        <v>1398940.52</v>
      </c>
      <c r="L361" s="4">
        <v>1300229.3999999999</v>
      </c>
      <c r="M361" s="4">
        <v>465977.86</v>
      </c>
      <c r="N361" s="4">
        <v>6575409.2599999998</v>
      </c>
      <c r="O361" s="4">
        <v>33024426.100000001</v>
      </c>
      <c r="P361" s="4">
        <v>826523.36</v>
      </c>
      <c r="Q361" s="4">
        <v>632132.54</v>
      </c>
      <c r="R361" s="4">
        <v>612185.27</v>
      </c>
      <c r="S361" s="4">
        <v>1235306.06</v>
      </c>
      <c r="T361" s="4">
        <v>1035663.95</v>
      </c>
      <c r="U361" s="4">
        <v>87151.47</v>
      </c>
      <c r="V361" s="4">
        <v>1064148.96</v>
      </c>
      <c r="W361" s="4">
        <v>2360619.16</v>
      </c>
      <c r="X361" s="4">
        <v>285946.64</v>
      </c>
      <c r="Y361" s="4">
        <v>961851.45</v>
      </c>
      <c r="Z361" s="4">
        <v>805585.98</v>
      </c>
      <c r="AA361" s="4">
        <v>26439893.039999999</v>
      </c>
      <c r="AB361" s="4">
        <v>861403.89</v>
      </c>
      <c r="AC361" s="4">
        <v>59086399.579999998</v>
      </c>
      <c r="AD361" s="4">
        <v>4469946.18</v>
      </c>
      <c r="AE361" s="4">
        <v>5221706.3899999997</v>
      </c>
      <c r="AF361" s="4">
        <v>13381031.879999999</v>
      </c>
      <c r="AG361" s="4">
        <v>2785521.88</v>
      </c>
      <c r="AH361" s="4">
        <v>8010603.6399999997</v>
      </c>
      <c r="AI361" s="4">
        <v>741343.36</v>
      </c>
      <c r="AJ361" s="4">
        <v>1127064.97</v>
      </c>
      <c r="AK361" s="4">
        <v>1053272.57</v>
      </c>
      <c r="AL361" s="4">
        <v>1970721.94</v>
      </c>
      <c r="AM361" s="4">
        <v>2971944.5</v>
      </c>
      <c r="AN361" s="4">
        <v>6940172.7300000004</v>
      </c>
      <c r="AO361" s="4">
        <v>2523150.6800000002</v>
      </c>
      <c r="AP361" s="4">
        <v>4150507.58</v>
      </c>
      <c r="AQ361" s="4">
        <v>4357793.16</v>
      </c>
      <c r="AR361" s="4">
        <v>424116.24</v>
      </c>
      <c r="AS361" s="4">
        <v>224350.58</v>
      </c>
      <c r="AT361" s="4">
        <v>710479.6</v>
      </c>
      <c r="AU361" s="4">
        <v>1954588.24</v>
      </c>
      <c r="AV361" s="4">
        <v>50757043.619999997</v>
      </c>
      <c r="AW361" s="4">
        <v>960783.75</v>
      </c>
      <c r="AX361" s="4">
        <v>724253.88</v>
      </c>
      <c r="AY361" s="4">
        <v>2098102.2200000002</v>
      </c>
      <c r="AZ361" s="4">
        <v>4528445.9800000004</v>
      </c>
      <c r="BA361" s="4">
        <v>1916222.29</v>
      </c>
      <c r="BB361" s="4">
        <v>678150</v>
      </c>
      <c r="BC361" s="4">
        <v>1510923.31</v>
      </c>
      <c r="BD361" s="4">
        <v>22303340.870000001</v>
      </c>
      <c r="BE361" s="4">
        <v>640845.53</v>
      </c>
      <c r="BF361" s="4">
        <v>276899.12</v>
      </c>
      <c r="BG361" s="4">
        <v>0</v>
      </c>
      <c r="BH361" s="4">
        <f t="shared" ref="BH361:BH373" si="60">SUM(B361:BG361)</f>
        <v>321101514.52000004</v>
      </c>
    </row>
    <row r="362" spans="1:60" x14ac:dyDescent="0.2">
      <c r="A362" s="3">
        <v>36192</v>
      </c>
      <c r="B362" s="4">
        <v>11338985.73</v>
      </c>
      <c r="C362" s="4">
        <v>668695.85</v>
      </c>
      <c r="D362" s="4">
        <v>4786355.21</v>
      </c>
      <c r="E362" s="4">
        <v>1379107.15</v>
      </c>
      <c r="F362" s="4">
        <v>1143368.1399999999</v>
      </c>
      <c r="G362" s="4">
        <v>2280338.8199999998</v>
      </c>
      <c r="H362" s="4">
        <v>1991804.25</v>
      </c>
      <c r="I362" s="4">
        <v>518230</v>
      </c>
      <c r="J362" s="4">
        <v>1550048.72</v>
      </c>
      <c r="K362" s="4">
        <v>1061315.71</v>
      </c>
      <c r="L362" s="4">
        <v>998479.26</v>
      </c>
      <c r="M362" s="4">
        <v>362394.68</v>
      </c>
      <c r="N362" s="4">
        <v>5120335.41</v>
      </c>
      <c r="O362" s="4">
        <v>30766282.190000005</v>
      </c>
      <c r="P362" s="4">
        <v>629506.02</v>
      </c>
      <c r="Q362" s="4">
        <v>467353.78</v>
      </c>
      <c r="R362" s="4">
        <v>482953.17</v>
      </c>
      <c r="S362" s="4">
        <v>978173.01</v>
      </c>
      <c r="T362" s="4">
        <v>803683.49</v>
      </c>
      <c r="U362" s="4">
        <v>59057.39</v>
      </c>
      <c r="V362" s="4">
        <v>787654.58</v>
      </c>
      <c r="W362" s="4">
        <v>1891364.2</v>
      </c>
      <c r="X362" s="4">
        <v>222751.5</v>
      </c>
      <c r="Y362" s="4">
        <v>756862.5</v>
      </c>
      <c r="Z362" s="4">
        <v>630606.35</v>
      </c>
      <c r="AA362" s="4">
        <v>21193028.209999997</v>
      </c>
      <c r="AB362" s="4">
        <v>696240.67</v>
      </c>
      <c r="AC362" s="4">
        <v>47431477.689999998</v>
      </c>
      <c r="AD362" s="4">
        <v>3590658.05</v>
      </c>
      <c r="AE362" s="4">
        <v>3979374.21</v>
      </c>
      <c r="AF362" s="4">
        <v>10525320.83</v>
      </c>
      <c r="AG362" s="4">
        <v>2223215.96</v>
      </c>
      <c r="AH362" s="4">
        <v>6289106.8599999994</v>
      </c>
      <c r="AI362" s="4">
        <v>572195.14</v>
      </c>
      <c r="AJ362" s="4">
        <v>851988.44</v>
      </c>
      <c r="AK362" s="4">
        <v>810600.02</v>
      </c>
      <c r="AL362" s="4">
        <v>1159449.31</v>
      </c>
      <c r="AM362" s="4">
        <v>2350564.98</v>
      </c>
      <c r="AN362" s="4">
        <v>5540952</v>
      </c>
      <c r="AO362" s="4">
        <v>1531729.99</v>
      </c>
      <c r="AP362" s="4">
        <v>3202089.47</v>
      </c>
      <c r="AQ362" s="4">
        <v>3391350.4</v>
      </c>
      <c r="AR362" s="4">
        <v>336999.44</v>
      </c>
      <c r="AS362" s="4">
        <v>183750.95</v>
      </c>
      <c r="AT362" s="4">
        <v>530594.89</v>
      </c>
      <c r="AU362" s="4">
        <v>1508331.62</v>
      </c>
      <c r="AV362" s="4">
        <v>40485722.699999996</v>
      </c>
      <c r="AW362" s="4">
        <v>942384.95</v>
      </c>
      <c r="AX362" s="4">
        <v>585735.48</v>
      </c>
      <c r="AY362" s="4">
        <v>1702472.48</v>
      </c>
      <c r="AZ362" s="4">
        <v>3585831.74</v>
      </c>
      <c r="BA362" s="4">
        <v>1561960.87</v>
      </c>
      <c r="BB362" s="4">
        <v>527757.27</v>
      </c>
      <c r="BC362" s="4">
        <v>1219025.72</v>
      </c>
      <c r="BD362" s="4">
        <v>17547014.240000002</v>
      </c>
      <c r="BE362" s="4">
        <v>505616.47</v>
      </c>
      <c r="BF362" s="4">
        <v>211202.46</v>
      </c>
      <c r="BG362" s="4">
        <v>0</v>
      </c>
      <c r="BH362" s="4">
        <f t="shared" si="60"/>
        <v>258449450.62</v>
      </c>
    </row>
    <row r="363" spans="1:60" x14ac:dyDescent="0.2">
      <c r="A363" s="3">
        <v>36220</v>
      </c>
      <c r="B363" s="4">
        <v>15670888.640000001</v>
      </c>
      <c r="C363" s="4">
        <v>1514207.4</v>
      </c>
      <c r="D363" s="4">
        <v>8594001.4000000004</v>
      </c>
      <c r="E363" s="4">
        <v>2899851.07</v>
      </c>
      <c r="F363" s="4">
        <v>2109503.84</v>
      </c>
      <c r="G363" s="4">
        <v>4420156.32</v>
      </c>
      <c r="H363" s="4">
        <v>3815959.27</v>
      </c>
      <c r="I363" s="4">
        <v>1153600.81</v>
      </c>
      <c r="J363" s="4">
        <v>2630041.7999999998</v>
      </c>
      <c r="K363" s="4">
        <v>2409103.3599999999</v>
      </c>
      <c r="L363" s="4">
        <v>2176770.9300000002</v>
      </c>
      <c r="M363" s="4">
        <v>876839.97</v>
      </c>
      <c r="N363" s="4">
        <v>9152121.6799999997</v>
      </c>
      <c r="O363" s="4">
        <v>41017448.189999998</v>
      </c>
      <c r="P363" s="4">
        <v>1383893.69</v>
      </c>
      <c r="Q363" s="4">
        <v>1320728.2</v>
      </c>
      <c r="R363" s="4">
        <v>1170152.21</v>
      </c>
      <c r="S363" s="4">
        <v>2360126.39</v>
      </c>
      <c r="T363" s="4">
        <v>1886556.86</v>
      </c>
      <c r="U363" s="4">
        <v>195832.19</v>
      </c>
      <c r="V363" s="4">
        <v>1859165.17</v>
      </c>
      <c r="W363" s="4">
        <v>3621588.18</v>
      </c>
      <c r="X363" s="4">
        <v>652964.81999999995</v>
      </c>
      <c r="Y363" s="4">
        <v>1513155.93</v>
      </c>
      <c r="Z363" s="4">
        <v>1596278.3</v>
      </c>
      <c r="AA363" s="4">
        <v>36149668.329999998</v>
      </c>
      <c r="AB363" s="4">
        <v>1367491.66</v>
      </c>
      <c r="AC363" s="4">
        <v>68285771.620000005</v>
      </c>
      <c r="AD363" s="4">
        <v>5821549.0099999998</v>
      </c>
      <c r="AE363" s="4">
        <v>7707677.2799999993</v>
      </c>
      <c r="AF363" s="4">
        <v>18595815.990000002</v>
      </c>
      <c r="AG363" s="4">
        <v>4095249.16</v>
      </c>
      <c r="AH363" s="4">
        <v>11290178.18</v>
      </c>
      <c r="AI363" s="4">
        <v>1098740.99</v>
      </c>
      <c r="AJ363" s="4">
        <v>1969625.57</v>
      </c>
      <c r="AK363" s="4">
        <v>1915924.03</v>
      </c>
      <c r="AL363" s="4">
        <v>2662673.0099999998</v>
      </c>
      <c r="AM363" s="4">
        <v>4624907.16</v>
      </c>
      <c r="AN363" s="4">
        <v>10305459.98</v>
      </c>
      <c r="AO363" s="4">
        <v>3095223.72</v>
      </c>
      <c r="AP363" s="4">
        <v>5802505.2699999996</v>
      </c>
      <c r="AQ363" s="4">
        <v>5467289.3100000005</v>
      </c>
      <c r="AR363" s="4">
        <v>848334.82</v>
      </c>
      <c r="AS363" s="4">
        <v>364470.94</v>
      </c>
      <c r="AT363" s="4">
        <v>832231.82</v>
      </c>
      <c r="AU363" s="4">
        <v>3163430.62</v>
      </c>
      <c r="AV363" s="4">
        <v>70433045.090000004</v>
      </c>
      <c r="AW363" s="4">
        <v>1943194.29</v>
      </c>
      <c r="AX363" s="4">
        <v>1327255.28</v>
      </c>
      <c r="AY363" s="4">
        <v>3520468.04</v>
      </c>
      <c r="AZ363" s="4">
        <v>6699513.2800000003</v>
      </c>
      <c r="BA363" s="4">
        <v>2649325.39</v>
      </c>
      <c r="BB363" s="4">
        <v>1322750.51</v>
      </c>
      <c r="BC363" s="4">
        <v>2394656.0299999998</v>
      </c>
      <c r="BD363" s="4">
        <v>29709193.209999997</v>
      </c>
      <c r="BE363" s="4">
        <v>1159194.1399999999</v>
      </c>
      <c r="BF363" s="4">
        <v>613073.46</v>
      </c>
      <c r="BG363" s="4">
        <v>0</v>
      </c>
      <c r="BH363" s="4">
        <f t="shared" si="60"/>
        <v>433236823.80999982</v>
      </c>
    </row>
    <row r="364" spans="1:60" x14ac:dyDescent="0.2">
      <c r="A364" s="3">
        <v>36251</v>
      </c>
      <c r="B364" s="4">
        <v>12758460.899999999</v>
      </c>
      <c r="C364" s="4">
        <v>824672.36</v>
      </c>
      <c r="D364" s="4">
        <v>6022047.9800000004</v>
      </c>
      <c r="E364" s="4">
        <v>1518481.45</v>
      </c>
      <c r="F364" s="4">
        <v>1437307.21</v>
      </c>
      <c r="G364" s="4">
        <v>2652343.67</v>
      </c>
      <c r="H364" s="4">
        <v>2211466.52</v>
      </c>
      <c r="I364" s="4">
        <v>684835.29</v>
      </c>
      <c r="J364" s="4">
        <v>1737103.61</v>
      </c>
      <c r="K364" s="4">
        <v>1460776.13</v>
      </c>
      <c r="L364" s="4">
        <v>1274919.73</v>
      </c>
      <c r="M364" s="4">
        <v>528876.85</v>
      </c>
      <c r="N364" s="4">
        <v>7092050.8500000006</v>
      </c>
      <c r="O364" s="4">
        <v>30366787.359999999</v>
      </c>
      <c r="P364" s="4">
        <v>866610.79</v>
      </c>
      <c r="Q364" s="4">
        <v>594187.89</v>
      </c>
      <c r="R364" s="4">
        <v>648896.72</v>
      </c>
      <c r="S364" s="4">
        <v>1332442.55</v>
      </c>
      <c r="T364" s="4">
        <v>1048826.24</v>
      </c>
      <c r="U364" s="4">
        <v>80822.19</v>
      </c>
      <c r="V364" s="4">
        <v>1072915.57</v>
      </c>
      <c r="W364" s="4">
        <v>2290933.46</v>
      </c>
      <c r="X364" s="4">
        <v>319095.39</v>
      </c>
      <c r="Y364" s="4">
        <v>1104484.01</v>
      </c>
      <c r="Z364" s="4">
        <v>906615.38</v>
      </c>
      <c r="AA364" s="4">
        <v>25954146.469999999</v>
      </c>
      <c r="AB364" s="4">
        <v>874449.09</v>
      </c>
      <c r="AC364" s="4">
        <v>55861639.689999998</v>
      </c>
      <c r="AD364" s="4">
        <v>4223760.22</v>
      </c>
      <c r="AE364" s="4">
        <v>5023868.0199999996</v>
      </c>
      <c r="AF364" s="4">
        <v>12657198.16</v>
      </c>
      <c r="AG364" s="4">
        <v>2592684.98</v>
      </c>
      <c r="AH364" s="4">
        <v>7909312.2799999993</v>
      </c>
      <c r="AI364" s="4">
        <v>743829.78</v>
      </c>
      <c r="AJ364" s="4">
        <v>1248094.42</v>
      </c>
      <c r="AK364" s="4">
        <v>1075297.3899999999</v>
      </c>
      <c r="AL364" s="4">
        <v>1674784.5</v>
      </c>
      <c r="AM364" s="4">
        <v>3112963.2</v>
      </c>
      <c r="AN364" s="4">
        <v>6769845.75</v>
      </c>
      <c r="AO364" s="4">
        <v>1933409.03</v>
      </c>
      <c r="AP364" s="4">
        <v>4102671.77</v>
      </c>
      <c r="AQ364" s="4">
        <v>4000372.27</v>
      </c>
      <c r="AR364" s="4">
        <v>459046.96</v>
      </c>
      <c r="AS364" s="4">
        <v>206970.79</v>
      </c>
      <c r="AT364" s="4">
        <v>702110.62</v>
      </c>
      <c r="AU364" s="4">
        <v>1943576.03</v>
      </c>
      <c r="AV364" s="4">
        <v>51066183.840000004</v>
      </c>
      <c r="AW364" s="4">
        <v>1313218.95</v>
      </c>
      <c r="AX364" s="4">
        <v>788045.45</v>
      </c>
      <c r="AY364" s="4">
        <v>1980522.13</v>
      </c>
      <c r="AZ364" s="4">
        <v>4502645.55</v>
      </c>
      <c r="BA364" s="4">
        <v>1860030.21</v>
      </c>
      <c r="BB364" s="4">
        <v>721372.46</v>
      </c>
      <c r="BC364" s="4">
        <v>1531091.27</v>
      </c>
      <c r="BD364" s="4">
        <v>21174346.899999999</v>
      </c>
      <c r="BE364" s="4">
        <v>750341.53</v>
      </c>
      <c r="BF364" s="4">
        <v>285131.08</v>
      </c>
      <c r="BG364" s="4">
        <v>0</v>
      </c>
      <c r="BH364" s="4">
        <f t="shared" si="60"/>
        <v>309878920.88999981</v>
      </c>
    </row>
    <row r="365" spans="1:60" x14ac:dyDescent="0.2">
      <c r="A365" s="3">
        <v>36281</v>
      </c>
      <c r="B365" s="4">
        <v>12034943.950000001</v>
      </c>
      <c r="C365" s="4">
        <v>796953.83</v>
      </c>
      <c r="D365" s="4">
        <v>5984727.7500000009</v>
      </c>
      <c r="E365" s="4">
        <v>1483722.63</v>
      </c>
      <c r="F365" s="4">
        <v>1386220.33</v>
      </c>
      <c r="G365" s="4">
        <v>2455667.04</v>
      </c>
      <c r="H365" s="4">
        <v>2355859.86</v>
      </c>
      <c r="I365" s="4">
        <v>652048.29</v>
      </c>
      <c r="J365" s="4">
        <v>1799443.6</v>
      </c>
      <c r="K365" s="4">
        <v>1330407.08</v>
      </c>
      <c r="L365" s="4">
        <v>1256270.8500000001</v>
      </c>
      <c r="M365" s="4">
        <v>513010.37</v>
      </c>
      <c r="N365" s="4">
        <v>6487877.2100000009</v>
      </c>
      <c r="O365" s="4">
        <v>29735557.030000001</v>
      </c>
      <c r="P365" s="4">
        <v>737228.06</v>
      </c>
      <c r="Q365" s="4">
        <v>588929.35</v>
      </c>
      <c r="R365" s="4">
        <v>602485.89</v>
      </c>
      <c r="S365" s="4">
        <v>1311625.93</v>
      </c>
      <c r="T365" s="4">
        <v>905808.53</v>
      </c>
      <c r="U365" s="4">
        <v>76840.89</v>
      </c>
      <c r="V365" s="4">
        <v>1078577.92</v>
      </c>
      <c r="W365" s="4">
        <v>2262258.09</v>
      </c>
      <c r="X365" s="4">
        <v>304623.73</v>
      </c>
      <c r="Y365" s="4">
        <v>1008604.75</v>
      </c>
      <c r="Z365" s="4">
        <v>867773.7</v>
      </c>
      <c r="AA365" s="4">
        <v>25044721.469999999</v>
      </c>
      <c r="AB365" s="4">
        <v>840092.01</v>
      </c>
      <c r="AC365" s="4">
        <v>52770402.609999999</v>
      </c>
      <c r="AD365" s="4">
        <v>4117601.92</v>
      </c>
      <c r="AE365" s="4">
        <v>4931450.59</v>
      </c>
      <c r="AF365" s="4">
        <v>12269588.16</v>
      </c>
      <c r="AG365" s="4">
        <v>2569414.65</v>
      </c>
      <c r="AH365" s="4">
        <v>7530967.4099999992</v>
      </c>
      <c r="AI365" s="4">
        <v>699946.15</v>
      </c>
      <c r="AJ365" s="4">
        <v>1207715.1399999999</v>
      </c>
      <c r="AK365" s="4">
        <v>1042813.28</v>
      </c>
      <c r="AL365" s="4">
        <v>1478967.61</v>
      </c>
      <c r="AM365" s="4">
        <v>2983210.01</v>
      </c>
      <c r="AN365" s="4">
        <v>6452946.9100000001</v>
      </c>
      <c r="AO365" s="4">
        <v>1803930.1</v>
      </c>
      <c r="AP365" s="4">
        <v>3913641.77</v>
      </c>
      <c r="AQ365" s="4">
        <v>3696023.84</v>
      </c>
      <c r="AR365" s="4">
        <v>452135.15</v>
      </c>
      <c r="AS365" s="4">
        <v>215764.41</v>
      </c>
      <c r="AT365" s="4">
        <v>663666.61</v>
      </c>
      <c r="AU365" s="4">
        <v>1948941.52</v>
      </c>
      <c r="AV365" s="4">
        <v>47967981.620000005</v>
      </c>
      <c r="AW365" s="4">
        <v>1140850.83</v>
      </c>
      <c r="AX365" s="4">
        <v>775808.97</v>
      </c>
      <c r="AY365" s="4">
        <v>2080106.2</v>
      </c>
      <c r="AZ365" s="4">
        <v>4124317.84</v>
      </c>
      <c r="BA365" s="4">
        <v>1810063.77</v>
      </c>
      <c r="BB365" s="4">
        <v>715793.81</v>
      </c>
      <c r="BC365" s="4">
        <v>1539283.62</v>
      </c>
      <c r="BD365" s="4">
        <v>19852174.920000002</v>
      </c>
      <c r="BE365" s="4">
        <v>722811.19</v>
      </c>
      <c r="BF365" s="4">
        <v>278431.34999999998</v>
      </c>
      <c r="BG365" s="4">
        <v>0</v>
      </c>
      <c r="BH365" s="4">
        <f t="shared" si="60"/>
        <v>295659032.10000008</v>
      </c>
    </row>
    <row r="366" spans="1:60" x14ac:dyDescent="0.2">
      <c r="A366" s="3">
        <v>36312</v>
      </c>
      <c r="B366" s="4">
        <v>19990894.740000002</v>
      </c>
      <c r="C366" s="4">
        <v>1489403.27</v>
      </c>
      <c r="D366" s="4">
        <v>8586890.8300000001</v>
      </c>
      <c r="E366" s="4">
        <v>2644309.5299999998</v>
      </c>
      <c r="F366" s="4">
        <v>2611842.6800000002</v>
      </c>
      <c r="G366" s="4">
        <v>4621531.7300000004</v>
      </c>
      <c r="H366" s="4">
        <v>3538625.46</v>
      </c>
      <c r="I366" s="4">
        <v>1235305.53</v>
      </c>
      <c r="J366" s="4">
        <v>2746332.57</v>
      </c>
      <c r="K366" s="4">
        <v>2656040.9900000002</v>
      </c>
      <c r="L366" s="4">
        <v>2041319.29</v>
      </c>
      <c r="M366" s="4">
        <v>965205.49</v>
      </c>
      <c r="N366" s="4">
        <v>10083907.57</v>
      </c>
      <c r="O366" s="4">
        <v>45473094.18</v>
      </c>
      <c r="P366" s="4">
        <v>1490265.67</v>
      </c>
      <c r="Q366" s="4">
        <v>1244584.1000000001</v>
      </c>
      <c r="R366" s="4">
        <v>1210975.24</v>
      </c>
      <c r="S366" s="4">
        <v>2202802.35</v>
      </c>
      <c r="T366" s="4">
        <v>2286063.71</v>
      </c>
      <c r="U366" s="4">
        <v>228364.19</v>
      </c>
      <c r="V366" s="4">
        <v>1971056.31</v>
      </c>
      <c r="W366" s="4">
        <v>3720605.48</v>
      </c>
      <c r="X366" s="4">
        <v>622281.06999999995</v>
      </c>
      <c r="Y366" s="4">
        <v>1685271.63</v>
      </c>
      <c r="Z366" s="4">
        <v>1579894.82</v>
      </c>
      <c r="AA366" s="4">
        <v>39594292.990000002</v>
      </c>
      <c r="AB366" s="4">
        <v>1315323.51</v>
      </c>
      <c r="AC366" s="4">
        <v>76036951.480000004</v>
      </c>
      <c r="AD366" s="4">
        <v>6494697.6799999997</v>
      </c>
      <c r="AE366" s="4">
        <v>8524356.6500000004</v>
      </c>
      <c r="AF366" s="4">
        <v>19223027.649999999</v>
      </c>
      <c r="AG366" s="4">
        <v>4528554.32</v>
      </c>
      <c r="AH366" s="4">
        <v>12473877.6</v>
      </c>
      <c r="AI366" s="4">
        <v>1185298.6299999999</v>
      </c>
      <c r="AJ366" s="4">
        <v>2236120.7799999998</v>
      </c>
      <c r="AK366" s="4">
        <v>2116157.25</v>
      </c>
      <c r="AL366" s="4">
        <v>2413117.4500000002</v>
      </c>
      <c r="AM366" s="4">
        <v>5549035.8799999999</v>
      </c>
      <c r="AN366" s="4">
        <v>10411035.6</v>
      </c>
      <c r="AO366" s="4">
        <v>3317105.46</v>
      </c>
      <c r="AP366" s="4">
        <v>7112297.5900000008</v>
      </c>
      <c r="AQ366" s="4">
        <v>6465569.8599999994</v>
      </c>
      <c r="AR366" s="4">
        <v>820039.44</v>
      </c>
      <c r="AS366" s="4">
        <v>502013.84</v>
      </c>
      <c r="AT366" s="4">
        <v>980040.56</v>
      </c>
      <c r="AU366" s="4">
        <v>3643059.26</v>
      </c>
      <c r="AV366" s="4">
        <v>78859391.569999993</v>
      </c>
      <c r="AW366" s="4">
        <v>2231184.7599999998</v>
      </c>
      <c r="AX366" s="4">
        <v>1531198.44</v>
      </c>
      <c r="AY366" s="4">
        <v>3817479.6</v>
      </c>
      <c r="AZ366" s="4">
        <v>8023261.3999999994</v>
      </c>
      <c r="BA366" s="4">
        <v>3531775.24</v>
      </c>
      <c r="BB366" s="4">
        <v>1367155.29</v>
      </c>
      <c r="BC366" s="4">
        <v>2602076.62</v>
      </c>
      <c r="BD366" s="4">
        <v>28862243.010000002</v>
      </c>
      <c r="BE366" s="4">
        <v>1413409.6</v>
      </c>
      <c r="BF366" s="4">
        <v>704317.85</v>
      </c>
      <c r="BG366" s="4">
        <v>0</v>
      </c>
      <c r="BH366" s="4">
        <f t="shared" si="60"/>
        <v>474812335.28999996</v>
      </c>
    </row>
    <row r="367" spans="1:60" x14ac:dyDescent="0.2">
      <c r="A367" s="3">
        <v>36342</v>
      </c>
      <c r="B367" s="4">
        <v>13597029.799999999</v>
      </c>
      <c r="C367" s="4">
        <v>807312.56</v>
      </c>
      <c r="D367" s="4">
        <v>6286052.2299999995</v>
      </c>
      <c r="E367" s="4">
        <v>1606622.91</v>
      </c>
      <c r="F367" s="4">
        <v>1539858.36</v>
      </c>
      <c r="G367" s="4">
        <v>2750072.01</v>
      </c>
      <c r="H367" s="4">
        <v>2359486.8199999998</v>
      </c>
      <c r="I367" s="4">
        <v>702497.18</v>
      </c>
      <c r="J367" s="4">
        <v>1980664.61</v>
      </c>
      <c r="K367" s="4">
        <v>1542882.8</v>
      </c>
      <c r="L367" s="4">
        <v>1302519.76</v>
      </c>
      <c r="M367" s="4">
        <v>570194.14</v>
      </c>
      <c r="N367" s="4">
        <v>6924659.4500000002</v>
      </c>
      <c r="O367" s="4">
        <v>30720868.359999999</v>
      </c>
      <c r="P367" s="4">
        <v>1116517.22</v>
      </c>
      <c r="Q367" s="4">
        <v>719831.22</v>
      </c>
      <c r="R367" s="4">
        <v>695873.03</v>
      </c>
      <c r="S367" s="4">
        <v>1599613.59</v>
      </c>
      <c r="T367" s="4">
        <v>1223017.24</v>
      </c>
      <c r="U367" s="4">
        <v>160238.48000000001</v>
      </c>
      <c r="V367" s="4">
        <v>1277663.42</v>
      </c>
      <c r="W367" s="4">
        <v>2719227.25</v>
      </c>
      <c r="X367" s="4">
        <v>361861.74</v>
      </c>
      <c r="Y367" s="4">
        <v>1003368.35</v>
      </c>
      <c r="Z367" s="4">
        <v>953172.32</v>
      </c>
      <c r="AA367" s="4">
        <v>26582783.899999999</v>
      </c>
      <c r="AB367" s="4">
        <v>924539.79</v>
      </c>
      <c r="AC367" s="4">
        <v>58233821.710000008</v>
      </c>
      <c r="AD367" s="4">
        <v>4412456.8</v>
      </c>
      <c r="AE367" s="4">
        <v>5379153.1399999997</v>
      </c>
      <c r="AF367" s="4">
        <v>13256923.52</v>
      </c>
      <c r="AG367" s="4">
        <v>2778071.04</v>
      </c>
      <c r="AH367" s="4">
        <v>8416421.0700000003</v>
      </c>
      <c r="AI367" s="4">
        <v>697025.36</v>
      </c>
      <c r="AJ367" s="4">
        <v>1316970.1599999999</v>
      </c>
      <c r="AK367" s="4">
        <v>1242939.31</v>
      </c>
      <c r="AL367" s="4">
        <v>1720903.22</v>
      </c>
      <c r="AM367" s="4">
        <v>3268083.1</v>
      </c>
      <c r="AN367" s="4">
        <v>7229483.5899999999</v>
      </c>
      <c r="AO367" s="4">
        <v>2089173.8</v>
      </c>
      <c r="AP367" s="4">
        <v>4644551.38</v>
      </c>
      <c r="AQ367" s="4">
        <v>4077199.41</v>
      </c>
      <c r="AR367" s="4">
        <v>508275.67</v>
      </c>
      <c r="AS367" s="4">
        <v>308435.09000000003</v>
      </c>
      <c r="AT367" s="4">
        <v>851460.85</v>
      </c>
      <c r="AU367" s="4">
        <v>2140869.29</v>
      </c>
      <c r="AV367" s="4">
        <v>56207558.260000005</v>
      </c>
      <c r="AW367" s="4">
        <v>1555920.54</v>
      </c>
      <c r="AX367" s="4">
        <v>802940.4</v>
      </c>
      <c r="AY367" s="4">
        <v>2154103.31</v>
      </c>
      <c r="AZ367" s="4">
        <v>4838164.26</v>
      </c>
      <c r="BA367" s="4">
        <v>2789848.68</v>
      </c>
      <c r="BB367" s="4">
        <v>814379.16</v>
      </c>
      <c r="BC367" s="4">
        <v>1629336.28</v>
      </c>
      <c r="BD367" s="4">
        <v>22011636.870000001</v>
      </c>
      <c r="BE367" s="4">
        <v>847399.44</v>
      </c>
      <c r="BF367" s="4">
        <v>332440.28000000003</v>
      </c>
      <c r="BG367" s="4">
        <v>0</v>
      </c>
      <c r="BH367" s="4">
        <f t="shared" si="60"/>
        <v>328584373.52999997</v>
      </c>
    </row>
    <row r="368" spans="1:60" x14ac:dyDescent="0.2">
      <c r="A368" s="3">
        <v>36373</v>
      </c>
      <c r="B368" s="4">
        <v>12980938.600000001</v>
      </c>
      <c r="C368" s="4">
        <v>806703.5</v>
      </c>
      <c r="D368" s="4">
        <v>6558673.1800000006</v>
      </c>
      <c r="E368" s="4">
        <v>1609544.93</v>
      </c>
      <c r="F368" s="4">
        <v>1554477.99</v>
      </c>
      <c r="G368" s="4">
        <v>2768228.03</v>
      </c>
      <c r="H368" s="4">
        <v>2421057.1800000002</v>
      </c>
      <c r="I368" s="4">
        <v>736483.51</v>
      </c>
      <c r="J368" s="4">
        <v>1862059.53</v>
      </c>
      <c r="K368" s="4">
        <v>1476587.05</v>
      </c>
      <c r="L368" s="4">
        <v>1248389.7</v>
      </c>
      <c r="M368" s="4">
        <v>539708.07999999996</v>
      </c>
      <c r="N368" s="4">
        <v>6644505.1699999999</v>
      </c>
      <c r="O368" s="4">
        <v>30110529.110000003</v>
      </c>
      <c r="P368" s="4">
        <v>1017862</v>
      </c>
      <c r="Q368" s="4">
        <v>685252.7</v>
      </c>
      <c r="R368" s="4">
        <v>678397.37</v>
      </c>
      <c r="S368" s="4">
        <v>1544976.57</v>
      </c>
      <c r="T368" s="4">
        <v>1116149.3</v>
      </c>
      <c r="U368" s="4">
        <v>131962.85999999999</v>
      </c>
      <c r="V368" s="4">
        <v>1216806.05</v>
      </c>
      <c r="W368" s="4">
        <v>2580944.7999999998</v>
      </c>
      <c r="X368" s="4">
        <v>335289.99</v>
      </c>
      <c r="Y368" s="4">
        <v>983274.74</v>
      </c>
      <c r="Z368" s="4">
        <v>879604.21</v>
      </c>
      <c r="AA368" s="4">
        <v>26065291.280000001</v>
      </c>
      <c r="AB368" s="4">
        <v>887320.25</v>
      </c>
      <c r="AC368" s="4">
        <v>55746907.950000003</v>
      </c>
      <c r="AD368" s="4">
        <v>4286706.7699999996</v>
      </c>
      <c r="AE368" s="4">
        <v>5222066.68</v>
      </c>
      <c r="AF368" s="4">
        <v>13330320.68</v>
      </c>
      <c r="AG368" s="4">
        <v>2744662.75</v>
      </c>
      <c r="AH368" s="4">
        <v>8226752.2799999993</v>
      </c>
      <c r="AI368" s="4">
        <v>665793.52</v>
      </c>
      <c r="AJ368" s="4">
        <v>1254610.1000000001</v>
      </c>
      <c r="AK368" s="4">
        <v>1260619.8899999999</v>
      </c>
      <c r="AL368" s="4">
        <v>1575613.15</v>
      </c>
      <c r="AM368" s="4">
        <v>3221029.11</v>
      </c>
      <c r="AN368" s="4">
        <v>6915291.2599999998</v>
      </c>
      <c r="AO368" s="4">
        <v>2026415.54</v>
      </c>
      <c r="AP368" s="4">
        <v>4574868.21</v>
      </c>
      <c r="AQ368" s="4">
        <v>3958229.04</v>
      </c>
      <c r="AR368" s="4">
        <v>484001.51</v>
      </c>
      <c r="AS368" s="4">
        <v>302647.93</v>
      </c>
      <c r="AT368" s="4">
        <v>828260.47</v>
      </c>
      <c r="AU368" s="4">
        <v>2091141.19</v>
      </c>
      <c r="AV368" s="4">
        <v>53932065.689999998</v>
      </c>
      <c r="AW368" s="4">
        <v>1472302.73</v>
      </c>
      <c r="AX368" s="4">
        <v>821719.7</v>
      </c>
      <c r="AY368" s="4">
        <v>2105097.36</v>
      </c>
      <c r="AZ368" s="4">
        <v>4678223.5</v>
      </c>
      <c r="BA368" s="4">
        <v>2637318.86</v>
      </c>
      <c r="BB368" s="4">
        <v>853522.11</v>
      </c>
      <c r="BC368" s="4">
        <v>1585955.31</v>
      </c>
      <c r="BD368" s="4">
        <v>21388270.450000003</v>
      </c>
      <c r="BE368" s="4">
        <v>781731.85</v>
      </c>
      <c r="BF368" s="4">
        <v>319989.90000000002</v>
      </c>
      <c r="BG368" s="4">
        <v>0</v>
      </c>
      <c r="BH368" s="4">
        <f t="shared" si="60"/>
        <v>318733153.17000002</v>
      </c>
    </row>
    <row r="369" spans="1:60" x14ac:dyDescent="0.2">
      <c r="A369" s="3">
        <v>36404</v>
      </c>
      <c r="B369" s="4">
        <v>16655000.540000001</v>
      </c>
      <c r="C369" s="4">
        <v>1273870.23</v>
      </c>
      <c r="D369" s="4">
        <v>7371222.0399999991</v>
      </c>
      <c r="E369" s="4">
        <v>2379873.0499999998</v>
      </c>
      <c r="F369" s="4">
        <v>2236201.7000000002</v>
      </c>
      <c r="G369" s="4">
        <v>4811669.76</v>
      </c>
      <c r="H369" s="4">
        <v>3133598.56</v>
      </c>
      <c r="I369" s="4">
        <v>1145878.53</v>
      </c>
      <c r="J369" s="4">
        <v>2995434.03</v>
      </c>
      <c r="K369" s="4">
        <v>2330171.6</v>
      </c>
      <c r="L369" s="4">
        <v>2015580.06</v>
      </c>
      <c r="M369" s="4">
        <v>907898.49</v>
      </c>
      <c r="N369" s="4">
        <v>8835231.6900000013</v>
      </c>
      <c r="O369" s="4">
        <v>40769284.439999998</v>
      </c>
      <c r="P369" s="4">
        <v>1830814.46</v>
      </c>
      <c r="Q369" s="4">
        <v>1306723.8899999999</v>
      </c>
      <c r="R369" s="4">
        <v>1037652.09</v>
      </c>
      <c r="S369" s="4">
        <v>2877626.2</v>
      </c>
      <c r="T369" s="4">
        <v>1947556.29</v>
      </c>
      <c r="U369" s="4">
        <v>418697.33</v>
      </c>
      <c r="V369" s="4">
        <v>2095123.09</v>
      </c>
      <c r="W369" s="4">
        <v>3198944.91</v>
      </c>
      <c r="X369" s="4">
        <v>418155.63</v>
      </c>
      <c r="Y369" s="4">
        <v>1541200.78</v>
      </c>
      <c r="Z369" s="4">
        <v>1967330.4</v>
      </c>
      <c r="AA369" s="4">
        <v>24632830.580000002</v>
      </c>
      <c r="AB369" s="4">
        <v>1558111.34</v>
      </c>
      <c r="AC369" s="4">
        <v>75511927.980000004</v>
      </c>
      <c r="AD369" s="4">
        <v>6031125.9200000009</v>
      </c>
      <c r="AE369" s="4">
        <v>7759108.6799999997</v>
      </c>
      <c r="AF369" s="4">
        <v>15968716.279999999</v>
      </c>
      <c r="AG369" s="4">
        <v>3827073.25</v>
      </c>
      <c r="AH369" s="4">
        <v>10972942.609999999</v>
      </c>
      <c r="AI369" s="4">
        <v>1019913.44</v>
      </c>
      <c r="AJ369" s="4">
        <v>2415381.31</v>
      </c>
      <c r="AK369" s="4">
        <v>2346776.44</v>
      </c>
      <c r="AL369" s="4">
        <v>2818260.29</v>
      </c>
      <c r="AM369" s="4">
        <v>4364824.1500000004</v>
      </c>
      <c r="AN369" s="4">
        <v>10295780.77</v>
      </c>
      <c r="AO369" s="4">
        <v>2767532.82</v>
      </c>
      <c r="AP369" s="4">
        <v>6530756.9099999992</v>
      </c>
      <c r="AQ369" s="4">
        <v>5161443.4400000004</v>
      </c>
      <c r="AR369" s="4">
        <v>839494.15</v>
      </c>
      <c r="AS369" s="4">
        <v>570179.28</v>
      </c>
      <c r="AT369" s="4">
        <v>1119218.29</v>
      </c>
      <c r="AU369" s="4">
        <v>3704399.49</v>
      </c>
      <c r="AV369" s="4">
        <v>81210104.469999999</v>
      </c>
      <c r="AW369" s="4">
        <v>2455030.79</v>
      </c>
      <c r="AX369" s="4">
        <v>1236488.7</v>
      </c>
      <c r="AY369" s="4">
        <v>3222371.64</v>
      </c>
      <c r="AZ369" s="4">
        <v>7189199.9199999999</v>
      </c>
      <c r="BA369" s="4">
        <v>4449541.91</v>
      </c>
      <c r="BB369" s="4">
        <v>1432764.95</v>
      </c>
      <c r="BC369" s="4">
        <v>1943029.8</v>
      </c>
      <c r="BD369" s="4">
        <v>28380620.68</v>
      </c>
      <c r="BE369" s="4">
        <v>1061119.01</v>
      </c>
      <c r="BF369" s="4">
        <v>659438.06000000006</v>
      </c>
      <c r="BG369" s="4">
        <v>0</v>
      </c>
      <c r="BH369" s="4">
        <f t="shared" si="60"/>
        <v>438956247.1400001</v>
      </c>
    </row>
    <row r="370" spans="1:60" x14ac:dyDescent="0.2">
      <c r="A370" s="3">
        <v>36434</v>
      </c>
      <c r="B370" s="4">
        <v>14089305.369999999</v>
      </c>
      <c r="C370" s="4">
        <v>966073.24</v>
      </c>
      <c r="D370" s="4">
        <v>6748245.4200000009</v>
      </c>
      <c r="E370" s="4">
        <v>1859179.85</v>
      </c>
      <c r="F370" s="4">
        <v>1639364.33</v>
      </c>
      <c r="G370" s="4">
        <v>2941174.97</v>
      </c>
      <c r="H370" s="4">
        <v>2478446.87</v>
      </c>
      <c r="I370" s="4">
        <v>730138.47</v>
      </c>
      <c r="J370" s="4">
        <v>1964178.89</v>
      </c>
      <c r="K370" s="4">
        <v>1796488.23</v>
      </c>
      <c r="L370" s="4">
        <v>1366775.87</v>
      </c>
      <c r="M370" s="4">
        <v>635743.49</v>
      </c>
      <c r="N370" s="4">
        <v>7751153.4100000001</v>
      </c>
      <c r="O370" s="4">
        <v>33311622.140000001</v>
      </c>
      <c r="P370" s="4">
        <v>1002792.56</v>
      </c>
      <c r="Q370" s="4">
        <v>703804.7</v>
      </c>
      <c r="R370" s="4">
        <v>734388.34</v>
      </c>
      <c r="S370" s="4">
        <v>1527181.15</v>
      </c>
      <c r="T370" s="4">
        <v>1316058.81</v>
      </c>
      <c r="U370" s="4">
        <v>176196.39</v>
      </c>
      <c r="V370" s="4">
        <v>1253719.52</v>
      </c>
      <c r="W370" s="4">
        <v>2759633.9</v>
      </c>
      <c r="X370" s="4">
        <v>365765.22</v>
      </c>
      <c r="Y370" s="4">
        <v>1165697.6599999999</v>
      </c>
      <c r="Z370" s="4">
        <v>1010359.13</v>
      </c>
      <c r="AA370" s="4">
        <v>27852912.75</v>
      </c>
      <c r="AB370" s="4">
        <v>988775.68</v>
      </c>
      <c r="AC370" s="4">
        <v>60068835.269999996</v>
      </c>
      <c r="AD370" s="4">
        <v>4758602.34</v>
      </c>
      <c r="AE370" s="4">
        <v>5487685.3699999992</v>
      </c>
      <c r="AF370" s="4">
        <v>14564587.649999999</v>
      </c>
      <c r="AG370" s="4">
        <v>2993993.28</v>
      </c>
      <c r="AH370" s="4">
        <v>9297415.4100000001</v>
      </c>
      <c r="AI370" s="4">
        <v>801089.55</v>
      </c>
      <c r="AJ370" s="4">
        <v>1220425.78</v>
      </c>
      <c r="AK370" s="4">
        <v>1329425.67</v>
      </c>
      <c r="AL370" s="4">
        <v>2090659.32</v>
      </c>
      <c r="AM370" s="4">
        <v>3632229.73</v>
      </c>
      <c r="AN370" s="4">
        <v>7644123.4499999993</v>
      </c>
      <c r="AO370" s="4">
        <v>2184050.38</v>
      </c>
      <c r="AP370" s="4">
        <v>4722028.68</v>
      </c>
      <c r="AQ370" s="4">
        <v>3912438.95</v>
      </c>
      <c r="AR370" s="4">
        <v>550665.38</v>
      </c>
      <c r="AS370" s="4">
        <v>258969.02</v>
      </c>
      <c r="AT370" s="4">
        <v>878102.05</v>
      </c>
      <c r="AU370" s="4">
        <v>2318868.1</v>
      </c>
      <c r="AV370" s="4">
        <v>57218443.110000007</v>
      </c>
      <c r="AW370" s="4">
        <v>1506070.84</v>
      </c>
      <c r="AX370" s="4">
        <v>924857.72</v>
      </c>
      <c r="AY370" s="4">
        <v>2455821.36</v>
      </c>
      <c r="AZ370" s="4">
        <v>5155911.67</v>
      </c>
      <c r="BA370" s="4">
        <v>2397992.4900000002</v>
      </c>
      <c r="BB370" s="4">
        <v>864419.29</v>
      </c>
      <c r="BC370" s="4">
        <v>1800314.52</v>
      </c>
      <c r="BD370" s="4">
        <v>23184569.879999999</v>
      </c>
      <c r="BE370" s="4">
        <v>845040.24</v>
      </c>
      <c r="BF370" s="4">
        <v>373217.38</v>
      </c>
      <c r="BG370" s="4">
        <v>0</v>
      </c>
      <c r="BH370" s="4">
        <f t="shared" si="60"/>
        <v>344576030.24000001</v>
      </c>
    </row>
    <row r="371" spans="1:60" x14ac:dyDescent="0.2">
      <c r="A371" s="3">
        <v>36465</v>
      </c>
      <c r="B371" s="4">
        <v>13462641.75</v>
      </c>
      <c r="C371" s="4">
        <v>781718.91</v>
      </c>
      <c r="D371" s="4">
        <v>6219058.2599999998</v>
      </c>
      <c r="E371" s="4">
        <v>1589496.12</v>
      </c>
      <c r="F371" s="4">
        <v>1490273.64</v>
      </c>
      <c r="G371" s="4">
        <v>2715302.08</v>
      </c>
      <c r="H371" s="4">
        <v>2364316.94</v>
      </c>
      <c r="I371" s="4">
        <v>690658.9</v>
      </c>
      <c r="J371" s="4">
        <v>1915930.05</v>
      </c>
      <c r="K371" s="4">
        <v>1531333.47</v>
      </c>
      <c r="L371" s="4">
        <v>1280436.96</v>
      </c>
      <c r="M371" s="4">
        <v>550880.75</v>
      </c>
      <c r="N371" s="4">
        <v>6993078.8700000001</v>
      </c>
      <c r="O371" s="4">
        <v>30424041.370000001</v>
      </c>
      <c r="P371" s="4">
        <v>933022.27</v>
      </c>
      <c r="Q371" s="4">
        <v>668053.04</v>
      </c>
      <c r="R371" s="4">
        <v>658013.29</v>
      </c>
      <c r="S371" s="4">
        <v>1401790.8</v>
      </c>
      <c r="T371" s="4">
        <v>1106068.93</v>
      </c>
      <c r="U371" s="4">
        <v>122189.28</v>
      </c>
      <c r="V371" s="4">
        <v>1129137.1299999999</v>
      </c>
      <c r="W371" s="4">
        <v>2345163.02</v>
      </c>
      <c r="X371" s="4">
        <v>323277.65999999997</v>
      </c>
      <c r="Y371" s="4">
        <v>1025367.44</v>
      </c>
      <c r="Z371" s="4">
        <v>897207.12</v>
      </c>
      <c r="AA371" s="4">
        <v>26524046.68</v>
      </c>
      <c r="AB371" s="4">
        <v>874522.38</v>
      </c>
      <c r="AC371" s="4">
        <v>55601173.060000002</v>
      </c>
      <c r="AD371" s="4">
        <v>4245063.71</v>
      </c>
      <c r="AE371" s="4">
        <v>5075696.4800000004</v>
      </c>
      <c r="AF371" s="4">
        <v>13991916.810000001</v>
      </c>
      <c r="AG371" s="4">
        <v>2786869.66</v>
      </c>
      <c r="AH371" s="4">
        <v>8325800.29</v>
      </c>
      <c r="AI371" s="4">
        <v>721102.98</v>
      </c>
      <c r="AJ371" s="4">
        <v>1109108.92</v>
      </c>
      <c r="AK371" s="4">
        <v>1207818.3700000001</v>
      </c>
      <c r="AL371" s="4">
        <v>1673753.01</v>
      </c>
      <c r="AM371" s="4">
        <v>3242542.3</v>
      </c>
      <c r="AN371" s="4">
        <v>6977137.1600000001</v>
      </c>
      <c r="AO371" s="4">
        <v>2112972.66</v>
      </c>
      <c r="AP371" s="4">
        <v>4494778.38</v>
      </c>
      <c r="AQ371" s="4">
        <v>3684816.39</v>
      </c>
      <c r="AR371" s="4">
        <v>490386.47</v>
      </c>
      <c r="AS371" s="4">
        <v>264458.01</v>
      </c>
      <c r="AT371" s="4">
        <v>789480.38</v>
      </c>
      <c r="AU371" s="4">
        <v>2060919.71</v>
      </c>
      <c r="AV371" s="4">
        <v>51576397.670000002</v>
      </c>
      <c r="AW371" s="4">
        <v>1288625.79</v>
      </c>
      <c r="AX371" s="4">
        <v>860769.44</v>
      </c>
      <c r="AY371" s="4">
        <v>2187384.8199999998</v>
      </c>
      <c r="AZ371" s="4">
        <v>4527902.66</v>
      </c>
      <c r="BA371" s="4">
        <v>2168349.42</v>
      </c>
      <c r="BB371" s="4">
        <v>776188.61</v>
      </c>
      <c r="BC371" s="4">
        <v>1695723.79</v>
      </c>
      <c r="BD371" s="4">
        <v>20925179.519999996</v>
      </c>
      <c r="BE371" s="4">
        <v>753185.84</v>
      </c>
      <c r="BF371" s="4">
        <v>328613.17</v>
      </c>
      <c r="BG371" s="4">
        <v>0</v>
      </c>
      <c r="BH371" s="4">
        <f t="shared" si="60"/>
        <v>315961142.59000003</v>
      </c>
    </row>
    <row r="372" spans="1:60" x14ac:dyDescent="0.2">
      <c r="A372" s="3">
        <v>36495</v>
      </c>
      <c r="B372" s="4">
        <v>20958451.969999999</v>
      </c>
      <c r="C372" s="4">
        <v>1740354.5600000001</v>
      </c>
      <c r="D372" s="4">
        <v>10073911.369999999</v>
      </c>
      <c r="E372" s="4">
        <v>2710297.1</v>
      </c>
      <c r="F372" s="4">
        <v>2250507.5099999998</v>
      </c>
      <c r="G372" s="4">
        <v>4343637.4000000004</v>
      </c>
      <c r="H372" s="4">
        <v>3627148.13</v>
      </c>
      <c r="I372" s="4">
        <v>1366525.48</v>
      </c>
      <c r="J372" s="4">
        <v>2871467.1</v>
      </c>
      <c r="K372" s="4">
        <v>2392899.1</v>
      </c>
      <c r="L372" s="4">
        <v>1851305.22</v>
      </c>
      <c r="M372" s="4">
        <v>920374.53</v>
      </c>
      <c r="N372" s="4">
        <v>10898063.949999999</v>
      </c>
      <c r="O372" s="4">
        <v>48640838.259999998</v>
      </c>
      <c r="P372" s="4">
        <v>1374356.49</v>
      </c>
      <c r="Q372" s="4">
        <v>1039995.36</v>
      </c>
      <c r="R372" s="4">
        <v>1114843.1000000001</v>
      </c>
      <c r="S372" s="4">
        <v>2245793.0699999998</v>
      </c>
      <c r="T372" s="4">
        <v>2013058.81</v>
      </c>
      <c r="U372" s="4">
        <v>210490.77</v>
      </c>
      <c r="V372" s="4">
        <v>2345766.69</v>
      </c>
      <c r="W372" s="4">
        <v>3323266.56</v>
      </c>
      <c r="X372" s="4">
        <v>652022.12</v>
      </c>
      <c r="Y372" s="4">
        <v>1907463.31</v>
      </c>
      <c r="Z372" s="4">
        <v>1528290.02</v>
      </c>
      <c r="AA372" s="4">
        <v>35990338.129999995</v>
      </c>
      <c r="AB372" s="4">
        <v>1447648.42</v>
      </c>
      <c r="AC372" s="4">
        <v>87689070.209999993</v>
      </c>
      <c r="AD372" s="4">
        <v>5770749.2599999998</v>
      </c>
      <c r="AE372" s="4">
        <v>8422032.1500000004</v>
      </c>
      <c r="AF372" s="4">
        <v>18047041.740000002</v>
      </c>
      <c r="AG372" s="4">
        <v>4899491.63</v>
      </c>
      <c r="AH372" s="4">
        <v>12449074.659999998</v>
      </c>
      <c r="AI372" s="4">
        <v>1107468.1299999999</v>
      </c>
      <c r="AJ372" s="4">
        <v>2128754.9500000002</v>
      </c>
      <c r="AK372" s="4">
        <v>2170249.14</v>
      </c>
      <c r="AL372" s="4">
        <v>2575004.66</v>
      </c>
      <c r="AM372" s="4">
        <v>5297345.21</v>
      </c>
      <c r="AN372" s="4">
        <v>10772681.99</v>
      </c>
      <c r="AO372" s="4">
        <v>2666205.36</v>
      </c>
      <c r="AP372" s="4">
        <v>6918039.4399999995</v>
      </c>
      <c r="AQ372" s="4">
        <v>6450319.8500000006</v>
      </c>
      <c r="AR372" s="4">
        <v>736269.94</v>
      </c>
      <c r="AS372" s="4">
        <v>544178.4</v>
      </c>
      <c r="AT372" s="4">
        <v>991381.44</v>
      </c>
      <c r="AU372" s="4">
        <v>3386368.24</v>
      </c>
      <c r="AV372" s="4">
        <v>82948824.419999987</v>
      </c>
      <c r="AW372" s="4">
        <v>2142993.84</v>
      </c>
      <c r="AX372" s="4">
        <v>1396021.34</v>
      </c>
      <c r="AY372" s="4">
        <v>3327773.18</v>
      </c>
      <c r="AZ372" s="4">
        <v>7886850.7100000009</v>
      </c>
      <c r="BA372" s="4">
        <v>3331346.21</v>
      </c>
      <c r="BB372" s="4">
        <v>1336197.92</v>
      </c>
      <c r="BC372" s="4">
        <v>2188896.5099999998</v>
      </c>
      <c r="BD372" s="4">
        <v>32334568.899999999</v>
      </c>
      <c r="BE372" s="4">
        <v>1388627.5</v>
      </c>
      <c r="BF372" s="4">
        <v>670155.6</v>
      </c>
      <c r="BG372" s="4">
        <v>0</v>
      </c>
      <c r="BH372" s="4">
        <f t="shared" si="60"/>
        <v>491813097.05999982</v>
      </c>
    </row>
    <row r="373" spans="1:60" ht="15.75" thickBot="1" x14ac:dyDescent="0.25">
      <c r="A373" s="3" t="s">
        <v>6</v>
      </c>
      <c r="B373" s="5">
        <f t="shared" ref="B373:AG373" si="61">SUM(B361:B372)</f>
        <v>177804557.38</v>
      </c>
      <c r="C373" s="5">
        <f t="shared" si="61"/>
        <v>12528704.010000002</v>
      </c>
      <c r="D373" s="5">
        <f t="shared" si="61"/>
        <v>83519263.440000013</v>
      </c>
      <c r="E373" s="5">
        <f t="shared" si="61"/>
        <v>23421555.420000002</v>
      </c>
      <c r="F373" s="5">
        <f t="shared" si="61"/>
        <v>20888002.089999996</v>
      </c>
      <c r="G373" s="5">
        <f t="shared" si="61"/>
        <v>39465117.179999992</v>
      </c>
      <c r="H373" s="5">
        <f t="shared" si="61"/>
        <v>32823856.919999998</v>
      </c>
      <c r="I373" s="5">
        <f t="shared" si="61"/>
        <v>10254370.119999999</v>
      </c>
      <c r="J373" s="5">
        <f t="shared" si="61"/>
        <v>26167869.860000003</v>
      </c>
      <c r="K373" s="5">
        <f t="shared" si="61"/>
        <v>21386946.039999999</v>
      </c>
      <c r="L373" s="5">
        <f t="shared" si="61"/>
        <v>18112997.030000001</v>
      </c>
      <c r="M373" s="5">
        <f t="shared" si="61"/>
        <v>7837104.7000000002</v>
      </c>
      <c r="N373" s="5">
        <f t="shared" si="61"/>
        <v>92558394.520000011</v>
      </c>
      <c r="O373" s="5">
        <f t="shared" si="61"/>
        <v>424360778.73000002</v>
      </c>
      <c r="P373" s="5">
        <f t="shared" si="61"/>
        <v>13209392.59</v>
      </c>
      <c r="Q373" s="5">
        <f t="shared" si="61"/>
        <v>9971576.7699999996</v>
      </c>
      <c r="R373" s="5">
        <f t="shared" si="61"/>
        <v>9646815.7200000007</v>
      </c>
      <c r="S373" s="5">
        <f t="shared" si="61"/>
        <v>20617457.670000002</v>
      </c>
      <c r="T373" s="5">
        <f t="shared" si="61"/>
        <v>16688512.16</v>
      </c>
      <c r="U373" s="5">
        <f t="shared" si="61"/>
        <v>1947843.43</v>
      </c>
      <c r="V373" s="5">
        <f t="shared" si="61"/>
        <v>17151734.41</v>
      </c>
      <c r="W373" s="5">
        <f t="shared" si="61"/>
        <v>33074549.009999998</v>
      </c>
      <c r="X373" s="5">
        <f t="shared" si="61"/>
        <v>4864035.51</v>
      </c>
      <c r="Y373" s="5">
        <f t="shared" si="61"/>
        <v>14656602.549999999</v>
      </c>
      <c r="Z373" s="5">
        <f t="shared" si="61"/>
        <v>13622717.73</v>
      </c>
      <c r="AA373" s="5">
        <f t="shared" si="61"/>
        <v>342023953.82999998</v>
      </c>
      <c r="AB373" s="5">
        <f t="shared" si="61"/>
        <v>12635918.689999999</v>
      </c>
      <c r="AC373" s="5">
        <f t="shared" si="61"/>
        <v>752324378.8499999</v>
      </c>
      <c r="AD373" s="5">
        <f t="shared" si="61"/>
        <v>58222917.859999999</v>
      </c>
      <c r="AE373" s="5">
        <f t="shared" si="61"/>
        <v>72734175.640000001</v>
      </c>
      <c r="AF373" s="5">
        <f t="shared" si="61"/>
        <v>175811489.34999999</v>
      </c>
      <c r="AG373" s="5">
        <f t="shared" si="61"/>
        <v>38824802.56000001</v>
      </c>
      <c r="AH373" s="5">
        <f t="shared" ref="AH373:BG373" si="62">SUM(AH361:AH372)</f>
        <v>111192452.28999999</v>
      </c>
      <c r="AI373" s="5">
        <f t="shared" si="62"/>
        <v>10053747.030000001</v>
      </c>
      <c r="AJ373" s="5">
        <f t="shared" si="62"/>
        <v>18085860.539999999</v>
      </c>
      <c r="AK373" s="5">
        <f t="shared" si="62"/>
        <v>17571893.359999999</v>
      </c>
      <c r="AL373" s="5">
        <f t="shared" si="62"/>
        <v>23813907.470000003</v>
      </c>
      <c r="AM373" s="5">
        <f t="shared" si="62"/>
        <v>44618679.329999998</v>
      </c>
      <c r="AN373" s="5">
        <f t="shared" si="62"/>
        <v>96254911.189999998</v>
      </c>
      <c r="AO373" s="5">
        <f t="shared" si="62"/>
        <v>28050899.539999999</v>
      </c>
      <c r="AP373" s="5">
        <f t="shared" si="62"/>
        <v>60168736.449999996</v>
      </c>
      <c r="AQ373" s="5">
        <f t="shared" si="62"/>
        <v>54622845.920000002</v>
      </c>
      <c r="AR373" s="5">
        <f t="shared" si="62"/>
        <v>6949765.1699999999</v>
      </c>
      <c r="AS373" s="5">
        <f t="shared" si="62"/>
        <v>3946189.2400000007</v>
      </c>
      <c r="AT373" s="5">
        <f t="shared" si="62"/>
        <v>9877027.5799999982</v>
      </c>
      <c r="AU373" s="5">
        <f t="shared" si="62"/>
        <v>29864493.310000002</v>
      </c>
      <c r="AV373" s="5">
        <f t="shared" si="62"/>
        <v>722662762.05999994</v>
      </c>
      <c r="AW373" s="5">
        <f t="shared" si="62"/>
        <v>18952562.059999999</v>
      </c>
      <c r="AX373" s="5">
        <f t="shared" si="62"/>
        <v>11775094.800000001</v>
      </c>
      <c r="AY373" s="5">
        <f t="shared" si="62"/>
        <v>30651702.34</v>
      </c>
      <c r="AZ373" s="5">
        <f t="shared" si="62"/>
        <v>65740268.509999998</v>
      </c>
      <c r="BA373" s="5">
        <f t="shared" si="62"/>
        <v>31103775.340000004</v>
      </c>
      <c r="BB373" s="5">
        <f t="shared" si="62"/>
        <v>11410451.380000001</v>
      </c>
      <c r="BC373" s="5">
        <f t="shared" si="62"/>
        <v>21640312.780000001</v>
      </c>
      <c r="BD373" s="5">
        <f t="shared" si="62"/>
        <v>287673159.44999999</v>
      </c>
      <c r="BE373" s="5">
        <f t="shared" si="62"/>
        <v>10869322.34</v>
      </c>
      <c r="BF373" s="5">
        <f t="shared" si="62"/>
        <v>5052909.71</v>
      </c>
      <c r="BG373" s="5">
        <f t="shared" si="62"/>
        <v>0</v>
      </c>
      <c r="BH373" s="5">
        <f t="shared" si="60"/>
        <v>4331762120.96</v>
      </c>
    </row>
    <row r="374" spans="1:60" ht="15.75" thickTop="1" x14ac:dyDescent="0.2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</row>
    <row r="375" spans="1:60" x14ac:dyDescent="0.2">
      <c r="A375" s="3">
        <v>35796</v>
      </c>
      <c r="B375" s="4">
        <v>14396185.700000001</v>
      </c>
      <c r="C375" s="4">
        <v>953338.41</v>
      </c>
      <c r="D375" s="4">
        <v>6493286.0199999996</v>
      </c>
      <c r="E375" s="4">
        <v>1734134.83</v>
      </c>
      <c r="F375" s="4">
        <v>1412552.43</v>
      </c>
      <c r="G375" s="4">
        <v>2731744.12</v>
      </c>
      <c r="H375" s="4">
        <v>2567592.19</v>
      </c>
      <c r="I375" s="4">
        <v>607119.86</v>
      </c>
      <c r="J375" s="4">
        <v>1877442.76</v>
      </c>
      <c r="K375" s="4">
        <v>1493600.95</v>
      </c>
      <c r="L375" s="4">
        <v>1147004.74</v>
      </c>
      <c r="M375" s="4">
        <v>458764.22</v>
      </c>
      <c r="N375" s="4">
        <v>7512093.5299999993</v>
      </c>
      <c r="O375" s="4">
        <v>34719672.019999996</v>
      </c>
      <c r="P375" s="4">
        <v>758903.22</v>
      </c>
      <c r="Q375" s="4">
        <v>643375.14</v>
      </c>
      <c r="R375" s="4">
        <v>579784.71</v>
      </c>
      <c r="S375" s="4">
        <v>1179539.5900000001</v>
      </c>
      <c r="T375" s="4">
        <v>1041363.98</v>
      </c>
      <c r="U375" s="4">
        <v>67284.84</v>
      </c>
      <c r="V375" s="4">
        <v>1161711.1000000001</v>
      </c>
      <c r="W375" s="4">
        <v>2242483.9500000002</v>
      </c>
      <c r="X375" s="4">
        <v>287594.23</v>
      </c>
      <c r="Y375" s="4">
        <v>862631.51</v>
      </c>
      <c r="Z375" s="4">
        <v>795986.32</v>
      </c>
      <c r="AA375" s="4">
        <v>26343805.420000002</v>
      </c>
      <c r="AB375" s="4">
        <v>792398.63</v>
      </c>
      <c r="AC375" s="4">
        <v>57861127.079999998</v>
      </c>
      <c r="AD375" s="4">
        <v>4261773.3099999996</v>
      </c>
      <c r="AE375" s="4">
        <v>5162761.41</v>
      </c>
      <c r="AF375" s="4">
        <v>12756983.859999999</v>
      </c>
      <c r="AG375" s="4">
        <v>2774776.74</v>
      </c>
      <c r="AH375" s="4">
        <v>7508462.1799999997</v>
      </c>
      <c r="AI375" s="4">
        <v>708059.53</v>
      </c>
      <c r="AJ375" s="4">
        <v>1156932.75</v>
      </c>
      <c r="AK375" s="4">
        <v>1061099.3600000001</v>
      </c>
      <c r="AL375" s="4">
        <v>1451618.18</v>
      </c>
      <c r="AM375" s="4">
        <v>2925839.44</v>
      </c>
      <c r="AN375" s="4">
        <v>6259655.8399999999</v>
      </c>
      <c r="AO375" s="4">
        <v>1916498.81</v>
      </c>
      <c r="AP375" s="4">
        <v>4020051.73</v>
      </c>
      <c r="AQ375" s="4">
        <v>3703064.32</v>
      </c>
      <c r="AR375" s="4">
        <v>475518.71999999997</v>
      </c>
      <c r="AS375" s="4">
        <v>195235.37</v>
      </c>
      <c r="AT375" s="4">
        <v>599854.31000000006</v>
      </c>
      <c r="AU375" s="4">
        <v>1908945.31</v>
      </c>
      <c r="AV375" s="4">
        <v>49112378.650000006</v>
      </c>
      <c r="AW375" s="4">
        <v>1103685.8999999999</v>
      </c>
      <c r="AX375" s="4">
        <v>742228.59</v>
      </c>
      <c r="AY375" s="4">
        <v>2252531.79</v>
      </c>
      <c r="AZ375" s="4">
        <v>4386734.41</v>
      </c>
      <c r="BA375" s="4">
        <v>1847748.71</v>
      </c>
      <c r="BB375" s="4">
        <v>683871.53</v>
      </c>
      <c r="BC375" s="4">
        <v>1403480.31</v>
      </c>
      <c r="BD375" s="4">
        <v>22025167.579999998</v>
      </c>
      <c r="BE375" s="4">
        <v>611544.12</v>
      </c>
      <c r="BF375" s="4">
        <v>250671.55</v>
      </c>
      <c r="BG375" s="4">
        <v>0</v>
      </c>
      <c r="BH375" s="4">
        <f t="shared" ref="BH375:BH387" si="63">SUM(B375:BG375)</f>
        <v>315989695.81</v>
      </c>
    </row>
    <row r="376" spans="1:60" x14ac:dyDescent="0.2">
      <c r="A376" s="3">
        <v>35827</v>
      </c>
      <c r="B376" s="4">
        <v>11646960.09</v>
      </c>
      <c r="C376" s="4">
        <v>767446.61</v>
      </c>
      <c r="D376" s="4">
        <v>5189881.3099999996</v>
      </c>
      <c r="E376" s="4">
        <v>1389678.43</v>
      </c>
      <c r="F376" s="4">
        <v>1159912.06</v>
      </c>
      <c r="G376" s="4">
        <v>2289272.69</v>
      </c>
      <c r="H376" s="4">
        <v>2238876.33</v>
      </c>
      <c r="I376" s="4">
        <v>492202.98</v>
      </c>
      <c r="J376" s="4">
        <v>1527061.85</v>
      </c>
      <c r="K376" s="4">
        <v>1122176.42</v>
      </c>
      <c r="L376" s="4">
        <v>1091680.17</v>
      </c>
      <c r="M376" s="4">
        <v>374087.97</v>
      </c>
      <c r="N376" s="4">
        <v>5348903.4400000004</v>
      </c>
      <c r="O376" s="4">
        <v>26590226.420000002</v>
      </c>
      <c r="P376" s="4">
        <v>604965.35</v>
      </c>
      <c r="Q376" s="4">
        <v>517008.56</v>
      </c>
      <c r="R376" s="4">
        <v>476742.66</v>
      </c>
      <c r="S376" s="4">
        <v>969764.81</v>
      </c>
      <c r="T376" s="4">
        <v>843605.36</v>
      </c>
      <c r="U376" s="4">
        <v>58547.95</v>
      </c>
      <c r="V376" s="4">
        <v>823445.43</v>
      </c>
      <c r="W376" s="4">
        <v>1846444.01</v>
      </c>
      <c r="X376" s="4">
        <v>239455.52</v>
      </c>
      <c r="Y376" s="4">
        <v>737233.91</v>
      </c>
      <c r="Z376" s="4">
        <v>658667.85</v>
      </c>
      <c r="AA376" s="4">
        <v>22310071.940000001</v>
      </c>
      <c r="AB376" s="4">
        <v>683584.89</v>
      </c>
      <c r="AC376" s="4">
        <v>47439512.5</v>
      </c>
      <c r="AD376" s="4">
        <v>3500591.68</v>
      </c>
      <c r="AE376" s="4">
        <v>4231305.6500000004</v>
      </c>
      <c r="AF376" s="4">
        <v>10398913.949999999</v>
      </c>
      <c r="AG376" s="4">
        <v>2256252.0699999998</v>
      </c>
      <c r="AH376" s="4">
        <v>6491203.0700000003</v>
      </c>
      <c r="AI376" s="4">
        <v>574590.46</v>
      </c>
      <c r="AJ376" s="4">
        <v>1244983.33</v>
      </c>
      <c r="AK376" s="4">
        <v>844419.65</v>
      </c>
      <c r="AL376" s="4">
        <v>1182251.53</v>
      </c>
      <c r="AM376" s="4">
        <v>2430342.2400000002</v>
      </c>
      <c r="AN376" s="4">
        <v>5273658.9000000004</v>
      </c>
      <c r="AO376" s="4">
        <v>1516498.77</v>
      </c>
      <c r="AP376" s="4">
        <v>3226126.6</v>
      </c>
      <c r="AQ376" s="4">
        <v>2979512.92</v>
      </c>
      <c r="AR376" s="4">
        <v>435339.15</v>
      </c>
      <c r="AS376" s="4">
        <v>161914.87</v>
      </c>
      <c r="AT376" s="4">
        <v>503047.45</v>
      </c>
      <c r="AU376" s="4">
        <v>1594157.79</v>
      </c>
      <c r="AV376" s="4">
        <v>40151908.240000002</v>
      </c>
      <c r="AW376" s="4">
        <v>903885.44</v>
      </c>
      <c r="AX376" s="4">
        <v>604707.63</v>
      </c>
      <c r="AY376" s="4">
        <v>1779664.16</v>
      </c>
      <c r="AZ376" s="4">
        <v>3660369.87</v>
      </c>
      <c r="BA376" s="4">
        <v>1514120.54</v>
      </c>
      <c r="BB376" s="4">
        <v>550531.26</v>
      </c>
      <c r="BC376" s="4">
        <v>1146751.44</v>
      </c>
      <c r="BD376" s="4">
        <v>17793383.32</v>
      </c>
      <c r="BE376" s="4">
        <v>506609.8</v>
      </c>
      <c r="BF376" s="4">
        <v>208999.99</v>
      </c>
      <c r="BG376" s="4">
        <v>0</v>
      </c>
      <c r="BH376" s="4">
        <f t="shared" si="63"/>
        <v>257103459.28</v>
      </c>
    </row>
    <row r="377" spans="1:60" x14ac:dyDescent="0.2">
      <c r="A377" s="3">
        <v>35855</v>
      </c>
      <c r="B377" s="4">
        <v>15082553.770000001</v>
      </c>
      <c r="C377" s="4">
        <v>1270080.6599999999</v>
      </c>
      <c r="D377" s="4">
        <v>6694391.9200000009</v>
      </c>
      <c r="E377" s="4">
        <v>2420037.87</v>
      </c>
      <c r="F377" s="4">
        <v>1948676.44</v>
      </c>
      <c r="G377" s="4">
        <v>3303091.22</v>
      </c>
      <c r="H377" s="4">
        <v>2553267.16</v>
      </c>
      <c r="I377" s="4">
        <v>1020063.71</v>
      </c>
      <c r="J377" s="4">
        <v>2644806.17</v>
      </c>
      <c r="K377" s="4">
        <v>2023194.64</v>
      </c>
      <c r="L377" s="4">
        <v>1741405.61</v>
      </c>
      <c r="M377" s="4">
        <v>746349.64</v>
      </c>
      <c r="N377" s="4">
        <v>8457526.5700000003</v>
      </c>
      <c r="O377" s="4">
        <v>36647606.850000001</v>
      </c>
      <c r="P377" s="4">
        <v>1168454.54</v>
      </c>
      <c r="Q377" s="4">
        <v>991638.99</v>
      </c>
      <c r="R377" s="4">
        <v>874335.1</v>
      </c>
      <c r="S377" s="4">
        <v>2107475.52</v>
      </c>
      <c r="T377" s="4">
        <v>1748368.39</v>
      </c>
      <c r="U377" s="4">
        <v>127260.58</v>
      </c>
      <c r="V377" s="4">
        <v>1794570.73</v>
      </c>
      <c r="W377" s="4">
        <v>3205211.69</v>
      </c>
      <c r="X377" s="4">
        <v>461377.15</v>
      </c>
      <c r="Y377" s="4">
        <v>1451970.74</v>
      </c>
      <c r="Z377" s="4">
        <v>1181776.04</v>
      </c>
      <c r="AA377" s="4">
        <v>29903221.309999999</v>
      </c>
      <c r="AB377" s="4">
        <v>1344248.27</v>
      </c>
      <c r="AC377" s="4">
        <v>65663181.75</v>
      </c>
      <c r="AD377" s="4">
        <v>5012354.49</v>
      </c>
      <c r="AE377" s="4">
        <v>6549536.1099999994</v>
      </c>
      <c r="AF377" s="4">
        <v>15921087.620000001</v>
      </c>
      <c r="AG377" s="4">
        <v>3685498.55</v>
      </c>
      <c r="AH377" s="4">
        <v>10639047.07</v>
      </c>
      <c r="AI377" s="4">
        <v>1002170.12</v>
      </c>
      <c r="AJ377" s="4">
        <v>963920.1</v>
      </c>
      <c r="AK377" s="4">
        <v>1397403.92</v>
      </c>
      <c r="AL377" s="4">
        <v>2399313.54</v>
      </c>
      <c r="AM377" s="4">
        <v>4089659.33</v>
      </c>
      <c r="AN377" s="4">
        <v>9653704.0299999993</v>
      </c>
      <c r="AO377" s="4">
        <v>2768827.36</v>
      </c>
      <c r="AP377" s="4">
        <v>5251368.24</v>
      </c>
      <c r="AQ377" s="4">
        <v>4578152.7699999996</v>
      </c>
      <c r="AR377" s="4">
        <v>596399.37</v>
      </c>
      <c r="AS377" s="4">
        <v>383241.78</v>
      </c>
      <c r="AT377" s="4">
        <v>1214851.53</v>
      </c>
      <c r="AU377" s="4">
        <v>2639143.7999999998</v>
      </c>
      <c r="AV377" s="4">
        <v>61368764.879999995</v>
      </c>
      <c r="AW377" s="4">
        <v>1604158.72</v>
      </c>
      <c r="AX377" s="4">
        <v>974455.1</v>
      </c>
      <c r="AY377" s="4">
        <v>2638778.63</v>
      </c>
      <c r="AZ377" s="4">
        <v>6386610.2800000003</v>
      </c>
      <c r="BA377" s="4">
        <v>2427135.17</v>
      </c>
      <c r="BB377" s="4">
        <v>1110621.6299999999</v>
      </c>
      <c r="BC377" s="4">
        <v>2193518.73</v>
      </c>
      <c r="BD377" s="4">
        <v>25476325.580000002</v>
      </c>
      <c r="BE377" s="4">
        <v>1120775.05</v>
      </c>
      <c r="BF377" s="4">
        <v>496218.83</v>
      </c>
      <c r="BG377" s="4">
        <v>0</v>
      </c>
      <c r="BH377" s="4">
        <f t="shared" si="63"/>
        <v>383119185.36000001</v>
      </c>
    </row>
    <row r="378" spans="1:60" x14ac:dyDescent="0.2">
      <c r="A378" s="3">
        <v>35886</v>
      </c>
      <c r="B378" s="4">
        <v>11786903.330000002</v>
      </c>
      <c r="C378" s="4">
        <v>803556.41</v>
      </c>
      <c r="D378" s="4">
        <v>5638083.8700000001</v>
      </c>
      <c r="E378" s="4">
        <v>1465039.03</v>
      </c>
      <c r="F378" s="4">
        <v>1292641.8</v>
      </c>
      <c r="G378" s="4">
        <v>2528937.9900000002</v>
      </c>
      <c r="H378" s="4">
        <v>2112129.11</v>
      </c>
      <c r="I378" s="4">
        <v>607497.93999999994</v>
      </c>
      <c r="J378" s="4">
        <v>1624376.99</v>
      </c>
      <c r="K378" s="4">
        <v>1217346.21</v>
      </c>
      <c r="L378" s="4">
        <v>1132891.3799999999</v>
      </c>
      <c r="M378" s="4">
        <v>455342.04</v>
      </c>
      <c r="N378" s="4">
        <v>5817546.5700000003</v>
      </c>
      <c r="O378" s="4">
        <v>29434661.509999998</v>
      </c>
      <c r="P378" s="4">
        <v>654209.76</v>
      </c>
      <c r="Q378" s="4">
        <v>565611.05000000005</v>
      </c>
      <c r="R378" s="4">
        <v>547545.65</v>
      </c>
      <c r="S378" s="4">
        <v>1260814.27</v>
      </c>
      <c r="T378" s="4">
        <v>807699.42</v>
      </c>
      <c r="U378" s="4">
        <v>67677.3</v>
      </c>
      <c r="V378" s="4">
        <v>988411.97</v>
      </c>
      <c r="W378" s="4">
        <v>2155872.79</v>
      </c>
      <c r="X378" s="4">
        <v>306110.14</v>
      </c>
      <c r="Y378" s="4">
        <v>904492.21</v>
      </c>
      <c r="Z378" s="4">
        <v>806133.38</v>
      </c>
      <c r="AA378" s="4">
        <v>24460538.959999997</v>
      </c>
      <c r="AB378" s="4">
        <v>826387.22</v>
      </c>
      <c r="AC378" s="4">
        <v>50032546.100000001</v>
      </c>
      <c r="AD378" s="4">
        <v>4048028.21</v>
      </c>
      <c r="AE378" s="4">
        <v>4455269.5999999996</v>
      </c>
      <c r="AF378" s="4">
        <v>11378627.439999999</v>
      </c>
      <c r="AG378" s="4">
        <v>2382866.9300000002</v>
      </c>
      <c r="AH378" s="4">
        <v>6845603.21</v>
      </c>
      <c r="AI378" s="4">
        <v>682475.41</v>
      </c>
      <c r="AJ378" s="4">
        <v>806942.85</v>
      </c>
      <c r="AK378" s="4">
        <v>977369.25</v>
      </c>
      <c r="AL378" s="4">
        <v>1487384.24</v>
      </c>
      <c r="AM378" s="4">
        <v>2816365.03</v>
      </c>
      <c r="AN378" s="4">
        <v>5566407.1699999999</v>
      </c>
      <c r="AO378" s="4">
        <v>1704797.93</v>
      </c>
      <c r="AP378" s="4">
        <v>3688873.78</v>
      </c>
      <c r="AQ378" s="4">
        <v>3315547.05</v>
      </c>
      <c r="AR378" s="4">
        <v>153347.81</v>
      </c>
      <c r="AS378" s="4">
        <v>204472.35</v>
      </c>
      <c r="AT378" s="4">
        <v>612954.31999999995</v>
      </c>
      <c r="AU378" s="4">
        <v>1782880.91</v>
      </c>
      <c r="AV378" s="4">
        <v>43997057.809999995</v>
      </c>
      <c r="AW378" s="4">
        <v>1069469.46</v>
      </c>
      <c r="AX378" s="4">
        <v>757008.18</v>
      </c>
      <c r="AY378" s="4">
        <v>1925673.28</v>
      </c>
      <c r="AZ378" s="4">
        <v>3980006.82</v>
      </c>
      <c r="BA378" s="4">
        <v>1719822.19</v>
      </c>
      <c r="BB378" s="4">
        <v>655217.56000000006</v>
      </c>
      <c r="BC378" s="4">
        <v>1909831.39</v>
      </c>
      <c r="BD378" s="4">
        <v>19123395.009999998</v>
      </c>
      <c r="BE378" s="4">
        <v>691333.15</v>
      </c>
      <c r="BF378" s="4">
        <v>265889.99</v>
      </c>
      <c r="BG378" s="4">
        <v>0</v>
      </c>
      <c r="BH378" s="4">
        <f t="shared" si="63"/>
        <v>279305922.72999996</v>
      </c>
    </row>
    <row r="379" spans="1:60" x14ac:dyDescent="0.2">
      <c r="A379" s="3">
        <v>35916</v>
      </c>
      <c r="B379" s="4">
        <v>12173184.470000001</v>
      </c>
      <c r="C379" s="4">
        <v>847597.52</v>
      </c>
      <c r="D379" s="4">
        <v>6516174.25</v>
      </c>
      <c r="E379" s="4">
        <v>1515947.89</v>
      </c>
      <c r="F379" s="4">
        <v>1352798.61</v>
      </c>
      <c r="G379" s="4">
        <v>2461934.63</v>
      </c>
      <c r="H379" s="4">
        <v>2181863.4500000002</v>
      </c>
      <c r="I379" s="4">
        <v>695420.2</v>
      </c>
      <c r="J379" s="4">
        <v>1694858.07</v>
      </c>
      <c r="K379" s="4">
        <v>1274004.71</v>
      </c>
      <c r="L379" s="4">
        <v>1195315.6200000001</v>
      </c>
      <c r="M379" s="4">
        <v>513929.5</v>
      </c>
      <c r="N379" s="4">
        <v>6012458.2999999998</v>
      </c>
      <c r="O379" s="4">
        <v>29735697.480000004</v>
      </c>
      <c r="P379" s="4">
        <v>693216.78</v>
      </c>
      <c r="Q379" s="4">
        <v>582809.54</v>
      </c>
      <c r="R379" s="4">
        <v>580452.34</v>
      </c>
      <c r="S379" s="4">
        <v>1327184.1299999999</v>
      </c>
      <c r="T379" s="4">
        <v>927969.7</v>
      </c>
      <c r="U379" s="4">
        <v>71370.36</v>
      </c>
      <c r="V379" s="4">
        <v>1027604.65</v>
      </c>
      <c r="W379" s="4">
        <v>2210518.7200000002</v>
      </c>
      <c r="X379" s="4">
        <v>466810.74</v>
      </c>
      <c r="Y379" s="4">
        <v>1031183.74</v>
      </c>
      <c r="Z379" s="4">
        <v>849567.27</v>
      </c>
      <c r="AA379" s="4">
        <v>25071056.720000003</v>
      </c>
      <c r="AB379" s="4">
        <v>840114.36</v>
      </c>
      <c r="AC379" s="4">
        <v>51243582.410000004</v>
      </c>
      <c r="AD379" s="4">
        <v>4465711.7699999996</v>
      </c>
      <c r="AE379" s="4">
        <v>4607489.57</v>
      </c>
      <c r="AF379" s="4">
        <v>11612304.870000001</v>
      </c>
      <c r="AG379" s="4">
        <v>2503821.2000000002</v>
      </c>
      <c r="AH379" s="4">
        <v>7229328.7200000007</v>
      </c>
      <c r="AI379" s="4">
        <v>697465.75</v>
      </c>
      <c r="AJ379" s="4">
        <v>1192109.49</v>
      </c>
      <c r="AK379" s="4">
        <v>1047094.65</v>
      </c>
      <c r="AL379" s="4">
        <v>1423470.41</v>
      </c>
      <c r="AM379" s="4">
        <v>2954291.02</v>
      </c>
      <c r="AN379" s="4">
        <v>5572291.9399999995</v>
      </c>
      <c r="AO379" s="4">
        <v>1926821.69</v>
      </c>
      <c r="AP379" s="4">
        <v>3859971.16</v>
      </c>
      <c r="AQ379" s="4">
        <v>3394662.05</v>
      </c>
      <c r="AR379" s="4">
        <v>449996.89</v>
      </c>
      <c r="AS379" s="4">
        <v>227418.73</v>
      </c>
      <c r="AT379" s="4">
        <v>640943.02</v>
      </c>
      <c r="AU379" s="4">
        <v>1907539.6</v>
      </c>
      <c r="AV379" s="4">
        <v>45672048.82</v>
      </c>
      <c r="AW379" s="4">
        <v>1183388.49</v>
      </c>
      <c r="AX379" s="4">
        <v>748314.61</v>
      </c>
      <c r="AY379" s="4">
        <v>2153984.7599999998</v>
      </c>
      <c r="AZ379" s="4">
        <v>4022993.19</v>
      </c>
      <c r="BA379" s="4">
        <v>1767704.35</v>
      </c>
      <c r="BB379" s="4">
        <v>671474.05</v>
      </c>
      <c r="BC379" s="4">
        <v>1495434.82</v>
      </c>
      <c r="BD379" s="4">
        <v>19020425.850000001</v>
      </c>
      <c r="BE379" s="4">
        <v>698319.23</v>
      </c>
      <c r="BF379" s="4">
        <v>285502.83</v>
      </c>
      <c r="BG379" s="4">
        <v>0</v>
      </c>
      <c r="BH379" s="4">
        <f t="shared" si="63"/>
        <v>288526949.69000006</v>
      </c>
    </row>
    <row r="380" spans="1:60" x14ac:dyDescent="0.2">
      <c r="A380" s="3">
        <v>35947</v>
      </c>
      <c r="B380" s="4">
        <v>17509049.440000001</v>
      </c>
      <c r="C380" s="4">
        <v>1365785.64</v>
      </c>
      <c r="D380" s="4">
        <v>9953054.3399999999</v>
      </c>
      <c r="E380" s="4">
        <v>2766156.14</v>
      </c>
      <c r="F380" s="4">
        <v>1617646.2</v>
      </c>
      <c r="G380" s="4">
        <v>4120753.47</v>
      </c>
      <c r="H380" s="4">
        <v>3387298.14</v>
      </c>
      <c r="I380" s="4">
        <v>1198400.03</v>
      </c>
      <c r="J380" s="4">
        <v>3073252.62</v>
      </c>
      <c r="K380" s="4">
        <v>2541910.0499999998</v>
      </c>
      <c r="L380" s="4">
        <v>2245232.7799999998</v>
      </c>
      <c r="M380" s="4">
        <v>1045915.46</v>
      </c>
      <c r="N380" s="4">
        <v>9860728.5800000001</v>
      </c>
      <c r="O380" s="4">
        <v>41247235.769999996</v>
      </c>
      <c r="P380" s="4">
        <v>1241313.75</v>
      </c>
      <c r="Q380" s="4">
        <v>1334317.96</v>
      </c>
      <c r="R380" s="4">
        <v>1133637.92</v>
      </c>
      <c r="S380" s="4">
        <v>2155019.41</v>
      </c>
      <c r="T380" s="4">
        <v>1756307.91</v>
      </c>
      <c r="U380" s="4">
        <v>218591.31</v>
      </c>
      <c r="V380" s="4">
        <v>2085998.79</v>
      </c>
      <c r="W380" s="4">
        <v>3889994.4</v>
      </c>
      <c r="X380" s="4">
        <v>614269.92000000004</v>
      </c>
      <c r="Y380" s="4">
        <v>1852081.55</v>
      </c>
      <c r="Z380" s="4">
        <v>1460113.04</v>
      </c>
      <c r="AA380" s="4">
        <v>31829085.25</v>
      </c>
      <c r="AB380" s="4">
        <v>1636002.13</v>
      </c>
      <c r="AC380" s="4">
        <v>75928382.520000011</v>
      </c>
      <c r="AD380" s="4">
        <v>5630020.8399999999</v>
      </c>
      <c r="AE380" s="4">
        <v>8075471.0300000003</v>
      </c>
      <c r="AF380" s="4">
        <v>18429692.259999998</v>
      </c>
      <c r="AG380" s="4">
        <v>3636404.65</v>
      </c>
      <c r="AH380" s="4">
        <v>12290446.129999999</v>
      </c>
      <c r="AI380" s="4">
        <v>1114937.6599999999</v>
      </c>
      <c r="AJ380" s="4">
        <v>2161407.89</v>
      </c>
      <c r="AK380" s="4">
        <v>1872968.3</v>
      </c>
      <c r="AL380" s="4">
        <v>2993986.35</v>
      </c>
      <c r="AM380" s="4">
        <v>4964142.0599999996</v>
      </c>
      <c r="AN380" s="4">
        <v>10444560.43</v>
      </c>
      <c r="AO380" s="4">
        <v>3950237.92</v>
      </c>
      <c r="AP380" s="4">
        <v>6184255.9299999997</v>
      </c>
      <c r="AQ380" s="4">
        <v>4480874.17</v>
      </c>
      <c r="AR380" s="4">
        <v>793838.56</v>
      </c>
      <c r="AS380" s="4">
        <v>464079.81</v>
      </c>
      <c r="AT380" s="4">
        <v>1075803.49</v>
      </c>
      <c r="AU380" s="4">
        <v>2734647.31</v>
      </c>
      <c r="AV380" s="4">
        <v>76568713.620000005</v>
      </c>
      <c r="AW380" s="4">
        <v>2048980.61</v>
      </c>
      <c r="AX380" s="4">
        <v>1256918.44</v>
      </c>
      <c r="AY380" s="4">
        <v>3205352.1</v>
      </c>
      <c r="AZ380" s="4">
        <v>7309346.9800000004</v>
      </c>
      <c r="BA380" s="4">
        <v>3195011.08</v>
      </c>
      <c r="BB380" s="4">
        <v>1285008.51</v>
      </c>
      <c r="BC380" s="4">
        <v>1934409.31</v>
      </c>
      <c r="BD380" s="4">
        <v>27493812.079999998</v>
      </c>
      <c r="BE380" s="4">
        <v>1314064.1599999999</v>
      </c>
      <c r="BF380" s="4">
        <v>662138.59</v>
      </c>
      <c r="BG380" s="4">
        <v>55.54</v>
      </c>
      <c r="BH380" s="4">
        <f t="shared" si="63"/>
        <v>446639120.33000016</v>
      </c>
    </row>
    <row r="381" spans="1:60" x14ac:dyDescent="0.2">
      <c r="A381" s="3">
        <v>35977</v>
      </c>
      <c r="B381" s="4">
        <v>13191028.969999999</v>
      </c>
      <c r="C381" s="4">
        <v>917440.1</v>
      </c>
      <c r="D381" s="4">
        <v>6365712.5</v>
      </c>
      <c r="E381" s="4">
        <v>1679190.07</v>
      </c>
      <c r="F381" s="4">
        <v>1489931.96</v>
      </c>
      <c r="G381" s="4">
        <v>2847337.65</v>
      </c>
      <c r="H381" s="4">
        <v>2206257.92</v>
      </c>
      <c r="I381" s="4">
        <v>698332.31</v>
      </c>
      <c r="J381" s="4">
        <v>1840829.64</v>
      </c>
      <c r="K381" s="4">
        <v>1427238.92</v>
      </c>
      <c r="L381" s="4">
        <v>1306586.5</v>
      </c>
      <c r="M381" s="4">
        <v>535931.44999999995</v>
      </c>
      <c r="N381" s="4">
        <v>6886264.3099999996</v>
      </c>
      <c r="O381" s="4">
        <v>30736582.789999995</v>
      </c>
      <c r="P381" s="4">
        <v>1091061.25</v>
      </c>
      <c r="Q381" s="4">
        <v>705492.13</v>
      </c>
      <c r="R381" s="4">
        <v>684587.67</v>
      </c>
      <c r="S381" s="4">
        <v>1618106.99</v>
      </c>
      <c r="T381" s="4">
        <v>1129149.1599999999</v>
      </c>
      <c r="U381" s="4">
        <v>135829.28</v>
      </c>
      <c r="V381" s="4">
        <v>1190129.1200000001</v>
      </c>
      <c r="W381" s="4">
        <v>2619678.39</v>
      </c>
      <c r="X381" s="4">
        <v>354125.1</v>
      </c>
      <c r="Y381" s="4">
        <v>1016559.67</v>
      </c>
      <c r="Z381" s="4">
        <v>902969.53</v>
      </c>
      <c r="AA381" s="4">
        <v>27007086.560000002</v>
      </c>
      <c r="AB381" s="4">
        <v>881026.57</v>
      </c>
      <c r="AC381" s="4">
        <v>55753166.259999998</v>
      </c>
      <c r="AD381" s="4">
        <v>4603846.6399999997</v>
      </c>
      <c r="AE381" s="4">
        <v>4988651.03</v>
      </c>
      <c r="AF381" s="4">
        <v>12875483.52</v>
      </c>
      <c r="AG381" s="4">
        <v>2663372.5699999998</v>
      </c>
      <c r="AH381" s="4">
        <v>8349908.54</v>
      </c>
      <c r="AI381" s="4">
        <v>669813.88</v>
      </c>
      <c r="AJ381" s="4">
        <v>1325122.01</v>
      </c>
      <c r="AK381" s="4">
        <v>1254087.3799999999</v>
      </c>
      <c r="AL381" s="4">
        <v>1674044.11</v>
      </c>
      <c r="AM381" s="4">
        <v>3184705.17</v>
      </c>
      <c r="AN381" s="4">
        <v>6449115.25</v>
      </c>
      <c r="AO381" s="4">
        <v>2051028.76</v>
      </c>
      <c r="AP381" s="4">
        <v>4496135.17</v>
      </c>
      <c r="AQ381" s="4">
        <v>3493966.8</v>
      </c>
      <c r="AR381" s="4">
        <v>529242.56000000006</v>
      </c>
      <c r="AS381" s="4">
        <v>295367.28000000003</v>
      </c>
      <c r="AT381" s="4">
        <v>763494.86</v>
      </c>
      <c r="AU381" s="4">
        <v>2113706.29</v>
      </c>
      <c r="AV381" s="4">
        <v>51696862.799999997</v>
      </c>
      <c r="AW381" s="4">
        <v>1595196.77</v>
      </c>
      <c r="AX381" s="4">
        <v>812278.52</v>
      </c>
      <c r="AY381" s="4">
        <v>2192498.4</v>
      </c>
      <c r="AZ381" s="4">
        <v>4422719</v>
      </c>
      <c r="BA381" s="4">
        <v>2656131.83</v>
      </c>
      <c r="BB381" s="4">
        <v>739047.95</v>
      </c>
      <c r="BC381" s="4">
        <v>1618257.86</v>
      </c>
      <c r="BD381" s="4">
        <v>20591381.510000002</v>
      </c>
      <c r="BE381" s="4">
        <v>763194.69</v>
      </c>
      <c r="BF381" s="4">
        <v>330429.33</v>
      </c>
      <c r="BG381" s="4">
        <v>0</v>
      </c>
      <c r="BH381" s="4">
        <f t="shared" si="63"/>
        <v>316416723.24999982</v>
      </c>
    </row>
    <row r="382" spans="1:60" x14ac:dyDescent="0.2">
      <c r="A382" s="3">
        <v>36008</v>
      </c>
      <c r="B382" s="4">
        <v>12402887.280000001</v>
      </c>
      <c r="C382" s="4">
        <v>796342.88</v>
      </c>
      <c r="D382" s="4">
        <v>5934838.459999999</v>
      </c>
      <c r="E382" s="4">
        <v>1540091.7</v>
      </c>
      <c r="F382" s="4">
        <v>1417552.17</v>
      </c>
      <c r="G382" s="4">
        <v>2712716.51</v>
      </c>
      <c r="H382" s="4">
        <v>2124323.5699999998</v>
      </c>
      <c r="I382" s="4">
        <v>648381.30000000005</v>
      </c>
      <c r="J382" s="4">
        <v>1787446.99</v>
      </c>
      <c r="K382" s="4">
        <v>1362404.91</v>
      </c>
      <c r="L382" s="4">
        <v>1225307.25</v>
      </c>
      <c r="M382" s="4">
        <v>513231.38</v>
      </c>
      <c r="N382" s="4">
        <v>6533218.4399999995</v>
      </c>
      <c r="O382" s="4">
        <v>29610033.180000003</v>
      </c>
      <c r="P382" s="4">
        <v>933679.47</v>
      </c>
      <c r="Q382" s="4">
        <v>657928</v>
      </c>
      <c r="R382" s="4">
        <v>629944.61</v>
      </c>
      <c r="S382" s="4">
        <v>1546666.15</v>
      </c>
      <c r="T382" s="4">
        <v>1073417.33</v>
      </c>
      <c r="U382" s="4">
        <v>136960.16</v>
      </c>
      <c r="V382" s="4">
        <v>1184673.1100000001</v>
      </c>
      <c r="W382" s="4">
        <v>2497931.4900000002</v>
      </c>
      <c r="X382" s="4">
        <v>336103.24</v>
      </c>
      <c r="Y382" s="4">
        <v>973540.31</v>
      </c>
      <c r="Z382" s="4">
        <v>862399.48</v>
      </c>
      <c r="AA382" s="4">
        <v>26027293.560000002</v>
      </c>
      <c r="AB382" s="4">
        <v>833299.76</v>
      </c>
      <c r="AC382" s="4">
        <v>52296390.700000003</v>
      </c>
      <c r="AD382" s="4">
        <v>4460427.17</v>
      </c>
      <c r="AE382" s="4">
        <v>4810093.16</v>
      </c>
      <c r="AF382" s="4">
        <v>12334726.84</v>
      </c>
      <c r="AG382" s="4">
        <v>2580527.13</v>
      </c>
      <c r="AH382" s="4">
        <v>7671917.120000001</v>
      </c>
      <c r="AI382" s="4">
        <v>653531.49</v>
      </c>
      <c r="AJ382" s="4">
        <v>1195563.24</v>
      </c>
      <c r="AK382" s="4">
        <v>1193209.5</v>
      </c>
      <c r="AL382" s="4">
        <v>1451364.15</v>
      </c>
      <c r="AM382" s="4">
        <v>2949911.02</v>
      </c>
      <c r="AN382" s="4">
        <v>6025172.8499999996</v>
      </c>
      <c r="AO382" s="4">
        <v>1856714.25</v>
      </c>
      <c r="AP382" s="4">
        <v>4165725.26</v>
      </c>
      <c r="AQ382" s="4">
        <v>3331588.38</v>
      </c>
      <c r="AR382" s="4">
        <v>473011.39</v>
      </c>
      <c r="AS382" s="4">
        <v>302868.62</v>
      </c>
      <c r="AT382" s="4">
        <v>746186.1</v>
      </c>
      <c r="AU382" s="4">
        <v>1990637.52</v>
      </c>
      <c r="AV382" s="4">
        <v>50169937.50999999</v>
      </c>
      <c r="AW382" s="4">
        <v>1447483.53</v>
      </c>
      <c r="AX382" s="4">
        <v>754886.29</v>
      </c>
      <c r="AY382" s="4">
        <v>2104784.42</v>
      </c>
      <c r="AZ382" s="4">
        <v>4200958.45</v>
      </c>
      <c r="BA382" s="4">
        <v>2567258.42</v>
      </c>
      <c r="BB382" s="4">
        <v>692489.97</v>
      </c>
      <c r="BC382" s="4">
        <v>1510814.94</v>
      </c>
      <c r="BD382" s="4">
        <v>18803810.66</v>
      </c>
      <c r="BE382" s="4">
        <v>747673.89</v>
      </c>
      <c r="BF382" s="4">
        <v>307159.34000000003</v>
      </c>
      <c r="BG382" s="4">
        <v>0</v>
      </c>
      <c r="BH382" s="4">
        <f t="shared" si="63"/>
        <v>300099436</v>
      </c>
    </row>
    <row r="383" spans="1:60" x14ac:dyDescent="0.2">
      <c r="A383" s="3">
        <v>36039</v>
      </c>
      <c r="B383" s="4">
        <v>17483413.330000002</v>
      </c>
      <c r="C383" s="4">
        <v>1323691.46</v>
      </c>
      <c r="D383" s="4">
        <v>7408412.6900000004</v>
      </c>
      <c r="E383" s="4">
        <v>2569476.5099999998</v>
      </c>
      <c r="F383" s="4">
        <v>2266827.48</v>
      </c>
      <c r="G383" s="4">
        <v>4117366.13</v>
      </c>
      <c r="H383" s="4">
        <v>3597692.41</v>
      </c>
      <c r="I383" s="4">
        <v>1057221.81</v>
      </c>
      <c r="J383" s="4">
        <v>2874431.58</v>
      </c>
      <c r="K383" s="4">
        <v>2620485.0099999998</v>
      </c>
      <c r="L383" s="4">
        <v>1470466.29</v>
      </c>
      <c r="M383" s="4">
        <v>973873.18</v>
      </c>
      <c r="N383" s="4">
        <v>7282322.54</v>
      </c>
      <c r="O383" s="4">
        <v>37621704.230000004</v>
      </c>
      <c r="P383" s="4">
        <v>1799034.4</v>
      </c>
      <c r="Q383" s="4">
        <v>1114114.75</v>
      </c>
      <c r="R383" s="4">
        <v>1128331.26</v>
      </c>
      <c r="S383" s="4">
        <v>2282650.88</v>
      </c>
      <c r="T383" s="4">
        <v>1945721.37</v>
      </c>
      <c r="U383" s="4">
        <v>442141.47</v>
      </c>
      <c r="V383" s="4">
        <v>1734509.4</v>
      </c>
      <c r="W383" s="4">
        <v>3341626.45</v>
      </c>
      <c r="X383" s="4">
        <v>548006.31000000006</v>
      </c>
      <c r="Y383" s="4">
        <v>1642671.41</v>
      </c>
      <c r="Z383" s="4">
        <v>1295712.72</v>
      </c>
      <c r="AA383" s="4">
        <v>28987478.049999997</v>
      </c>
      <c r="AB383" s="4">
        <v>1223511.79</v>
      </c>
      <c r="AC383" s="4">
        <v>77201871.739999995</v>
      </c>
      <c r="AD383" s="4">
        <v>5166444.9000000004</v>
      </c>
      <c r="AE383" s="4">
        <v>7998469.5</v>
      </c>
      <c r="AF383" s="4">
        <v>14113017.780000001</v>
      </c>
      <c r="AG383" s="4">
        <v>3533719.37</v>
      </c>
      <c r="AH383" s="4">
        <v>10320705.880000001</v>
      </c>
      <c r="AI383" s="4">
        <v>1114577</v>
      </c>
      <c r="AJ383" s="4">
        <v>1903298.4</v>
      </c>
      <c r="AK383" s="4">
        <v>1963791.74</v>
      </c>
      <c r="AL383" s="4">
        <v>3045095.99</v>
      </c>
      <c r="AM383" s="4">
        <v>4552425.1500000004</v>
      </c>
      <c r="AN383" s="4">
        <v>10915601.299999999</v>
      </c>
      <c r="AO383" s="4">
        <v>2886128</v>
      </c>
      <c r="AP383" s="4">
        <v>6681058.7299999995</v>
      </c>
      <c r="AQ383" s="4">
        <v>4338319.88</v>
      </c>
      <c r="AR383" s="4">
        <v>730000.81</v>
      </c>
      <c r="AS383" s="4">
        <v>582575.21</v>
      </c>
      <c r="AT383" s="4">
        <v>1329167.8899999999</v>
      </c>
      <c r="AU383" s="4">
        <v>3346813.55</v>
      </c>
      <c r="AV383" s="4">
        <v>80932698.890000001</v>
      </c>
      <c r="AW383" s="4">
        <v>2178778.58</v>
      </c>
      <c r="AX383" s="4">
        <v>1267854.98</v>
      </c>
      <c r="AY383" s="4">
        <v>3020881.75</v>
      </c>
      <c r="AZ383" s="4">
        <v>7183186.8199999994</v>
      </c>
      <c r="BA383" s="4">
        <v>4213133.58</v>
      </c>
      <c r="BB383" s="4">
        <v>1358340.69</v>
      </c>
      <c r="BC383" s="4">
        <v>2288947.34</v>
      </c>
      <c r="BD383" s="4">
        <v>30988262</v>
      </c>
      <c r="BE383" s="4">
        <v>1436044.9</v>
      </c>
      <c r="BF383" s="4">
        <v>676276.38</v>
      </c>
      <c r="BG383" s="4">
        <v>0</v>
      </c>
      <c r="BH383" s="4">
        <f t="shared" si="63"/>
        <v>437420383.63999993</v>
      </c>
    </row>
    <row r="384" spans="1:60" x14ac:dyDescent="0.2">
      <c r="A384" s="3">
        <v>36069</v>
      </c>
      <c r="B384" s="4">
        <v>12126927.790000001</v>
      </c>
      <c r="C384" s="4">
        <v>765583.29</v>
      </c>
      <c r="D384" s="4">
        <v>5892109.7799999993</v>
      </c>
      <c r="E384" s="4">
        <v>1488109.05</v>
      </c>
      <c r="F384" s="4">
        <v>1342032.25</v>
      </c>
      <c r="G384" s="4">
        <v>2466505.4300000002</v>
      </c>
      <c r="H384" s="4">
        <v>2201991.1</v>
      </c>
      <c r="I384" s="4">
        <v>620611.92000000004</v>
      </c>
      <c r="J384" s="4">
        <v>1727672.59</v>
      </c>
      <c r="K384" s="4">
        <v>1318684.31</v>
      </c>
      <c r="L384" s="4">
        <v>1144640.82</v>
      </c>
      <c r="M384" s="4">
        <v>493704.59</v>
      </c>
      <c r="N384" s="4">
        <v>6012743.2799999993</v>
      </c>
      <c r="O384" s="4">
        <v>28492703.369999997</v>
      </c>
      <c r="P384" s="4">
        <v>808650.16</v>
      </c>
      <c r="Q384" s="4">
        <v>603212.64</v>
      </c>
      <c r="R384" s="4">
        <v>598263.62</v>
      </c>
      <c r="S384" s="4">
        <v>1189651.74</v>
      </c>
      <c r="T384" s="4">
        <v>951464.05</v>
      </c>
      <c r="U384" s="4">
        <v>91628.08</v>
      </c>
      <c r="V384" s="4">
        <v>996521.55</v>
      </c>
      <c r="W384" s="4">
        <v>2199001.04</v>
      </c>
      <c r="X384" s="4">
        <v>292450.96000000002</v>
      </c>
      <c r="Y384" s="4">
        <v>892790.44</v>
      </c>
      <c r="Z384" s="4">
        <v>784090.55</v>
      </c>
      <c r="AA384" s="4">
        <v>23825629.559999999</v>
      </c>
      <c r="AB384" s="4">
        <v>810308.16</v>
      </c>
      <c r="AC384" s="4">
        <v>51553651.670000002</v>
      </c>
      <c r="AD384" s="4">
        <v>4061037.97</v>
      </c>
      <c r="AE384" s="4">
        <v>4663191.83</v>
      </c>
      <c r="AF384" s="4">
        <v>11904907.82</v>
      </c>
      <c r="AG384" s="4">
        <v>2530795.5499999998</v>
      </c>
      <c r="AH384" s="4">
        <v>7592590.6600000001</v>
      </c>
      <c r="AI384" s="4">
        <v>625033.80000000005</v>
      </c>
      <c r="AJ384" s="4">
        <v>1101587.6299999999</v>
      </c>
      <c r="AK384" s="4">
        <v>1052231.01</v>
      </c>
      <c r="AL384" s="4">
        <v>1479327.95</v>
      </c>
      <c r="AM384" s="4">
        <v>2810508.69</v>
      </c>
      <c r="AN384" s="4">
        <v>5784904.25</v>
      </c>
      <c r="AO384" s="4">
        <v>1789675.31</v>
      </c>
      <c r="AP384" s="4">
        <v>3869070.11</v>
      </c>
      <c r="AQ384" s="4">
        <v>3719208.74</v>
      </c>
      <c r="AR384" s="4">
        <v>431323.96</v>
      </c>
      <c r="AS384" s="4">
        <v>195250.44</v>
      </c>
      <c r="AT384" s="4">
        <v>743938.5</v>
      </c>
      <c r="AU384" s="4">
        <v>1864418.3</v>
      </c>
      <c r="AV384" s="4">
        <v>44478398.659999996</v>
      </c>
      <c r="AW384" s="4">
        <v>1250824.73</v>
      </c>
      <c r="AX384" s="4">
        <v>708408.27</v>
      </c>
      <c r="AY384" s="4">
        <v>2013519.98</v>
      </c>
      <c r="AZ384" s="4">
        <v>4070520.37</v>
      </c>
      <c r="BA384" s="4">
        <v>1888546.82</v>
      </c>
      <c r="BB384" s="4">
        <v>645309.24</v>
      </c>
      <c r="BC384" s="4">
        <v>1451378.14</v>
      </c>
      <c r="BD384" s="4">
        <v>19380265.34</v>
      </c>
      <c r="BE384" s="4">
        <v>650091.56999999995</v>
      </c>
      <c r="BF384" s="4">
        <v>249746.51</v>
      </c>
      <c r="BG384" s="4">
        <v>0</v>
      </c>
      <c r="BH384" s="4">
        <f t="shared" si="63"/>
        <v>284697345.93999994</v>
      </c>
    </row>
    <row r="385" spans="1:60" x14ac:dyDescent="0.2">
      <c r="A385" s="3">
        <v>36100</v>
      </c>
      <c r="B385" s="4">
        <v>12263405.5</v>
      </c>
      <c r="C385" s="4">
        <v>770025.56</v>
      </c>
      <c r="D385" s="4">
        <v>5781428</v>
      </c>
      <c r="E385" s="4">
        <v>1508621.39</v>
      </c>
      <c r="F385" s="4">
        <v>1299405.1599999999</v>
      </c>
      <c r="G385" s="4">
        <v>2443868.5499999998</v>
      </c>
      <c r="H385" s="4">
        <v>2139849.0699999998</v>
      </c>
      <c r="I385" s="4">
        <v>607962.35</v>
      </c>
      <c r="J385" s="4">
        <v>1695139.58</v>
      </c>
      <c r="K385" s="4">
        <v>1296233.8500000001</v>
      </c>
      <c r="L385" s="4">
        <v>1121019.92</v>
      </c>
      <c r="M385" s="4">
        <v>474949.58</v>
      </c>
      <c r="N385" s="4">
        <v>5977568.4100000001</v>
      </c>
      <c r="O385" s="4">
        <v>28383938.359999999</v>
      </c>
      <c r="P385" s="4">
        <v>779225.54</v>
      </c>
      <c r="Q385" s="4">
        <v>586697.76</v>
      </c>
      <c r="R385" s="4">
        <v>596744.93999999994</v>
      </c>
      <c r="S385" s="4">
        <v>1216233.55</v>
      </c>
      <c r="T385" s="4">
        <v>980592.95</v>
      </c>
      <c r="U385" s="4">
        <v>96040.54</v>
      </c>
      <c r="V385" s="4">
        <v>1151339.97</v>
      </c>
      <c r="W385" s="4">
        <v>2194106.1800000002</v>
      </c>
      <c r="X385" s="4">
        <v>300947.32</v>
      </c>
      <c r="Y385" s="4">
        <v>923174.57</v>
      </c>
      <c r="Z385" s="4">
        <v>812938.29</v>
      </c>
      <c r="AA385" s="4">
        <v>24564596.690000001</v>
      </c>
      <c r="AB385" s="4">
        <v>803088.84</v>
      </c>
      <c r="AC385" s="4">
        <v>52766444.370000005</v>
      </c>
      <c r="AD385" s="4">
        <v>4122080.28</v>
      </c>
      <c r="AE385" s="4">
        <v>4635808.3600000003</v>
      </c>
      <c r="AF385" s="4">
        <v>11931103.59</v>
      </c>
      <c r="AG385" s="4">
        <v>2540102.15</v>
      </c>
      <c r="AH385" s="4">
        <v>7480187.2400000002</v>
      </c>
      <c r="AI385" s="4">
        <v>617954.96</v>
      </c>
      <c r="AJ385" s="4">
        <v>1052187.8</v>
      </c>
      <c r="AK385" s="4">
        <v>1030007.72</v>
      </c>
      <c r="AL385" s="4">
        <v>1439139.58</v>
      </c>
      <c r="AM385" s="4">
        <v>2847841.55</v>
      </c>
      <c r="AN385" s="4">
        <v>5958238.6600000001</v>
      </c>
      <c r="AO385" s="4">
        <v>1735419.11</v>
      </c>
      <c r="AP385" s="4">
        <v>3811350.83</v>
      </c>
      <c r="AQ385" s="4">
        <v>3775378.87</v>
      </c>
      <c r="AR385" s="4">
        <v>450067.44</v>
      </c>
      <c r="AS385" s="4">
        <v>199798.28</v>
      </c>
      <c r="AT385" s="4">
        <v>728561.37</v>
      </c>
      <c r="AU385" s="4">
        <v>1875525.03</v>
      </c>
      <c r="AV385" s="4">
        <v>45635936.600000001</v>
      </c>
      <c r="AW385" s="4">
        <v>1218701.94</v>
      </c>
      <c r="AX385" s="4">
        <v>730572.31</v>
      </c>
      <c r="AY385" s="4">
        <v>1966259.78</v>
      </c>
      <c r="AZ385" s="4">
        <v>4060762.07</v>
      </c>
      <c r="BA385" s="4">
        <v>1902691</v>
      </c>
      <c r="BB385" s="4">
        <v>633007.39</v>
      </c>
      <c r="BC385" s="4">
        <v>1441523.15</v>
      </c>
      <c r="BD385" s="4">
        <v>19447750.66</v>
      </c>
      <c r="BE385" s="4">
        <v>661079.32999999996</v>
      </c>
      <c r="BF385" s="4">
        <v>254736.25</v>
      </c>
      <c r="BG385" s="4">
        <v>0</v>
      </c>
      <c r="BH385" s="4">
        <f t="shared" si="63"/>
        <v>287719360.09000009</v>
      </c>
    </row>
    <row r="386" spans="1:60" x14ac:dyDescent="0.2">
      <c r="A386" s="3">
        <v>36130</v>
      </c>
      <c r="B386" s="4">
        <v>18579266.98</v>
      </c>
      <c r="C386" s="4">
        <v>1184518.26</v>
      </c>
      <c r="D386" s="4">
        <v>8425597</v>
      </c>
      <c r="E386" s="4">
        <v>2644598.19</v>
      </c>
      <c r="F386" s="4">
        <v>2649771.8199999998</v>
      </c>
      <c r="G386" s="4">
        <v>3980096.54</v>
      </c>
      <c r="H386" s="4">
        <v>3404900.53</v>
      </c>
      <c r="I386" s="4">
        <v>1030905.23</v>
      </c>
      <c r="J386" s="4">
        <v>2892383.19</v>
      </c>
      <c r="K386" s="4">
        <v>2759242.33</v>
      </c>
      <c r="L386" s="4">
        <v>1909099.68</v>
      </c>
      <c r="M386" s="4">
        <v>901074.95</v>
      </c>
      <c r="N386" s="4">
        <v>11230329.68</v>
      </c>
      <c r="O386" s="4">
        <v>40101538.980000004</v>
      </c>
      <c r="P386" s="4">
        <v>1463947.75</v>
      </c>
      <c r="Q386" s="4">
        <v>1116339.1599999999</v>
      </c>
      <c r="R386" s="4">
        <v>1010049.64</v>
      </c>
      <c r="S386" s="4">
        <v>2300948.38</v>
      </c>
      <c r="T386" s="4">
        <v>1896719.19</v>
      </c>
      <c r="U386" s="4">
        <v>249272.71</v>
      </c>
      <c r="V386" s="4">
        <v>1735550.44</v>
      </c>
      <c r="W386" s="4">
        <v>3252140.33</v>
      </c>
      <c r="X386" s="4">
        <v>595808.02</v>
      </c>
      <c r="Y386" s="4">
        <v>1628481.04</v>
      </c>
      <c r="Z386" s="4">
        <v>1611393.49</v>
      </c>
      <c r="AA386" s="4">
        <v>34947956.150000006</v>
      </c>
      <c r="AB386" s="4">
        <v>1145178.8799999999</v>
      </c>
      <c r="AC386" s="4">
        <v>77240278.830000013</v>
      </c>
      <c r="AD386" s="4">
        <v>5280391.57</v>
      </c>
      <c r="AE386" s="4">
        <v>8053253.3100000005</v>
      </c>
      <c r="AF386" s="4">
        <v>19790977.719999999</v>
      </c>
      <c r="AG386" s="4">
        <v>4223430.12</v>
      </c>
      <c r="AH386" s="4">
        <v>12044752.300000001</v>
      </c>
      <c r="AI386" s="4">
        <v>1127959.5</v>
      </c>
      <c r="AJ386" s="4">
        <v>1429282.62</v>
      </c>
      <c r="AK386" s="4">
        <v>1794649.96</v>
      </c>
      <c r="AL386" s="4">
        <v>3005414.36</v>
      </c>
      <c r="AM386" s="4">
        <v>5174139.97</v>
      </c>
      <c r="AN386" s="4">
        <v>11780718.85</v>
      </c>
      <c r="AO386" s="4">
        <v>3089297.17</v>
      </c>
      <c r="AP386" s="4">
        <v>6909237.6500000004</v>
      </c>
      <c r="AQ386" s="4">
        <v>4844424.6500000004</v>
      </c>
      <c r="AR386" s="4">
        <v>1178514.46</v>
      </c>
      <c r="AS386" s="4">
        <v>481015.39</v>
      </c>
      <c r="AT386" s="4">
        <v>912975.95</v>
      </c>
      <c r="AU386" s="4">
        <v>3226270.68</v>
      </c>
      <c r="AV386" s="4">
        <v>76973820.829999998</v>
      </c>
      <c r="AW386" s="4">
        <v>1668904.94</v>
      </c>
      <c r="AX386" s="4">
        <v>1381577.1</v>
      </c>
      <c r="AY386" s="4">
        <v>3270680.83</v>
      </c>
      <c r="AZ386" s="4">
        <v>6530426.4500000002</v>
      </c>
      <c r="BA386" s="4">
        <v>3038188.76</v>
      </c>
      <c r="BB386" s="4">
        <v>1182820.6000000001</v>
      </c>
      <c r="BC386" s="4">
        <v>2276309.73</v>
      </c>
      <c r="BD386" s="4">
        <v>28679338.98</v>
      </c>
      <c r="BE386" s="4">
        <v>1329555.8500000001</v>
      </c>
      <c r="BF386" s="4">
        <v>602630.97</v>
      </c>
      <c r="BG386" s="4">
        <v>25.64</v>
      </c>
      <c r="BH386" s="4">
        <f t="shared" si="63"/>
        <v>453168374.28000003</v>
      </c>
    </row>
    <row r="387" spans="1:60" ht="15.75" thickBot="1" x14ac:dyDescent="0.25">
      <c r="A387" s="3" t="s">
        <v>7</v>
      </c>
      <c r="B387" s="5">
        <f t="shared" ref="B387:AG387" si="64">SUM(B375:B386)</f>
        <v>168641766.64999998</v>
      </c>
      <c r="C387" s="5">
        <f t="shared" si="64"/>
        <v>11765406.799999997</v>
      </c>
      <c r="D387" s="5">
        <f t="shared" si="64"/>
        <v>80292970.140000001</v>
      </c>
      <c r="E387" s="5">
        <f t="shared" si="64"/>
        <v>22721081.100000001</v>
      </c>
      <c r="F387" s="5">
        <f t="shared" si="64"/>
        <v>19249748.379999999</v>
      </c>
      <c r="G387" s="5">
        <f t="shared" si="64"/>
        <v>36003624.93</v>
      </c>
      <c r="H387" s="5">
        <f t="shared" si="64"/>
        <v>30716040.98</v>
      </c>
      <c r="I387" s="5">
        <f t="shared" si="64"/>
        <v>9284119.6399999987</v>
      </c>
      <c r="J387" s="5">
        <f t="shared" si="64"/>
        <v>25259702.030000005</v>
      </c>
      <c r="K387" s="5">
        <f t="shared" si="64"/>
        <v>20456522.310000002</v>
      </c>
      <c r="L387" s="5">
        <f t="shared" si="64"/>
        <v>16730650.76</v>
      </c>
      <c r="M387" s="5">
        <f t="shared" si="64"/>
        <v>7487153.96</v>
      </c>
      <c r="N387" s="5">
        <f t="shared" si="64"/>
        <v>86931703.650000006</v>
      </c>
      <c r="O387" s="5">
        <f t="shared" si="64"/>
        <v>393321600.95999998</v>
      </c>
      <c r="P387" s="5">
        <f t="shared" si="64"/>
        <v>11996661.969999999</v>
      </c>
      <c r="Q387" s="5">
        <f t="shared" si="64"/>
        <v>9418545.6799999997</v>
      </c>
      <c r="R387" s="5">
        <f t="shared" si="64"/>
        <v>8840420.120000001</v>
      </c>
      <c r="S387" s="5">
        <f t="shared" si="64"/>
        <v>19154055.419999998</v>
      </c>
      <c r="T387" s="5">
        <f t="shared" si="64"/>
        <v>15102378.810000001</v>
      </c>
      <c r="U387" s="5">
        <f t="shared" si="64"/>
        <v>1762604.58</v>
      </c>
      <c r="V387" s="5">
        <f t="shared" si="64"/>
        <v>15874466.260000002</v>
      </c>
      <c r="W387" s="5">
        <f t="shared" si="64"/>
        <v>31655009.440000005</v>
      </c>
      <c r="X387" s="5">
        <f t="shared" si="64"/>
        <v>4803058.6500000004</v>
      </c>
      <c r="Y387" s="5">
        <f t="shared" si="64"/>
        <v>13916811.100000001</v>
      </c>
      <c r="Z387" s="5">
        <f t="shared" si="64"/>
        <v>12021747.960000003</v>
      </c>
      <c r="AA387" s="5">
        <f t="shared" si="64"/>
        <v>325277820.16999996</v>
      </c>
      <c r="AB387" s="5">
        <f t="shared" si="64"/>
        <v>11819149.5</v>
      </c>
      <c r="AC387" s="5">
        <f t="shared" si="64"/>
        <v>714980135.93000007</v>
      </c>
      <c r="AD387" s="5">
        <f t="shared" si="64"/>
        <v>54612708.829999998</v>
      </c>
      <c r="AE387" s="5">
        <f t="shared" si="64"/>
        <v>68231300.560000002</v>
      </c>
      <c r="AF387" s="5">
        <f t="shared" si="64"/>
        <v>163447827.27000001</v>
      </c>
      <c r="AG387" s="5">
        <f t="shared" si="64"/>
        <v>35311567.029999994</v>
      </c>
      <c r="AH387" s="5">
        <f t="shared" ref="AH387:BG387" si="65">SUM(AH375:AH386)</f>
        <v>104464152.11999997</v>
      </c>
      <c r="AI387" s="5">
        <f t="shared" si="65"/>
        <v>9588569.5599999987</v>
      </c>
      <c r="AJ387" s="5">
        <f t="shared" si="65"/>
        <v>15533338.110000003</v>
      </c>
      <c r="AK387" s="5">
        <f t="shared" si="65"/>
        <v>15488332.440000001</v>
      </c>
      <c r="AL387" s="5">
        <f t="shared" si="65"/>
        <v>23032410.390000001</v>
      </c>
      <c r="AM387" s="5">
        <f t="shared" si="65"/>
        <v>41700170.669999994</v>
      </c>
      <c r="AN387" s="5">
        <f t="shared" si="65"/>
        <v>89684029.469999984</v>
      </c>
      <c r="AO387" s="5">
        <f t="shared" si="65"/>
        <v>27191945.079999998</v>
      </c>
      <c r="AP387" s="5">
        <f t="shared" si="65"/>
        <v>56163225.18999999</v>
      </c>
      <c r="AQ387" s="5">
        <f t="shared" si="65"/>
        <v>45954700.600000001</v>
      </c>
      <c r="AR387" s="5">
        <f t="shared" si="65"/>
        <v>6696601.1200000001</v>
      </c>
      <c r="AS387" s="5">
        <f t="shared" si="65"/>
        <v>3693238.13</v>
      </c>
      <c r="AT387" s="5">
        <f t="shared" si="65"/>
        <v>9871778.7899999991</v>
      </c>
      <c r="AU387" s="5">
        <f t="shared" si="65"/>
        <v>26984686.090000004</v>
      </c>
      <c r="AV387" s="5">
        <f t="shared" si="65"/>
        <v>666758527.31000006</v>
      </c>
      <c r="AW387" s="5">
        <f t="shared" si="65"/>
        <v>17273459.109999999</v>
      </c>
      <c r="AX387" s="5">
        <f t="shared" si="65"/>
        <v>10739210.02</v>
      </c>
      <c r="AY387" s="5">
        <f t="shared" si="65"/>
        <v>28524609.880000003</v>
      </c>
      <c r="AZ387" s="5">
        <f t="shared" si="65"/>
        <v>60214634.710000001</v>
      </c>
      <c r="BA387" s="5">
        <f t="shared" si="65"/>
        <v>28737492.449999996</v>
      </c>
      <c r="BB387" s="5">
        <f t="shared" si="65"/>
        <v>10207740.380000001</v>
      </c>
      <c r="BC387" s="5">
        <f t="shared" si="65"/>
        <v>20670657.159999996</v>
      </c>
      <c r="BD387" s="5">
        <f t="shared" si="65"/>
        <v>268823318.56999999</v>
      </c>
      <c r="BE387" s="5">
        <f t="shared" si="65"/>
        <v>10530285.739999998</v>
      </c>
      <c r="BF387" s="5">
        <f t="shared" si="65"/>
        <v>4590400.5599999996</v>
      </c>
      <c r="BG387" s="5">
        <f t="shared" si="65"/>
        <v>81.180000000000007</v>
      </c>
      <c r="BH387" s="5">
        <f t="shared" si="63"/>
        <v>4050205956.3999996</v>
      </c>
    </row>
    <row r="388" spans="1:60" ht="15.75" thickTop="1" x14ac:dyDescent="0.2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</row>
    <row r="389" spans="1:60" x14ac:dyDescent="0.2">
      <c r="A389" s="3">
        <v>35431</v>
      </c>
      <c r="B389" s="4">
        <v>14207135.130000001</v>
      </c>
      <c r="C389" s="4">
        <v>926362.6</v>
      </c>
      <c r="D389" s="4">
        <v>6552576.6100000003</v>
      </c>
      <c r="E389" s="4">
        <v>1776004.91</v>
      </c>
      <c r="F389" s="4">
        <v>1462348.31</v>
      </c>
      <c r="G389" s="4">
        <v>2739675.45</v>
      </c>
      <c r="H389" s="4">
        <v>2495045.06</v>
      </c>
      <c r="I389" s="4">
        <v>591027.57999999996</v>
      </c>
      <c r="J389" s="4">
        <v>1920996.14</v>
      </c>
      <c r="K389" s="4">
        <v>1354131.58</v>
      </c>
      <c r="L389" s="4">
        <v>1426691.69</v>
      </c>
      <c r="M389" s="4">
        <v>502818.31</v>
      </c>
      <c r="N389" s="4">
        <v>6365646.6399999997</v>
      </c>
      <c r="O389" s="4">
        <v>33312420.93</v>
      </c>
      <c r="P389" s="4">
        <v>669617.07999999996</v>
      </c>
      <c r="Q389" s="4">
        <v>630888.98</v>
      </c>
      <c r="R389" s="4">
        <v>626427.38</v>
      </c>
      <c r="S389" s="4">
        <v>1260098.77</v>
      </c>
      <c r="T389" s="4">
        <v>1022957.49</v>
      </c>
      <c r="U389" s="4">
        <v>77125.460000000006</v>
      </c>
      <c r="V389" s="4">
        <v>1092559.22</v>
      </c>
      <c r="W389" s="4">
        <v>2345935.4</v>
      </c>
      <c r="X389" s="4">
        <v>273640.06</v>
      </c>
      <c r="Y389" s="4">
        <v>866368.89</v>
      </c>
      <c r="Z389" s="4">
        <v>775608.9</v>
      </c>
      <c r="AA389" s="4">
        <v>29295776.710000001</v>
      </c>
      <c r="AB389" s="4">
        <v>891967.52</v>
      </c>
      <c r="AC389" s="4">
        <v>57611378.630000003</v>
      </c>
      <c r="AD389" s="4">
        <v>4506340.17</v>
      </c>
      <c r="AE389" s="4">
        <v>5197753.7</v>
      </c>
      <c r="AF389" s="4">
        <v>13108066.880000001</v>
      </c>
      <c r="AG389" s="4">
        <v>2916256.86</v>
      </c>
      <c r="AH389" s="4">
        <v>7370712.1900000004</v>
      </c>
      <c r="AI389" s="4">
        <v>746973.36</v>
      </c>
      <c r="AJ389" s="4">
        <v>0</v>
      </c>
      <c r="AK389" s="4">
        <v>1043552.51</v>
      </c>
      <c r="AL389" s="4">
        <v>1502184.85</v>
      </c>
      <c r="AM389" s="4">
        <v>3094771.37</v>
      </c>
      <c r="AN389" s="4">
        <v>6217305.1799999997</v>
      </c>
      <c r="AO389" s="4">
        <v>1905770.95</v>
      </c>
      <c r="AP389" s="4">
        <v>3956709.93</v>
      </c>
      <c r="AQ389" s="4">
        <v>3666673.87</v>
      </c>
      <c r="AR389" s="4">
        <v>512472.92</v>
      </c>
      <c r="AS389" s="4">
        <v>205616.36</v>
      </c>
      <c r="AT389" s="4">
        <v>551335.88</v>
      </c>
      <c r="AU389" s="4">
        <v>2099580.67</v>
      </c>
      <c r="AV389" s="4">
        <v>44115493.909999996</v>
      </c>
      <c r="AW389" s="4">
        <v>1043738.97</v>
      </c>
      <c r="AX389" s="4">
        <v>709772.01</v>
      </c>
      <c r="AY389" s="4">
        <v>2212056.75</v>
      </c>
      <c r="AZ389" s="4">
        <v>4614758.67</v>
      </c>
      <c r="BA389" s="4">
        <v>2038305.98</v>
      </c>
      <c r="BB389" s="4">
        <v>659088.27</v>
      </c>
      <c r="BC389" s="4">
        <v>1364847.13</v>
      </c>
      <c r="BD389" s="4">
        <v>22688551.129999999</v>
      </c>
      <c r="BE389" s="4">
        <v>660268.12</v>
      </c>
      <c r="BF389" s="4">
        <v>241306.64</v>
      </c>
      <c r="BG389" s="4">
        <v>0</v>
      </c>
      <c r="BH389" s="4">
        <f t="shared" ref="BH389:BH401" si="66">SUM(B389:BG389)</f>
        <v>312023496.66000003</v>
      </c>
    </row>
    <row r="390" spans="1:60" x14ac:dyDescent="0.2">
      <c r="A390" s="3">
        <v>35462</v>
      </c>
      <c r="B390" s="4">
        <v>11421743.59</v>
      </c>
      <c r="C390" s="4">
        <v>751395.52</v>
      </c>
      <c r="D390" s="4">
        <v>5298599.59</v>
      </c>
      <c r="E390" s="4">
        <v>1478363.33</v>
      </c>
      <c r="F390" s="4">
        <v>1178208.45</v>
      </c>
      <c r="G390" s="4">
        <v>2334890.5499999998</v>
      </c>
      <c r="H390" s="4">
        <v>2058516.41</v>
      </c>
      <c r="I390" s="4">
        <v>485790.82</v>
      </c>
      <c r="J390" s="4">
        <v>1625567.38</v>
      </c>
      <c r="K390" s="4">
        <v>1096966.69</v>
      </c>
      <c r="L390" s="4">
        <v>1157498.55</v>
      </c>
      <c r="M390" s="4">
        <v>387611.01</v>
      </c>
      <c r="N390" s="4">
        <v>5103801.6100000003</v>
      </c>
      <c r="O390" s="4">
        <v>27537048.34</v>
      </c>
      <c r="P390" s="4">
        <v>557195.81000000006</v>
      </c>
      <c r="Q390" s="4">
        <v>506244.42</v>
      </c>
      <c r="R390" s="4">
        <v>490231.13</v>
      </c>
      <c r="S390" s="4">
        <v>989866.95</v>
      </c>
      <c r="T390" s="4">
        <v>807153.11</v>
      </c>
      <c r="U390" s="4">
        <v>55011.16</v>
      </c>
      <c r="V390" s="4">
        <v>881525.03</v>
      </c>
      <c r="W390" s="4">
        <v>1909948.86</v>
      </c>
      <c r="X390" s="4">
        <v>235843.23</v>
      </c>
      <c r="Y390" s="4">
        <v>1047649.2</v>
      </c>
      <c r="Z390" s="4">
        <v>651883.56999999995</v>
      </c>
      <c r="AA390" s="4">
        <v>23298630.079999998</v>
      </c>
      <c r="AB390" s="4">
        <v>703144.92</v>
      </c>
      <c r="AC390" s="4">
        <v>47931772.549999997</v>
      </c>
      <c r="AD390" s="4">
        <v>3926522.19</v>
      </c>
      <c r="AE390" s="4">
        <v>4241549.05</v>
      </c>
      <c r="AF390" s="4">
        <v>10492797.07</v>
      </c>
      <c r="AG390" s="4">
        <v>2404025.13</v>
      </c>
      <c r="AH390" s="4">
        <v>6135326.3799999999</v>
      </c>
      <c r="AI390" s="4">
        <v>614252.73</v>
      </c>
      <c r="AJ390" s="4">
        <v>0</v>
      </c>
      <c r="AK390" s="4">
        <v>846603.01</v>
      </c>
      <c r="AL390" s="4">
        <v>1233703.46</v>
      </c>
      <c r="AM390" s="4">
        <v>2385425.36</v>
      </c>
      <c r="AN390" s="4">
        <v>5251677.38</v>
      </c>
      <c r="AO390" s="4">
        <v>1546802.14</v>
      </c>
      <c r="AP390" s="4">
        <v>3173633.18</v>
      </c>
      <c r="AQ390" s="4">
        <v>2995691.68</v>
      </c>
      <c r="AR390" s="4">
        <v>409822.14</v>
      </c>
      <c r="AS390" s="4">
        <v>217473.57</v>
      </c>
      <c r="AT390" s="4">
        <v>469172.07</v>
      </c>
      <c r="AU390" s="4">
        <v>1688016.46</v>
      </c>
      <c r="AV390" s="4">
        <v>37349351.43</v>
      </c>
      <c r="AW390" s="4">
        <v>865119.93</v>
      </c>
      <c r="AX390" s="4">
        <v>606034.38</v>
      </c>
      <c r="AY390" s="4">
        <v>1859273.5</v>
      </c>
      <c r="AZ390" s="4">
        <v>3679152.1</v>
      </c>
      <c r="BA390" s="4">
        <v>1598434.25</v>
      </c>
      <c r="BB390" s="4">
        <v>528746.59</v>
      </c>
      <c r="BC390" s="4">
        <v>1174353.5900000001</v>
      </c>
      <c r="BD390" s="4">
        <v>17821383.57</v>
      </c>
      <c r="BE390" s="4">
        <v>532384.14</v>
      </c>
      <c r="BF390" s="4">
        <v>199948.81</v>
      </c>
      <c r="BG390" s="4">
        <v>0</v>
      </c>
      <c r="BH390" s="4">
        <f t="shared" si="66"/>
        <v>256228777.14999998</v>
      </c>
    </row>
    <row r="391" spans="1:60" x14ac:dyDescent="0.2">
      <c r="A391" s="3">
        <v>35490</v>
      </c>
      <c r="B391" s="4">
        <v>16437006.82</v>
      </c>
      <c r="C391" s="4">
        <v>1347354.92</v>
      </c>
      <c r="D391" s="4">
        <v>7893064.1399999997</v>
      </c>
      <c r="E391" s="4">
        <v>2312767.11</v>
      </c>
      <c r="F391" s="4">
        <v>1669771.15</v>
      </c>
      <c r="G391" s="4">
        <v>3356609.89</v>
      </c>
      <c r="H391" s="4">
        <v>2792293.36</v>
      </c>
      <c r="I391" s="4">
        <v>918152.33</v>
      </c>
      <c r="J391" s="4">
        <v>2121216.44</v>
      </c>
      <c r="K391" s="4">
        <v>1936518.59</v>
      </c>
      <c r="L391" s="4">
        <v>1567668.88</v>
      </c>
      <c r="M391" s="4">
        <v>697706.41</v>
      </c>
      <c r="N391" s="4">
        <v>9193821.9499999993</v>
      </c>
      <c r="O391" s="4">
        <v>36655729.600000001</v>
      </c>
      <c r="P391" s="4">
        <v>1097505.71</v>
      </c>
      <c r="Q391" s="4">
        <v>941263.7</v>
      </c>
      <c r="R391" s="4">
        <v>745282.18</v>
      </c>
      <c r="S391" s="4">
        <v>1486184.21</v>
      </c>
      <c r="T391" s="4">
        <v>1656098.2</v>
      </c>
      <c r="U391" s="4">
        <v>153267.38</v>
      </c>
      <c r="V391" s="4">
        <v>1317630.3500000001</v>
      </c>
      <c r="W391" s="4">
        <v>2595269.38</v>
      </c>
      <c r="X391" s="4">
        <v>498086.8</v>
      </c>
      <c r="Y391" s="4">
        <v>1329959.33</v>
      </c>
      <c r="Z391" s="4">
        <v>1199191.6399999999</v>
      </c>
      <c r="AA391" s="4">
        <v>26416060.82</v>
      </c>
      <c r="AB391" s="4">
        <v>1043195.52</v>
      </c>
      <c r="AC391" s="4">
        <v>63783022.009999998</v>
      </c>
      <c r="AD391" s="4">
        <v>5161012.03</v>
      </c>
      <c r="AE391" s="4">
        <v>6373228.5199999996</v>
      </c>
      <c r="AF391" s="4">
        <v>14752977.09</v>
      </c>
      <c r="AG391" s="4">
        <v>2541057.2799999998</v>
      </c>
      <c r="AH391" s="4">
        <v>9454458.4800000004</v>
      </c>
      <c r="AI391" s="4">
        <v>930453.6</v>
      </c>
      <c r="AJ391" s="4">
        <v>484343.16</v>
      </c>
      <c r="AK391" s="4">
        <v>1407419.18</v>
      </c>
      <c r="AL391" s="4">
        <v>1873257.36</v>
      </c>
      <c r="AM391" s="4">
        <v>3856165.4</v>
      </c>
      <c r="AN391" s="4">
        <v>8741070.7300000004</v>
      </c>
      <c r="AO391" s="4">
        <v>2316043.09</v>
      </c>
      <c r="AP391" s="4">
        <v>4881567.57</v>
      </c>
      <c r="AQ391" s="4">
        <v>4103432.46</v>
      </c>
      <c r="AR391" s="4">
        <v>798515.48</v>
      </c>
      <c r="AS391" s="4">
        <v>289262.63</v>
      </c>
      <c r="AT391" s="4">
        <v>815817.49</v>
      </c>
      <c r="AU391" s="4">
        <v>2270475.1</v>
      </c>
      <c r="AV391" s="4">
        <v>63957418.600000001</v>
      </c>
      <c r="AW391" s="4">
        <v>1454740.55</v>
      </c>
      <c r="AX391" s="4">
        <v>1160844.8600000001</v>
      </c>
      <c r="AY391" s="4">
        <v>2634325.17</v>
      </c>
      <c r="AZ391" s="4">
        <v>5602523.5199999996</v>
      </c>
      <c r="BA391" s="4">
        <v>2233979.58</v>
      </c>
      <c r="BB391" s="4">
        <v>1058284.81</v>
      </c>
      <c r="BC391" s="4">
        <v>1940407.47</v>
      </c>
      <c r="BD391" s="4">
        <v>27185695.059999999</v>
      </c>
      <c r="BE391" s="4">
        <v>1021312.99</v>
      </c>
      <c r="BF391" s="4">
        <v>426206.33</v>
      </c>
      <c r="BG391" s="4">
        <v>2639.94</v>
      </c>
      <c r="BH391" s="4">
        <f t="shared" si="66"/>
        <v>372890634.35000002</v>
      </c>
    </row>
    <row r="392" spans="1:60" x14ac:dyDescent="0.2">
      <c r="A392" s="3">
        <v>35521</v>
      </c>
      <c r="B392" s="4">
        <v>11782939.42</v>
      </c>
      <c r="C392" s="4">
        <v>760096.23</v>
      </c>
      <c r="D392" s="4">
        <v>5457034.8899999997</v>
      </c>
      <c r="E392" s="4">
        <v>1510568.16</v>
      </c>
      <c r="F392" s="4">
        <v>1231024.5900000001</v>
      </c>
      <c r="G392" s="4">
        <v>2398025.2999999998</v>
      </c>
      <c r="H392" s="4">
        <v>1977401.18</v>
      </c>
      <c r="I392" s="4">
        <v>551307.56999999995</v>
      </c>
      <c r="J392" s="4">
        <v>1586430.08</v>
      </c>
      <c r="K392" s="4">
        <v>1221511.8</v>
      </c>
      <c r="L392" s="4">
        <v>1160390.76</v>
      </c>
      <c r="M392" s="4">
        <v>449449.35</v>
      </c>
      <c r="N392" s="4">
        <v>5825956.6100000003</v>
      </c>
      <c r="O392" s="4">
        <v>27864109.359999999</v>
      </c>
      <c r="P392" s="4">
        <v>665659.81999999995</v>
      </c>
      <c r="Q392" s="4">
        <v>574464.16</v>
      </c>
      <c r="R392" s="4">
        <v>548234.06999999995</v>
      </c>
      <c r="S392" s="4">
        <v>1117966.24</v>
      </c>
      <c r="T392" s="4">
        <v>844616.98</v>
      </c>
      <c r="U392" s="4">
        <v>79376.320000000007</v>
      </c>
      <c r="V392" s="4">
        <v>996803.99</v>
      </c>
      <c r="W392" s="4">
        <v>2125078.67</v>
      </c>
      <c r="X392" s="4">
        <v>276690.57</v>
      </c>
      <c r="Y392" s="4">
        <v>836206.15</v>
      </c>
      <c r="Z392" s="4">
        <v>731595.39</v>
      </c>
      <c r="AA392" s="4">
        <v>22772759.899999999</v>
      </c>
      <c r="AB392" s="4">
        <v>765020.97</v>
      </c>
      <c r="AC392" s="4">
        <v>48044637.399999999</v>
      </c>
      <c r="AD392" s="4">
        <v>3862707.24</v>
      </c>
      <c r="AE392" s="4">
        <v>4418980</v>
      </c>
      <c r="AF392" s="4">
        <v>11103372.859999999</v>
      </c>
      <c r="AG392" s="4">
        <v>2152135.33</v>
      </c>
      <c r="AH392" s="4">
        <v>6721590.5599999996</v>
      </c>
      <c r="AI392" s="4">
        <v>674903.5</v>
      </c>
      <c r="AJ392" s="4">
        <v>1149240.99</v>
      </c>
      <c r="AK392" s="4">
        <v>955142.38</v>
      </c>
      <c r="AL392" s="4">
        <v>1269483.72</v>
      </c>
      <c r="AM392" s="4">
        <v>2714054.33</v>
      </c>
      <c r="AN392" s="4">
        <v>5276442.96</v>
      </c>
      <c r="AO392" s="4">
        <v>1595436.81</v>
      </c>
      <c r="AP392" s="4">
        <v>3648847.58</v>
      </c>
      <c r="AQ392" s="4">
        <v>3141179</v>
      </c>
      <c r="AR392" s="4">
        <v>388404.14</v>
      </c>
      <c r="AS392" s="4">
        <v>186743.51</v>
      </c>
      <c r="AT392" s="4">
        <v>544627.96</v>
      </c>
      <c r="AU392" s="4">
        <v>1703752.25</v>
      </c>
      <c r="AV392" s="4">
        <v>41856062.390000001</v>
      </c>
      <c r="AW392" s="4">
        <v>1041918.98</v>
      </c>
      <c r="AX392" s="4">
        <v>736878.59</v>
      </c>
      <c r="AY392" s="4">
        <v>1881727.58</v>
      </c>
      <c r="AZ392" s="4">
        <v>3626187.68</v>
      </c>
      <c r="BA392" s="4">
        <v>1713716.28</v>
      </c>
      <c r="BB392" s="4">
        <v>631159.9</v>
      </c>
      <c r="BC392" s="4">
        <v>1332477.48</v>
      </c>
      <c r="BD392" s="4">
        <v>18464735.219999999</v>
      </c>
      <c r="BE392" s="4">
        <v>645950.25</v>
      </c>
      <c r="BF392" s="4">
        <v>246976.19</v>
      </c>
      <c r="BG392" s="4">
        <v>0</v>
      </c>
      <c r="BH392" s="4">
        <f t="shared" si="66"/>
        <v>267840191.59000006</v>
      </c>
    </row>
    <row r="393" spans="1:60" x14ac:dyDescent="0.2">
      <c r="A393" s="3">
        <v>35551</v>
      </c>
      <c r="B393" s="4">
        <v>11873320.92</v>
      </c>
      <c r="C393" s="4">
        <v>772115.52</v>
      </c>
      <c r="D393" s="4">
        <v>5883528.1600000001</v>
      </c>
      <c r="E393" s="4">
        <v>1464735.42</v>
      </c>
      <c r="F393" s="4">
        <v>1292429.8999999999</v>
      </c>
      <c r="G393" s="4">
        <v>2349134.96</v>
      </c>
      <c r="H393" s="4">
        <v>2101397.61</v>
      </c>
      <c r="I393" s="4">
        <v>569070.93000000005</v>
      </c>
      <c r="J393" s="4">
        <v>1595833.33</v>
      </c>
      <c r="K393" s="4">
        <v>1263188.4099999999</v>
      </c>
      <c r="L393" s="4">
        <v>1203165.3600000001</v>
      </c>
      <c r="M393" s="4">
        <v>453513.48</v>
      </c>
      <c r="N393" s="4">
        <v>5840124.79</v>
      </c>
      <c r="O393" s="4">
        <v>28660433.449999999</v>
      </c>
      <c r="P393" s="4">
        <v>656230.62</v>
      </c>
      <c r="Q393" s="4">
        <v>581197.26</v>
      </c>
      <c r="R393" s="4">
        <v>577412.30000000005</v>
      </c>
      <c r="S393" s="4">
        <v>1147215.27</v>
      </c>
      <c r="T393" s="4">
        <v>876047.88</v>
      </c>
      <c r="U393" s="4">
        <v>73714.2</v>
      </c>
      <c r="V393" s="4">
        <v>1106817.28</v>
      </c>
      <c r="W393" s="4">
        <v>2107224.34</v>
      </c>
      <c r="X393" s="4">
        <v>279758.43</v>
      </c>
      <c r="Y393" s="4">
        <v>912006.39</v>
      </c>
      <c r="Z393" s="4">
        <v>752806.24</v>
      </c>
      <c r="AA393" s="4">
        <v>23599882.370000001</v>
      </c>
      <c r="AB393" s="4">
        <v>762537.92</v>
      </c>
      <c r="AC393" s="4">
        <v>48520272.990000002</v>
      </c>
      <c r="AD393" s="4">
        <v>4127361.13</v>
      </c>
      <c r="AE393" s="4">
        <v>4540776.96</v>
      </c>
      <c r="AF393" s="4">
        <v>11455480.33</v>
      </c>
      <c r="AG393" s="4">
        <v>2242096.35</v>
      </c>
      <c r="AH393" s="4">
        <v>6726248.5300000003</v>
      </c>
      <c r="AI393" s="4">
        <v>686398.38</v>
      </c>
      <c r="AJ393" s="4">
        <v>1179759.49</v>
      </c>
      <c r="AK393" s="4">
        <v>1028508.55</v>
      </c>
      <c r="AL393" s="4">
        <v>1223948.18</v>
      </c>
      <c r="AM393" s="4">
        <v>2741337.16</v>
      </c>
      <c r="AN393" s="4">
        <v>5450879.8700000001</v>
      </c>
      <c r="AO393" s="4">
        <v>1667519.47</v>
      </c>
      <c r="AP393" s="4">
        <v>3661792.06</v>
      </c>
      <c r="AQ393" s="4">
        <v>3151737.16</v>
      </c>
      <c r="AR393" s="4">
        <v>419960.2</v>
      </c>
      <c r="AS393" s="4">
        <v>191997.57</v>
      </c>
      <c r="AT393" s="4">
        <v>543200.28</v>
      </c>
      <c r="AU393" s="4">
        <v>1814946.7</v>
      </c>
      <c r="AV393" s="4">
        <v>42192120.259999998</v>
      </c>
      <c r="AW393" s="4">
        <v>1091220.43</v>
      </c>
      <c r="AX393" s="4">
        <v>754413.74</v>
      </c>
      <c r="AY393" s="4">
        <v>1946014.16</v>
      </c>
      <c r="AZ393" s="4">
        <v>3655966.7200000002</v>
      </c>
      <c r="BA393" s="4">
        <v>1685791.95</v>
      </c>
      <c r="BB393" s="4">
        <v>624541.32999999996</v>
      </c>
      <c r="BC393" s="4">
        <v>1404323.75</v>
      </c>
      <c r="BD393" s="4">
        <v>18096139.07</v>
      </c>
      <c r="BE393" s="4">
        <v>661015.43000000005</v>
      </c>
      <c r="BF393" s="4">
        <v>251182.84</v>
      </c>
      <c r="BG393" s="4">
        <v>0</v>
      </c>
      <c r="BH393" s="4">
        <f t="shared" si="66"/>
        <v>272491793.77999997</v>
      </c>
    </row>
    <row r="394" spans="1:60" x14ac:dyDescent="0.2">
      <c r="A394" s="3">
        <v>35582</v>
      </c>
      <c r="B394" s="4">
        <v>17117363.719999999</v>
      </c>
      <c r="C394" s="4">
        <v>1509975.47</v>
      </c>
      <c r="D394" s="4">
        <v>8302870.1200000001</v>
      </c>
      <c r="E394" s="4">
        <v>2584992.9500000002</v>
      </c>
      <c r="F394" s="4">
        <v>2003614.59</v>
      </c>
      <c r="G394" s="4">
        <v>4001743.01</v>
      </c>
      <c r="H394" s="4">
        <v>3525953.65</v>
      </c>
      <c r="I394" s="4">
        <v>1115478.3999999999</v>
      </c>
      <c r="J394" s="4">
        <v>2349492.66</v>
      </c>
      <c r="K394" s="4">
        <v>2183785.56</v>
      </c>
      <c r="L394" s="4">
        <v>1775693.28</v>
      </c>
      <c r="M394" s="4">
        <v>783956.75</v>
      </c>
      <c r="N394" s="4">
        <v>8471858.0700000003</v>
      </c>
      <c r="O394" s="4">
        <v>42718247.520000003</v>
      </c>
      <c r="P394" s="4">
        <v>976355.82</v>
      </c>
      <c r="Q394" s="4">
        <v>1051533.28</v>
      </c>
      <c r="R394" s="4">
        <v>1048473.98</v>
      </c>
      <c r="S394" s="4">
        <v>2572355.4</v>
      </c>
      <c r="T394" s="4">
        <v>1748679.45</v>
      </c>
      <c r="U394" s="4">
        <v>184218.85</v>
      </c>
      <c r="V394" s="4">
        <v>2025039.01</v>
      </c>
      <c r="W394" s="4">
        <v>3683120.7</v>
      </c>
      <c r="X394" s="4">
        <v>549171.94999999995</v>
      </c>
      <c r="Y394" s="4">
        <v>1745027.21</v>
      </c>
      <c r="Z394" s="4">
        <v>1550822.35</v>
      </c>
      <c r="AA394" s="4">
        <v>33791035.710000001</v>
      </c>
      <c r="AB394" s="4">
        <v>1259160.03</v>
      </c>
      <c r="AC394" s="4">
        <v>72164702.909999996</v>
      </c>
      <c r="AD394" s="4">
        <v>5904313.8499999996</v>
      </c>
      <c r="AE394" s="4">
        <v>7563933.29</v>
      </c>
      <c r="AF394" s="4">
        <v>17128327.030000001</v>
      </c>
      <c r="AG394" s="4">
        <v>3776847.85</v>
      </c>
      <c r="AH394" s="4">
        <v>10670937.26</v>
      </c>
      <c r="AI394" s="4">
        <v>945020.88</v>
      </c>
      <c r="AJ394" s="4">
        <v>1207435.19</v>
      </c>
      <c r="AK394" s="4">
        <v>1716431.3</v>
      </c>
      <c r="AL394" s="4">
        <v>2540732.89</v>
      </c>
      <c r="AM394" s="4">
        <v>4458118.3499999996</v>
      </c>
      <c r="AN394" s="4">
        <v>8858165.4499999993</v>
      </c>
      <c r="AO394" s="4">
        <v>3227966.15</v>
      </c>
      <c r="AP394" s="4">
        <v>5589524.9100000001</v>
      </c>
      <c r="AQ394" s="4">
        <v>4859962.37</v>
      </c>
      <c r="AR394" s="4">
        <v>740635.86</v>
      </c>
      <c r="AS394" s="4">
        <v>469252.2</v>
      </c>
      <c r="AT394" s="4">
        <v>1124199.19</v>
      </c>
      <c r="AU394" s="4">
        <v>3330345.01</v>
      </c>
      <c r="AV394" s="4">
        <v>68578713.069999993</v>
      </c>
      <c r="AW394" s="4">
        <v>2090732.16</v>
      </c>
      <c r="AX394" s="4">
        <v>1162571.1100000001</v>
      </c>
      <c r="AY394" s="4">
        <v>3553095.06</v>
      </c>
      <c r="AZ394" s="4">
        <v>6838414.6600000001</v>
      </c>
      <c r="BA394" s="4">
        <v>2922812.84</v>
      </c>
      <c r="BB394" s="4">
        <v>1156815.71</v>
      </c>
      <c r="BC394" s="4">
        <v>2165286.9300000002</v>
      </c>
      <c r="BD394" s="4">
        <v>28882525.850000001</v>
      </c>
      <c r="BE394" s="4">
        <v>1180718.3500000001</v>
      </c>
      <c r="BF394" s="4">
        <v>588675.99</v>
      </c>
      <c r="BG394" s="4">
        <v>26.89</v>
      </c>
      <c r="BH394" s="4">
        <f t="shared" si="66"/>
        <v>426027260.05000007</v>
      </c>
    </row>
    <row r="395" spans="1:60" x14ac:dyDescent="0.2">
      <c r="A395" s="3">
        <v>35612</v>
      </c>
      <c r="B395" s="4">
        <v>12653535.68</v>
      </c>
      <c r="C395" s="4">
        <v>806228.77</v>
      </c>
      <c r="D395" s="4">
        <v>5665552.7699999996</v>
      </c>
      <c r="E395" s="4">
        <v>1519241.08</v>
      </c>
      <c r="F395" s="4">
        <v>1380826.22</v>
      </c>
      <c r="G395" s="4">
        <v>2615781.98</v>
      </c>
      <c r="H395" s="4">
        <v>2111079.37</v>
      </c>
      <c r="I395" s="4">
        <v>648102.38</v>
      </c>
      <c r="J395" s="4">
        <v>1837041.71</v>
      </c>
      <c r="K395" s="4">
        <v>1407026.65</v>
      </c>
      <c r="L395" s="4">
        <v>1269424.8400000001</v>
      </c>
      <c r="M395" s="4">
        <v>518620.54</v>
      </c>
      <c r="N395" s="4">
        <v>6768445.5099999998</v>
      </c>
      <c r="O395" s="4">
        <v>29252288.879999999</v>
      </c>
      <c r="P395" s="4">
        <v>898042.77</v>
      </c>
      <c r="Q395" s="4">
        <v>662837.74</v>
      </c>
      <c r="R395" s="4">
        <v>658295.4</v>
      </c>
      <c r="S395" s="4">
        <v>1493903.6</v>
      </c>
      <c r="T395" s="4">
        <v>1048766.56</v>
      </c>
      <c r="U395" s="4">
        <v>129325.71</v>
      </c>
      <c r="V395" s="4">
        <v>1127514.8600000001</v>
      </c>
      <c r="W395" s="4">
        <v>2489477.9700000002</v>
      </c>
      <c r="X395" s="4">
        <v>339871.09</v>
      </c>
      <c r="Y395" s="4">
        <v>964496.07</v>
      </c>
      <c r="Z395" s="4">
        <v>848789.83</v>
      </c>
      <c r="AA395" s="4">
        <v>25204785.739999998</v>
      </c>
      <c r="AB395" s="4">
        <v>844761.21</v>
      </c>
      <c r="AC395" s="4">
        <v>52717069.100000001</v>
      </c>
      <c r="AD395" s="4">
        <v>4430298.25</v>
      </c>
      <c r="AE395" s="4">
        <v>4921473.76</v>
      </c>
      <c r="AF395" s="4">
        <v>12011738.66</v>
      </c>
      <c r="AG395" s="4">
        <v>2468295.54</v>
      </c>
      <c r="AH395" s="4">
        <v>7704647.7699999996</v>
      </c>
      <c r="AI395" s="4">
        <v>679266.38</v>
      </c>
      <c r="AJ395" s="4">
        <v>1312570.7</v>
      </c>
      <c r="AK395" s="4">
        <v>1172532.55</v>
      </c>
      <c r="AL395" s="4">
        <v>1515174.85</v>
      </c>
      <c r="AM395" s="4">
        <v>3045550.53</v>
      </c>
      <c r="AN395" s="4">
        <v>5956693.3499999996</v>
      </c>
      <c r="AO395" s="4">
        <v>1804932.01</v>
      </c>
      <c r="AP395" s="4">
        <v>4343458.71</v>
      </c>
      <c r="AQ395" s="4">
        <v>3186465.48</v>
      </c>
      <c r="AR395" s="4">
        <v>495948.48</v>
      </c>
      <c r="AS395" s="4">
        <v>266479.24</v>
      </c>
      <c r="AT395" s="4">
        <v>628566.82999999996</v>
      </c>
      <c r="AU395" s="4">
        <v>1962961.4</v>
      </c>
      <c r="AV395" s="4">
        <v>48062810.759999998</v>
      </c>
      <c r="AW395" s="4">
        <v>1464948.86</v>
      </c>
      <c r="AX395" s="4">
        <v>686634.79</v>
      </c>
      <c r="AY395" s="4">
        <v>1929422.64</v>
      </c>
      <c r="AZ395" s="4">
        <v>4129764.67</v>
      </c>
      <c r="BA395" s="4">
        <v>2430235.39</v>
      </c>
      <c r="BB395" s="4">
        <v>679639.46</v>
      </c>
      <c r="BC395" s="4">
        <v>1518243.93</v>
      </c>
      <c r="BD395" s="4">
        <v>19436964.739999998</v>
      </c>
      <c r="BE395" s="4">
        <v>755573.4</v>
      </c>
      <c r="BF395" s="4">
        <v>298990.03999999998</v>
      </c>
      <c r="BG395" s="4">
        <v>0</v>
      </c>
      <c r="BH395" s="4">
        <f t="shared" si="66"/>
        <v>297181417.19999993</v>
      </c>
    </row>
    <row r="396" spans="1:60" x14ac:dyDescent="0.2">
      <c r="A396" s="3">
        <v>35643</v>
      </c>
      <c r="B396" s="4">
        <v>12298428.51</v>
      </c>
      <c r="C396" s="4">
        <v>793017.66</v>
      </c>
      <c r="D396" s="4">
        <v>5791454.9100000001</v>
      </c>
      <c r="E396" s="4">
        <v>1534778.89</v>
      </c>
      <c r="F396" s="4">
        <v>1383644.28</v>
      </c>
      <c r="G396" s="4">
        <v>2647018.41</v>
      </c>
      <c r="H396" s="4">
        <v>2075899.49</v>
      </c>
      <c r="I396" s="4">
        <v>643450.97</v>
      </c>
      <c r="J396" s="4">
        <v>1931370.85</v>
      </c>
      <c r="K396" s="4">
        <v>1359238.83</v>
      </c>
      <c r="L396" s="4">
        <v>1254732.49</v>
      </c>
      <c r="M396" s="4">
        <v>496024.92</v>
      </c>
      <c r="N396" s="4">
        <v>6255684.29</v>
      </c>
      <c r="O396" s="4">
        <v>28812781.789999999</v>
      </c>
      <c r="P396" s="4">
        <v>918363.55</v>
      </c>
      <c r="Q396" s="4">
        <v>657923.22</v>
      </c>
      <c r="R396" s="4">
        <v>635073.31000000006</v>
      </c>
      <c r="S396" s="4">
        <v>1498599.64</v>
      </c>
      <c r="T396" s="4">
        <v>1059368.1299999999</v>
      </c>
      <c r="U396" s="4">
        <v>122140.39</v>
      </c>
      <c r="V396" s="4">
        <v>1108122.76</v>
      </c>
      <c r="W396" s="4">
        <v>2464549.6800000002</v>
      </c>
      <c r="X396" s="4">
        <v>316459.14</v>
      </c>
      <c r="Y396" s="4">
        <v>975212.03</v>
      </c>
      <c r="Z396" s="4">
        <v>846457.06</v>
      </c>
      <c r="AA396" s="4">
        <v>24543466.68</v>
      </c>
      <c r="AB396" s="4">
        <v>834868.16</v>
      </c>
      <c r="AC396" s="4">
        <v>51419936.200000003</v>
      </c>
      <c r="AD396" s="4">
        <v>4296165.79</v>
      </c>
      <c r="AE396" s="4">
        <v>4801602.0999999996</v>
      </c>
      <c r="AF396" s="4">
        <v>11840214.439999999</v>
      </c>
      <c r="AG396" s="4">
        <v>2411283.7200000002</v>
      </c>
      <c r="AH396" s="4">
        <v>7495098.21</v>
      </c>
      <c r="AI396" s="4">
        <v>684383.92</v>
      </c>
      <c r="AJ396" s="4">
        <v>1267330.8</v>
      </c>
      <c r="AK396" s="4">
        <v>1152094.74</v>
      </c>
      <c r="AL396" s="4">
        <v>1658858.05</v>
      </c>
      <c r="AM396" s="4">
        <v>2968415.63</v>
      </c>
      <c r="AN396" s="4">
        <v>5707798.8399999999</v>
      </c>
      <c r="AO396" s="4">
        <v>1788664.76</v>
      </c>
      <c r="AP396" s="4">
        <v>4177921.75</v>
      </c>
      <c r="AQ396" s="4">
        <v>3132319.7</v>
      </c>
      <c r="AR396" s="4">
        <v>485431.02</v>
      </c>
      <c r="AS396" s="4">
        <v>279225.09000000003</v>
      </c>
      <c r="AT396" s="4">
        <v>629766.39</v>
      </c>
      <c r="AU396" s="4">
        <v>1951587.44</v>
      </c>
      <c r="AV396" s="4">
        <v>46446874.539999999</v>
      </c>
      <c r="AW396" s="4">
        <v>1450762.61</v>
      </c>
      <c r="AX396" s="4">
        <v>701390.29</v>
      </c>
      <c r="AY396" s="4">
        <v>1945480.58</v>
      </c>
      <c r="AZ396" s="4">
        <v>4053865.67</v>
      </c>
      <c r="BA396" s="4">
        <v>2464036.9500000002</v>
      </c>
      <c r="BB396" s="4">
        <v>660847.35999999999</v>
      </c>
      <c r="BC396" s="4">
        <v>1532436.66</v>
      </c>
      <c r="BD396" s="4">
        <v>18611985.890000001</v>
      </c>
      <c r="BE396" s="4">
        <v>746840.82</v>
      </c>
      <c r="BF396" s="4">
        <v>299618.95</v>
      </c>
      <c r="BG396" s="4">
        <v>0</v>
      </c>
      <c r="BH396" s="4">
        <f t="shared" si="66"/>
        <v>290320368.94999999</v>
      </c>
    </row>
    <row r="397" spans="1:60" x14ac:dyDescent="0.2">
      <c r="A397" s="3">
        <v>35674</v>
      </c>
      <c r="B397" s="4">
        <v>17587544.460000001</v>
      </c>
      <c r="C397" s="4">
        <v>1503590.97</v>
      </c>
      <c r="D397" s="4">
        <v>8760357.8699999992</v>
      </c>
      <c r="E397" s="4">
        <v>2620197.63</v>
      </c>
      <c r="F397" s="4">
        <v>2310269.64</v>
      </c>
      <c r="G397" s="4">
        <v>4573058.47</v>
      </c>
      <c r="H397" s="4">
        <v>2885472.36</v>
      </c>
      <c r="I397" s="4">
        <v>1196511.6599999999</v>
      </c>
      <c r="J397" s="4">
        <v>2160918.4500000002</v>
      </c>
      <c r="K397" s="4">
        <v>2389437.33</v>
      </c>
      <c r="L397" s="4">
        <v>1886474.66</v>
      </c>
      <c r="M397" s="4">
        <v>1020408.49</v>
      </c>
      <c r="N397" s="4">
        <v>9917218.0199999996</v>
      </c>
      <c r="O397" s="4">
        <v>42817040.390000001</v>
      </c>
      <c r="P397" s="4">
        <v>1757910.91</v>
      </c>
      <c r="Q397" s="4">
        <v>1323372.72</v>
      </c>
      <c r="R397" s="4">
        <v>1088876.18</v>
      </c>
      <c r="S397" s="4">
        <v>2222258.27</v>
      </c>
      <c r="T397" s="4">
        <v>2121365.31</v>
      </c>
      <c r="U397" s="4">
        <v>439938.13</v>
      </c>
      <c r="V397" s="4">
        <v>2092527.14</v>
      </c>
      <c r="W397" s="4">
        <v>3935000.73</v>
      </c>
      <c r="X397" s="4">
        <v>652339.99</v>
      </c>
      <c r="Y397" s="4">
        <v>1711541.61</v>
      </c>
      <c r="Z397" s="4">
        <v>1595406.24</v>
      </c>
      <c r="AA397" s="4">
        <v>37988554.920000002</v>
      </c>
      <c r="AB397" s="4">
        <v>1303246.31</v>
      </c>
      <c r="AC397" s="4">
        <v>74139415.069999993</v>
      </c>
      <c r="AD397" s="4">
        <v>5748706.9199999999</v>
      </c>
      <c r="AE397" s="4">
        <v>6890264.2699999996</v>
      </c>
      <c r="AF397" s="4">
        <v>17261410.809999999</v>
      </c>
      <c r="AG397" s="4">
        <v>4248250.72</v>
      </c>
      <c r="AH397" s="4">
        <v>11841860.630000001</v>
      </c>
      <c r="AI397" s="4">
        <v>998957.8</v>
      </c>
      <c r="AJ397" s="4">
        <v>1820716.29</v>
      </c>
      <c r="AK397" s="4">
        <v>2221016.34</v>
      </c>
      <c r="AL397" s="4">
        <v>2678936.02</v>
      </c>
      <c r="AM397" s="4">
        <v>5436550.9199999999</v>
      </c>
      <c r="AN397" s="4">
        <v>9269357.5</v>
      </c>
      <c r="AO397" s="4">
        <v>2970374.9</v>
      </c>
      <c r="AP397" s="4">
        <v>6314774.1699999999</v>
      </c>
      <c r="AQ397" s="4">
        <v>4777036.75</v>
      </c>
      <c r="AR397" s="4">
        <v>729449.5</v>
      </c>
      <c r="AS397" s="4">
        <v>614085.03</v>
      </c>
      <c r="AT397" s="4">
        <v>1396612.24</v>
      </c>
      <c r="AU397" s="4">
        <v>3168548.54</v>
      </c>
      <c r="AV397" s="4">
        <v>75784836.349999994</v>
      </c>
      <c r="AW397" s="4">
        <v>2341150.69</v>
      </c>
      <c r="AX397" s="4">
        <v>1358754.5</v>
      </c>
      <c r="AY397" s="4">
        <v>3870675.2</v>
      </c>
      <c r="AZ397" s="4">
        <v>6616051.46</v>
      </c>
      <c r="BA397" s="4">
        <v>4359559.59</v>
      </c>
      <c r="BB397" s="4">
        <v>1260761.78</v>
      </c>
      <c r="BC397" s="4">
        <v>2440991.83</v>
      </c>
      <c r="BD397" s="4">
        <v>27777980.350000001</v>
      </c>
      <c r="BE397" s="4">
        <v>1237830.96</v>
      </c>
      <c r="BF397" s="4">
        <v>677110.45</v>
      </c>
      <c r="BG397" s="4">
        <v>0</v>
      </c>
      <c r="BH397" s="4">
        <f t="shared" si="66"/>
        <v>450112866.43999988</v>
      </c>
    </row>
    <row r="398" spans="1:60" x14ac:dyDescent="0.2">
      <c r="A398" s="3">
        <v>35704</v>
      </c>
      <c r="B398" s="4">
        <v>12557186.41</v>
      </c>
      <c r="C398" s="4">
        <v>793226.52</v>
      </c>
      <c r="D398" s="4">
        <v>5803808.54</v>
      </c>
      <c r="E398" s="4">
        <v>1570943.01</v>
      </c>
      <c r="F398" s="4">
        <v>1384889.53</v>
      </c>
      <c r="G398" s="4">
        <v>2543479.04</v>
      </c>
      <c r="H398" s="4">
        <v>2208051.98</v>
      </c>
      <c r="I398" s="4">
        <v>653004.76</v>
      </c>
      <c r="J398" s="4">
        <v>1842830.48</v>
      </c>
      <c r="K398" s="4">
        <v>1323956.5900000001</v>
      </c>
      <c r="L398" s="4">
        <v>1284254.21</v>
      </c>
      <c r="M398" s="4">
        <v>483067.07</v>
      </c>
      <c r="N398" s="4">
        <v>6269237.9400000004</v>
      </c>
      <c r="O398" s="4">
        <v>29538435.77</v>
      </c>
      <c r="P398" s="4">
        <v>824918.2</v>
      </c>
      <c r="Q398" s="4">
        <v>619956.18999999994</v>
      </c>
      <c r="R398" s="4">
        <v>596951.76</v>
      </c>
      <c r="S398" s="4">
        <v>1257463.67</v>
      </c>
      <c r="T398" s="4">
        <v>908538.43</v>
      </c>
      <c r="U398" s="4">
        <v>108703.62</v>
      </c>
      <c r="V398" s="4">
        <v>1059728.96</v>
      </c>
      <c r="W398" s="4">
        <v>2347268.9500000002</v>
      </c>
      <c r="X398" s="4">
        <v>295553.17</v>
      </c>
      <c r="Y398" s="4">
        <v>1050708.8700000001</v>
      </c>
      <c r="Z398" s="4">
        <v>806280.55</v>
      </c>
      <c r="AA398" s="4">
        <v>24522579.620000001</v>
      </c>
      <c r="AB398" s="4">
        <v>856897.4</v>
      </c>
      <c r="AC398" s="4">
        <v>50639170.159999996</v>
      </c>
      <c r="AD398" s="4">
        <v>4234128.4000000004</v>
      </c>
      <c r="AE398" s="4">
        <v>4766144.43</v>
      </c>
      <c r="AF398" s="4">
        <v>11782193.369999999</v>
      </c>
      <c r="AG398" s="4">
        <v>2446125.71</v>
      </c>
      <c r="AH398" s="4">
        <v>7527871.25</v>
      </c>
      <c r="AI398" s="4">
        <v>651076.78</v>
      </c>
      <c r="AJ398" s="4">
        <v>1403904.01</v>
      </c>
      <c r="AK398" s="4">
        <v>1100774.78</v>
      </c>
      <c r="AL398" s="4">
        <v>1428956.72</v>
      </c>
      <c r="AM398" s="4">
        <v>3063817.64</v>
      </c>
      <c r="AN398" s="4">
        <v>5660494.8399999999</v>
      </c>
      <c r="AO398" s="4">
        <v>1845790.93</v>
      </c>
      <c r="AP398" s="4">
        <v>3850970.07</v>
      </c>
      <c r="AQ398" s="4">
        <v>3135719.05</v>
      </c>
      <c r="AR398" s="4">
        <v>514843.67</v>
      </c>
      <c r="AS398" s="4">
        <v>194831.21</v>
      </c>
      <c r="AT398" s="4">
        <v>708553.48</v>
      </c>
      <c r="AU398" s="4">
        <v>1887455.87</v>
      </c>
      <c r="AV398" s="4">
        <v>44090820.229999997</v>
      </c>
      <c r="AW398" s="4">
        <v>1150201.07</v>
      </c>
      <c r="AX398" s="4">
        <v>694566.73</v>
      </c>
      <c r="AY398" s="4">
        <v>1944253.78</v>
      </c>
      <c r="AZ398" s="4">
        <v>3856016.04</v>
      </c>
      <c r="BA398" s="4">
        <v>1893150.44</v>
      </c>
      <c r="BB398" s="4">
        <v>632036.92000000004</v>
      </c>
      <c r="BC398" s="4">
        <v>1380735.13</v>
      </c>
      <c r="BD398" s="4">
        <v>18831618.879999999</v>
      </c>
      <c r="BE398" s="4">
        <v>692195.5</v>
      </c>
      <c r="BF398" s="4">
        <v>261839.78</v>
      </c>
      <c r="BG398" s="4">
        <v>0</v>
      </c>
      <c r="BH398" s="4">
        <f t="shared" si="66"/>
        <v>285782178.10999995</v>
      </c>
    </row>
    <row r="399" spans="1:60" x14ac:dyDescent="0.2">
      <c r="A399" s="3">
        <v>35735</v>
      </c>
      <c r="B399" s="4">
        <v>12716079.15</v>
      </c>
      <c r="C399" s="4">
        <v>821224.34</v>
      </c>
      <c r="D399" s="4">
        <v>5883343.6399999997</v>
      </c>
      <c r="E399" s="4">
        <v>1667347.21</v>
      </c>
      <c r="F399" s="4">
        <v>1385167.71</v>
      </c>
      <c r="G399" s="4">
        <v>2497608.56</v>
      </c>
      <c r="H399" s="4">
        <v>2241407.71</v>
      </c>
      <c r="I399" s="4">
        <v>644930.99</v>
      </c>
      <c r="J399" s="4">
        <v>1827530.58</v>
      </c>
      <c r="K399" s="4">
        <v>1370399.94</v>
      </c>
      <c r="L399" s="4">
        <v>1259119.43</v>
      </c>
      <c r="M399" s="4">
        <v>479123.08</v>
      </c>
      <c r="N399" s="4">
        <v>6260065.9000000004</v>
      </c>
      <c r="O399" s="4">
        <v>29024624.050000001</v>
      </c>
      <c r="P399" s="4">
        <v>834342.86</v>
      </c>
      <c r="Q399" s="4">
        <v>619591.01</v>
      </c>
      <c r="R399" s="4">
        <v>601153.21</v>
      </c>
      <c r="S399" s="4">
        <v>1271091.8</v>
      </c>
      <c r="T399" s="4">
        <v>892190.08</v>
      </c>
      <c r="U399" s="4">
        <v>99042.29</v>
      </c>
      <c r="V399" s="4">
        <v>1044614.24</v>
      </c>
      <c r="W399" s="4">
        <v>2348643.2400000002</v>
      </c>
      <c r="X399" s="4">
        <v>282251.32</v>
      </c>
      <c r="Y399" s="4">
        <v>998634.26</v>
      </c>
      <c r="Z399" s="4">
        <v>812857.6</v>
      </c>
      <c r="AA399" s="4">
        <v>24334205.010000002</v>
      </c>
      <c r="AB399" s="4">
        <v>842234.84</v>
      </c>
      <c r="AC399" s="4">
        <v>50758833.469999999</v>
      </c>
      <c r="AD399" s="4">
        <v>4330454.3499999996</v>
      </c>
      <c r="AE399" s="4">
        <v>4811176.33</v>
      </c>
      <c r="AF399" s="4">
        <v>11864733.689999999</v>
      </c>
      <c r="AG399" s="4">
        <v>2523448.56</v>
      </c>
      <c r="AH399" s="4">
        <v>7500336.0700000003</v>
      </c>
      <c r="AI399" s="4">
        <v>640095.65</v>
      </c>
      <c r="AJ399" s="4">
        <v>1417284.08</v>
      </c>
      <c r="AK399" s="4">
        <v>1122891.03</v>
      </c>
      <c r="AL399" s="4">
        <v>1440998.51</v>
      </c>
      <c r="AM399" s="4">
        <v>3052011.69</v>
      </c>
      <c r="AN399" s="4">
        <v>5646108.8099999996</v>
      </c>
      <c r="AO399" s="4">
        <v>1908001.52</v>
      </c>
      <c r="AP399" s="4">
        <v>3905888.31</v>
      </c>
      <c r="AQ399" s="4">
        <v>3144371.05</v>
      </c>
      <c r="AR399" s="4">
        <v>517112.26</v>
      </c>
      <c r="AS399" s="4">
        <v>196130.17</v>
      </c>
      <c r="AT399" s="4">
        <v>722391.08</v>
      </c>
      <c r="AU399" s="4">
        <v>1863581.87</v>
      </c>
      <c r="AV399" s="4">
        <v>43930307.310000002</v>
      </c>
      <c r="AW399" s="4">
        <v>1147420.79</v>
      </c>
      <c r="AX399" s="4">
        <v>691113.24</v>
      </c>
      <c r="AY399" s="4">
        <v>1994340.31</v>
      </c>
      <c r="AZ399" s="4">
        <v>3824223.52</v>
      </c>
      <c r="BA399" s="4">
        <v>1957406.25</v>
      </c>
      <c r="BB399" s="4">
        <v>638534.14</v>
      </c>
      <c r="BC399" s="4">
        <v>1462376.58</v>
      </c>
      <c r="BD399" s="4">
        <v>18676333.039999999</v>
      </c>
      <c r="BE399" s="4">
        <v>735946.5</v>
      </c>
      <c r="BF399" s="4">
        <v>263985.99</v>
      </c>
      <c r="BG399" s="4">
        <v>0</v>
      </c>
      <c r="BH399" s="4">
        <f t="shared" si="66"/>
        <v>285746660.22000003</v>
      </c>
    </row>
    <row r="400" spans="1:60" x14ac:dyDescent="0.2">
      <c r="A400" s="3">
        <v>35765</v>
      </c>
      <c r="B400" s="4">
        <v>16485043.82</v>
      </c>
      <c r="C400" s="4">
        <v>1420586.8</v>
      </c>
      <c r="D400" s="4">
        <v>7656562.6600000001</v>
      </c>
      <c r="E400" s="4">
        <v>2233572.21</v>
      </c>
      <c r="F400" s="4">
        <v>2526581.4900000002</v>
      </c>
      <c r="G400" s="4">
        <v>3884741</v>
      </c>
      <c r="H400" s="4">
        <v>3408440.57</v>
      </c>
      <c r="I400" s="4">
        <v>1190603.98</v>
      </c>
      <c r="J400" s="4">
        <v>2382189.88</v>
      </c>
      <c r="K400" s="4">
        <v>2140122.71</v>
      </c>
      <c r="L400" s="4">
        <v>1641735.27</v>
      </c>
      <c r="M400" s="4">
        <v>916223.28</v>
      </c>
      <c r="N400" s="4">
        <v>7753114.25</v>
      </c>
      <c r="O400" s="4">
        <v>40949500.369999997</v>
      </c>
      <c r="P400" s="4">
        <v>1367818.45</v>
      </c>
      <c r="Q400" s="4">
        <v>989974.62</v>
      </c>
      <c r="R400" s="4">
        <v>933243.34</v>
      </c>
      <c r="S400" s="4">
        <v>1616970.98</v>
      </c>
      <c r="T400" s="4">
        <v>2127869.84</v>
      </c>
      <c r="U400" s="4">
        <v>207235.25</v>
      </c>
      <c r="V400" s="4">
        <v>1545694.5</v>
      </c>
      <c r="W400" s="4">
        <v>2672331.87</v>
      </c>
      <c r="X400" s="4">
        <v>622454.80000000005</v>
      </c>
      <c r="Y400" s="4">
        <v>1383978.16</v>
      </c>
      <c r="Z400" s="4">
        <v>1321843.76</v>
      </c>
      <c r="AA400" s="4">
        <v>29875032.32</v>
      </c>
      <c r="AB400" s="4">
        <v>1082682.52</v>
      </c>
      <c r="AC400" s="4">
        <v>76885890.870000005</v>
      </c>
      <c r="AD400" s="4">
        <v>5325152.4400000004</v>
      </c>
      <c r="AE400" s="4">
        <v>7048283.4400000004</v>
      </c>
      <c r="AF400" s="4">
        <v>15977355.380000001</v>
      </c>
      <c r="AG400" s="4">
        <v>3297204.82</v>
      </c>
      <c r="AH400" s="4">
        <v>10536540.76</v>
      </c>
      <c r="AI400" s="4">
        <v>1116242.1599999999</v>
      </c>
      <c r="AJ400" s="4">
        <v>1765609.83</v>
      </c>
      <c r="AK400" s="4">
        <v>1675662.84</v>
      </c>
      <c r="AL400" s="4">
        <v>2664130.69</v>
      </c>
      <c r="AM400" s="4">
        <v>3741138.35</v>
      </c>
      <c r="AN400" s="4">
        <v>10332102.98</v>
      </c>
      <c r="AO400" s="4">
        <v>2419995.75</v>
      </c>
      <c r="AP400" s="4">
        <v>5658038</v>
      </c>
      <c r="AQ400" s="4">
        <v>5026935.8600000003</v>
      </c>
      <c r="AR400" s="4">
        <v>613569.27</v>
      </c>
      <c r="AS400" s="4">
        <v>499386.35</v>
      </c>
      <c r="AT400" s="4">
        <v>1112554.51</v>
      </c>
      <c r="AU400" s="4">
        <v>2908473.72</v>
      </c>
      <c r="AV400" s="4">
        <v>67919568.150000006</v>
      </c>
      <c r="AW400" s="4">
        <v>2211972.0699999998</v>
      </c>
      <c r="AX400" s="4">
        <v>1363810.16</v>
      </c>
      <c r="AY400" s="4">
        <v>3317720.82</v>
      </c>
      <c r="AZ400" s="4">
        <v>7268426.0899999999</v>
      </c>
      <c r="BA400" s="4">
        <v>2626403.36</v>
      </c>
      <c r="BB400" s="4">
        <v>1166210.3799999999</v>
      </c>
      <c r="BC400" s="4">
        <v>2255216.2200000002</v>
      </c>
      <c r="BD400" s="4">
        <v>32461865.48</v>
      </c>
      <c r="BE400" s="4">
        <v>1093841.3899999999</v>
      </c>
      <c r="BF400" s="4">
        <v>588310.22</v>
      </c>
      <c r="BG400" s="4">
        <v>0</v>
      </c>
      <c r="BH400" s="4">
        <f t="shared" si="66"/>
        <v>421213761.06000018</v>
      </c>
    </row>
    <row r="401" spans="1:60" ht="15.75" thickBot="1" x14ac:dyDescent="0.25">
      <c r="A401" s="3" t="s">
        <v>8</v>
      </c>
      <c r="B401" s="5">
        <f t="shared" ref="B401:AG401" si="67">SUM(B389:B400)</f>
        <v>167137327.63</v>
      </c>
      <c r="C401" s="5">
        <f t="shared" si="67"/>
        <v>12205175.32</v>
      </c>
      <c r="D401" s="5">
        <f t="shared" si="67"/>
        <v>78948753.899999991</v>
      </c>
      <c r="E401" s="5">
        <f t="shared" si="67"/>
        <v>22273511.910000004</v>
      </c>
      <c r="F401" s="5">
        <f t="shared" si="67"/>
        <v>19208775.859999999</v>
      </c>
      <c r="G401" s="5">
        <f t="shared" si="67"/>
        <v>35941766.620000005</v>
      </c>
      <c r="H401" s="5">
        <f t="shared" si="67"/>
        <v>29880958.75</v>
      </c>
      <c r="I401" s="5">
        <f t="shared" si="67"/>
        <v>9207432.3699999992</v>
      </c>
      <c r="J401" s="5">
        <f t="shared" si="67"/>
        <v>23181417.98</v>
      </c>
      <c r="K401" s="5">
        <f t="shared" si="67"/>
        <v>19046284.680000003</v>
      </c>
      <c r="L401" s="5">
        <f t="shared" si="67"/>
        <v>16886849.420000002</v>
      </c>
      <c r="M401" s="5">
        <f t="shared" si="67"/>
        <v>7188522.6900000013</v>
      </c>
      <c r="N401" s="5">
        <f t="shared" si="67"/>
        <v>84024975.579999998</v>
      </c>
      <c r="O401" s="5">
        <f t="shared" si="67"/>
        <v>397142660.44999999</v>
      </c>
      <c r="P401" s="5">
        <f t="shared" si="67"/>
        <v>11223961.6</v>
      </c>
      <c r="Q401" s="5">
        <f t="shared" si="67"/>
        <v>9159247.2999999989</v>
      </c>
      <c r="R401" s="5">
        <f t="shared" si="67"/>
        <v>8549654.2400000002</v>
      </c>
      <c r="S401" s="5">
        <f t="shared" si="67"/>
        <v>17933974.800000001</v>
      </c>
      <c r="T401" s="5">
        <f t="shared" si="67"/>
        <v>15113651.460000001</v>
      </c>
      <c r="U401" s="5">
        <f t="shared" si="67"/>
        <v>1729098.7600000002</v>
      </c>
      <c r="V401" s="5">
        <f t="shared" si="67"/>
        <v>15398577.340000002</v>
      </c>
      <c r="W401" s="5">
        <f t="shared" si="67"/>
        <v>31023849.789999995</v>
      </c>
      <c r="X401" s="5">
        <f t="shared" si="67"/>
        <v>4622120.55</v>
      </c>
      <c r="Y401" s="5">
        <f t="shared" si="67"/>
        <v>13821788.17</v>
      </c>
      <c r="Z401" s="5">
        <f t="shared" si="67"/>
        <v>11893543.130000001</v>
      </c>
      <c r="AA401" s="5">
        <f t="shared" si="67"/>
        <v>325642769.88</v>
      </c>
      <c r="AB401" s="5">
        <f t="shared" si="67"/>
        <v>11189717.32</v>
      </c>
      <c r="AC401" s="5">
        <f t="shared" si="67"/>
        <v>694616101.36000001</v>
      </c>
      <c r="AD401" s="5">
        <f t="shared" si="67"/>
        <v>55853162.759999998</v>
      </c>
      <c r="AE401" s="5">
        <f t="shared" si="67"/>
        <v>65575165.850000001</v>
      </c>
      <c r="AF401" s="5">
        <f t="shared" si="67"/>
        <v>158778667.61000001</v>
      </c>
      <c r="AG401" s="5">
        <f t="shared" si="67"/>
        <v>33427027.869999997</v>
      </c>
      <c r="AH401" s="5">
        <f t="shared" ref="AH401:BG401" si="68">SUM(AH389:AH400)</f>
        <v>99685628.090000018</v>
      </c>
      <c r="AI401" s="5">
        <f t="shared" si="68"/>
        <v>9368025.1400000006</v>
      </c>
      <c r="AJ401" s="5">
        <f t="shared" si="68"/>
        <v>13008194.539999999</v>
      </c>
      <c r="AK401" s="5">
        <f t="shared" si="68"/>
        <v>15442629.209999997</v>
      </c>
      <c r="AL401" s="5">
        <f t="shared" si="68"/>
        <v>21030365.300000001</v>
      </c>
      <c r="AM401" s="5">
        <f t="shared" si="68"/>
        <v>40557356.729999997</v>
      </c>
      <c r="AN401" s="5">
        <f t="shared" si="68"/>
        <v>82368097.890000015</v>
      </c>
      <c r="AO401" s="5">
        <f t="shared" si="68"/>
        <v>24997298.48</v>
      </c>
      <c r="AP401" s="5">
        <f t="shared" si="68"/>
        <v>53163126.240000002</v>
      </c>
      <c r="AQ401" s="5">
        <f t="shared" si="68"/>
        <v>44321524.43</v>
      </c>
      <c r="AR401" s="5">
        <f t="shared" si="68"/>
        <v>6626164.9399999995</v>
      </c>
      <c r="AS401" s="5">
        <f t="shared" si="68"/>
        <v>3610482.93</v>
      </c>
      <c r="AT401" s="5">
        <f t="shared" si="68"/>
        <v>9246797.3999999985</v>
      </c>
      <c r="AU401" s="5">
        <f t="shared" si="68"/>
        <v>26649725.030000001</v>
      </c>
      <c r="AV401" s="5">
        <f t="shared" si="68"/>
        <v>624284376.99999988</v>
      </c>
      <c r="AW401" s="5">
        <f t="shared" si="68"/>
        <v>17353927.109999999</v>
      </c>
      <c r="AX401" s="5">
        <f t="shared" si="68"/>
        <v>10626784.4</v>
      </c>
      <c r="AY401" s="5">
        <f t="shared" si="68"/>
        <v>29088385.550000001</v>
      </c>
      <c r="AZ401" s="5">
        <f t="shared" si="68"/>
        <v>57765350.799999997</v>
      </c>
      <c r="BA401" s="5">
        <f t="shared" si="68"/>
        <v>27923832.860000003</v>
      </c>
      <c r="BB401" s="5">
        <f t="shared" si="68"/>
        <v>9696666.6499999985</v>
      </c>
      <c r="BC401" s="5">
        <f t="shared" si="68"/>
        <v>19971696.699999996</v>
      </c>
      <c r="BD401" s="5">
        <f t="shared" si="68"/>
        <v>268935778.28000003</v>
      </c>
      <c r="BE401" s="5">
        <f t="shared" si="68"/>
        <v>9963877.8500000015</v>
      </c>
      <c r="BF401" s="5">
        <f t="shared" si="68"/>
        <v>4344152.2299999995</v>
      </c>
      <c r="BG401" s="5">
        <f t="shared" si="68"/>
        <v>2666.83</v>
      </c>
      <c r="BH401" s="5">
        <f t="shared" si="66"/>
        <v>3937859405.5600004</v>
      </c>
    </row>
    <row r="402" spans="1:60" ht="15.75" thickTop="1" x14ac:dyDescent="0.2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</row>
    <row r="403" spans="1:60" x14ac:dyDescent="0.2">
      <c r="A403" s="3">
        <v>35065</v>
      </c>
      <c r="B403" s="4">
        <v>13623748.119999999</v>
      </c>
      <c r="C403" s="4">
        <v>885347.85</v>
      </c>
      <c r="D403" s="4">
        <v>5876060.5599999996</v>
      </c>
      <c r="E403" s="4">
        <v>1552884.29</v>
      </c>
      <c r="F403" s="4">
        <v>1772036.1</v>
      </c>
      <c r="G403" s="4">
        <v>2486984.29</v>
      </c>
      <c r="H403" s="4">
        <v>2347905.7799999998</v>
      </c>
      <c r="I403" s="4">
        <v>580486.91</v>
      </c>
      <c r="J403" s="4">
        <v>1927189.86</v>
      </c>
      <c r="K403" s="4">
        <v>1290535.6200000001</v>
      </c>
      <c r="L403" s="4">
        <v>1281537.6100000001</v>
      </c>
      <c r="M403" s="4">
        <v>457284.02</v>
      </c>
      <c r="N403" s="4">
        <v>6029153.6799999997</v>
      </c>
      <c r="O403" s="4">
        <v>30792405.09</v>
      </c>
      <c r="P403" s="4">
        <v>664106.55000000005</v>
      </c>
      <c r="Q403" s="4">
        <v>610120.39</v>
      </c>
      <c r="R403" s="4">
        <v>602465.91</v>
      </c>
      <c r="S403" s="4">
        <v>1127733.25</v>
      </c>
      <c r="T403" s="4">
        <v>983940.42</v>
      </c>
      <c r="U403" s="4">
        <v>72888.91</v>
      </c>
      <c r="V403" s="4">
        <v>1001686.61</v>
      </c>
      <c r="W403" s="4">
        <v>2105761.6</v>
      </c>
      <c r="X403" s="4">
        <v>274895.84000000003</v>
      </c>
      <c r="Y403" s="4">
        <v>922970.75</v>
      </c>
      <c r="Z403" s="4">
        <v>709173.85</v>
      </c>
      <c r="AA403" s="4">
        <v>25346381.440000001</v>
      </c>
      <c r="AB403" s="4">
        <v>778324.61</v>
      </c>
      <c r="AC403" s="4">
        <v>52613283.670000002</v>
      </c>
      <c r="AD403" s="4">
        <v>4318938.9800000004</v>
      </c>
      <c r="AE403" s="4">
        <v>4903675.3499999996</v>
      </c>
      <c r="AF403" s="4">
        <v>12795021.5</v>
      </c>
      <c r="AG403" s="4">
        <v>2245476.59</v>
      </c>
      <c r="AH403" s="4">
        <v>7239801.54</v>
      </c>
      <c r="AI403" s="4">
        <v>693883.56</v>
      </c>
      <c r="AJ403" s="4">
        <v>0</v>
      </c>
      <c r="AK403" s="4">
        <v>1022801.38</v>
      </c>
      <c r="AL403" s="4">
        <v>1388090.99</v>
      </c>
      <c r="AM403" s="4">
        <v>2833615.72</v>
      </c>
      <c r="AN403" s="4">
        <v>5910257.2300000004</v>
      </c>
      <c r="AO403" s="4">
        <v>1802606.55</v>
      </c>
      <c r="AP403" s="4">
        <v>3846953.59</v>
      </c>
      <c r="AQ403" s="4">
        <v>3543403.23</v>
      </c>
      <c r="AR403" s="4">
        <v>381914.15</v>
      </c>
      <c r="AS403" s="4">
        <v>191757.97</v>
      </c>
      <c r="AT403" s="4">
        <v>448522.06</v>
      </c>
      <c r="AU403" s="4">
        <v>1946503.72</v>
      </c>
      <c r="AV403" s="4">
        <v>45235671.640000001</v>
      </c>
      <c r="AW403" s="4">
        <v>1142842.44</v>
      </c>
      <c r="AX403" s="4">
        <v>580339.79</v>
      </c>
      <c r="AY403" s="4">
        <v>2149642.7200000002</v>
      </c>
      <c r="AZ403" s="4">
        <v>3968942.82</v>
      </c>
      <c r="BA403" s="4">
        <v>1797202.59</v>
      </c>
      <c r="BB403" s="4">
        <v>606494.64</v>
      </c>
      <c r="BC403" s="4">
        <v>1367080.92</v>
      </c>
      <c r="BD403" s="4">
        <v>19538933.609999999</v>
      </c>
      <c r="BE403" s="4">
        <v>633720.41</v>
      </c>
      <c r="BF403" s="4">
        <v>263745.57</v>
      </c>
      <c r="BG403" s="4">
        <v>0</v>
      </c>
      <c r="BH403" s="4">
        <f t="shared" ref="BH403:BH415" si="69">SUM(B403:BG403)</f>
        <v>291515134.83999997</v>
      </c>
    </row>
    <row r="404" spans="1:60" x14ac:dyDescent="0.2">
      <c r="A404" s="3">
        <v>35096</v>
      </c>
      <c r="B404" s="4">
        <v>10943663.49</v>
      </c>
      <c r="C404" s="4">
        <v>686115.22</v>
      </c>
      <c r="D404" s="4">
        <v>4811742.28</v>
      </c>
      <c r="E404" s="4">
        <v>1260829.93</v>
      </c>
      <c r="F404" s="4">
        <v>1385745.35</v>
      </c>
      <c r="G404" s="4">
        <v>2041818.83</v>
      </c>
      <c r="H404" s="4">
        <v>1834578.81</v>
      </c>
      <c r="I404" s="4">
        <v>465369.69</v>
      </c>
      <c r="J404" s="4">
        <v>1508113.76</v>
      </c>
      <c r="K404" s="4">
        <v>1041340.2</v>
      </c>
      <c r="L404" s="4">
        <v>1038613.22</v>
      </c>
      <c r="M404" s="4">
        <v>354244.05</v>
      </c>
      <c r="N404" s="4">
        <v>4998434.05</v>
      </c>
      <c r="O404" s="4">
        <v>26293028.25</v>
      </c>
      <c r="P404" s="4">
        <v>539169.25</v>
      </c>
      <c r="Q404" s="4">
        <v>486882.94</v>
      </c>
      <c r="R404" s="4">
        <v>498018.53</v>
      </c>
      <c r="S404" s="4">
        <v>907387.38</v>
      </c>
      <c r="T404" s="4">
        <v>741290.93</v>
      </c>
      <c r="U404" s="4">
        <v>58882.01</v>
      </c>
      <c r="V404" s="4">
        <v>778454.3</v>
      </c>
      <c r="W404" s="4">
        <v>1731689.46</v>
      </c>
      <c r="X404" s="4">
        <v>218567.29</v>
      </c>
      <c r="Y404" s="4">
        <v>683434.26</v>
      </c>
      <c r="Z404" s="4">
        <v>575428.56999999995</v>
      </c>
      <c r="AA404" s="4">
        <v>20342360.280000001</v>
      </c>
      <c r="AB404" s="4">
        <v>639408.53</v>
      </c>
      <c r="AC404" s="4">
        <v>41922171.960000001</v>
      </c>
      <c r="AD404" s="4">
        <v>3356638.05</v>
      </c>
      <c r="AE404" s="4">
        <v>3976747.41</v>
      </c>
      <c r="AF404" s="4">
        <v>10095673.93</v>
      </c>
      <c r="AG404" s="4">
        <v>1778175.73</v>
      </c>
      <c r="AH404" s="4">
        <v>6029618.7199999997</v>
      </c>
      <c r="AI404" s="4">
        <v>528571.37</v>
      </c>
      <c r="AJ404" s="4">
        <v>0</v>
      </c>
      <c r="AK404" s="4">
        <v>804997.76</v>
      </c>
      <c r="AL404" s="4">
        <v>1071543.3600000001</v>
      </c>
      <c r="AM404" s="4">
        <v>2273848.79</v>
      </c>
      <c r="AN404" s="4">
        <v>4623594</v>
      </c>
      <c r="AO404" s="4">
        <v>1423456.23</v>
      </c>
      <c r="AP404" s="4">
        <v>3070153.65</v>
      </c>
      <c r="AQ404" s="4">
        <v>2801638.22</v>
      </c>
      <c r="AR404" s="4">
        <v>311878.73</v>
      </c>
      <c r="AS404" s="4">
        <v>146998.35</v>
      </c>
      <c r="AT404" s="4">
        <v>350629.16</v>
      </c>
      <c r="AU404" s="4">
        <v>1493235.86</v>
      </c>
      <c r="AV404" s="4">
        <v>35822078.149999999</v>
      </c>
      <c r="AW404" s="4">
        <v>903913.74</v>
      </c>
      <c r="AX404" s="4">
        <v>538302.68999999994</v>
      </c>
      <c r="AY404" s="4">
        <v>1686311.56</v>
      </c>
      <c r="AZ404" s="4">
        <v>3159796.11</v>
      </c>
      <c r="BA404" s="4">
        <v>1448499.33</v>
      </c>
      <c r="BB404" s="4">
        <v>467215.27</v>
      </c>
      <c r="BC404" s="4">
        <v>1328382.1100000001</v>
      </c>
      <c r="BD404" s="4">
        <v>15351938.470000001</v>
      </c>
      <c r="BE404" s="4">
        <v>518978.39</v>
      </c>
      <c r="BF404" s="4">
        <v>192236.1</v>
      </c>
      <c r="BG404" s="4">
        <v>0</v>
      </c>
      <c r="BH404" s="4">
        <f t="shared" si="69"/>
        <v>234341834.06000003</v>
      </c>
    </row>
    <row r="405" spans="1:60" x14ac:dyDescent="0.2">
      <c r="A405" s="3">
        <v>35125</v>
      </c>
      <c r="B405" s="4">
        <v>15389713.189999999</v>
      </c>
      <c r="C405" s="4">
        <v>1054157.54</v>
      </c>
      <c r="D405" s="4">
        <v>7862273.0300000003</v>
      </c>
      <c r="E405" s="4">
        <v>2539862.3199999998</v>
      </c>
      <c r="F405" s="4">
        <v>2076603.9</v>
      </c>
      <c r="G405" s="4">
        <v>3530816.25</v>
      </c>
      <c r="H405" s="4">
        <v>3002625.37</v>
      </c>
      <c r="I405" s="4">
        <v>930924.12</v>
      </c>
      <c r="J405" s="4">
        <v>2248219.34</v>
      </c>
      <c r="K405" s="4">
        <v>1889917.55</v>
      </c>
      <c r="L405" s="4">
        <v>1781276.73</v>
      </c>
      <c r="M405" s="4">
        <v>743262.54</v>
      </c>
      <c r="N405" s="4">
        <v>9362654.1099999994</v>
      </c>
      <c r="O405" s="4">
        <v>39083941.82</v>
      </c>
      <c r="P405" s="4">
        <v>1378007.43</v>
      </c>
      <c r="Q405" s="4">
        <v>942209.08</v>
      </c>
      <c r="R405" s="4">
        <v>789627.03</v>
      </c>
      <c r="S405" s="4">
        <v>1553886.49</v>
      </c>
      <c r="T405" s="4">
        <v>1643177.44</v>
      </c>
      <c r="U405" s="4">
        <v>172663.26</v>
      </c>
      <c r="V405" s="4">
        <v>1781838.38</v>
      </c>
      <c r="W405" s="4">
        <v>2710013.8</v>
      </c>
      <c r="X405" s="4">
        <v>476164.18</v>
      </c>
      <c r="Y405" s="4">
        <v>1197754.8999999999</v>
      </c>
      <c r="Z405" s="4">
        <v>1260332.68</v>
      </c>
      <c r="AA405" s="4">
        <v>30881321.100000001</v>
      </c>
      <c r="AB405" s="4">
        <v>1131767.32</v>
      </c>
      <c r="AC405" s="4">
        <v>63320791.719999999</v>
      </c>
      <c r="AD405" s="4">
        <v>5318557.6500000004</v>
      </c>
      <c r="AE405" s="4">
        <v>6659662.9000000004</v>
      </c>
      <c r="AF405" s="4">
        <v>13551408.17</v>
      </c>
      <c r="AG405" s="4">
        <v>3681223.97</v>
      </c>
      <c r="AH405" s="4">
        <v>8878081.1300000008</v>
      </c>
      <c r="AI405" s="4">
        <v>934450.3</v>
      </c>
      <c r="AJ405" s="4">
        <v>0</v>
      </c>
      <c r="AK405" s="4">
        <v>1493457.97</v>
      </c>
      <c r="AL405" s="4">
        <v>1952757.81</v>
      </c>
      <c r="AM405" s="4">
        <v>3942700.5</v>
      </c>
      <c r="AN405" s="4">
        <v>8016477.1299999999</v>
      </c>
      <c r="AO405" s="4">
        <v>2363900.9300000002</v>
      </c>
      <c r="AP405" s="4">
        <v>4717040.79</v>
      </c>
      <c r="AQ405" s="4">
        <v>4030363.08</v>
      </c>
      <c r="AR405" s="4">
        <v>890755.91</v>
      </c>
      <c r="AS405" s="4">
        <v>341408.24</v>
      </c>
      <c r="AT405" s="4">
        <v>945630.28</v>
      </c>
      <c r="AU405" s="4">
        <v>2374035.0299999998</v>
      </c>
      <c r="AV405" s="4">
        <v>56617355.229999997</v>
      </c>
      <c r="AW405" s="4">
        <v>1303248.6100000001</v>
      </c>
      <c r="AX405" s="4">
        <v>1340626.8400000001</v>
      </c>
      <c r="AY405" s="4">
        <v>2710181.72</v>
      </c>
      <c r="AZ405" s="4">
        <v>6528316.5599999996</v>
      </c>
      <c r="BA405" s="4">
        <v>2418776.0499999998</v>
      </c>
      <c r="BB405" s="4">
        <v>1002358.08</v>
      </c>
      <c r="BC405" s="4">
        <v>1725792.7</v>
      </c>
      <c r="BD405" s="4">
        <v>25755567.289999999</v>
      </c>
      <c r="BE405" s="4">
        <v>853386.27</v>
      </c>
      <c r="BF405" s="4">
        <v>452432.86</v>
      </c>
      <c r="BG405" s="4">
        <v>8807.26</v>
      </c>
      <c r="BH405" s="4">
        <f t="shared" si="69"/>
        <v>371544563.88</v>
      </c>
    </row>
    <row r="406" spans="1:60" x14ac:dyDescent="0.2">
      <c r="A406" s="3">
        <v>35156</v>
      </c>
      <c r="B406" s="4">
        <v>11064824.18</v>
      </c>
      <c r="C406" s="4">
        <v>659151.65</v>
      </c>
      <c r="D406" s="4">
        <v>5146007.95</v>
      </c>
      <c r="E406" s="4">
        <v>1309679.6100000001</v>
      </c>
      <c r="F406" s="4">
        <v>1393229.1</v>
      </c>
      <c r="G406" s="4">
        <v>2214779</v>
      </c>
      <c r="H406" s="4">
        <v>1978371.67</v>
      </c>
      <c r="I406" s="4">
        <v>558086.86</v>
      </c>
      <c r="J406" s="4">
        <v>1630213.06</v>
      </c>
      <c r="K406" s="4">
        <v>1178808.3400000001</v>
      </c>
      <c r="L406" s="4">
        <v>1110107.26</v>
      </c>
      <c r="M406" s="4">
        <v>426813.88</v>
      </c>
      <c r="N406" s="4">
        <v>5456331.3399999999</v>
      </c>
      <c r="O406" s="4">
        <v>26736668.300000001</v>
      </c>
      <c r="P406" s="4">
        <v>575950.93999999994</v>
      </c>
      <c r="Q406" s="4">
        <v>547441.98</v>
      </c>
      <c r="R406" s="4">
        <v>535515.43000000005</v>
      </c>
      <c r="S406" s="4">
        <v>1042593.82</v>
      </c>
      <c r="T406" s="4">
        <v>855511.57</v>
      </c>
      <c r="U406" s="4">
        <v>70507.75</v>
      </c>
      <c r="V406" s="4">
        <v>917365.47</v>
      </c>
      <c r="W406" s="4">
        <v>1961815.16</v>
      </c>
      <c r="X406" s="4">
        <v>269262.31</v>
      </c>
      <c r="Y406" s="4">
        <v>833109.25</v>
      </c>
      <c r="Z406" s="4">
        <v>684996.79</v>
      </c>
      <c r="AA406" s="4">
        <v>23561894.170000002</v>
      </c>
      <c r="AB406" s="4">
        <v>749955.05</v>
      </c>
      <c r="AC406" s="4">
        <v>45074719.789999999</v>
      </c>
      <c r="AD406" s="4">
        <v>4133380.78</v>
      </c>
      <c r="AE406" s="4">
        <v>4329198.1500000004</v>
      </c>
      <c r="AF406" s="4">
        <v>10714548.52</v>
      </c>
      <c r="AG406" s="4">
        <v>1977343.71</v>
      </c>
      <c r="AH406" s="4">
        <v>6099736.8899999997</v>
      </c>
      <c r="AI406" s="4">
        <v>638858.62</v>
      </c>
      <c r="AJ406" s="4">
        <v>0</v>
      </c>
      <c r="AK406" s="4">
        <v>953456.06</v>
      </c>
      <c r="AL406" s="4">
        <v>1244520.3400000001</v>
      </c>
      <c r="AM406" s="4">
        <v>2637287.12</v>
      </c>
      <c r="AN406" s="4">
        <v>4960971.4400000004</v>
      </c>
      <c r="AO406" s="4">
        <v>1653609.65</v>
      </c>
      <c r="AP406" s="4">
        <v>3449040.53</v>
      </c>
      <c r="AQ406" s="4">
        <v>3084072.87</v>
      </c>
      <c r="AR406" s="4">
        <v>390384.4</v>
      </c>
      <c r="AS406" s="4">
        <v>199554.44</v>
      </c>
      <c r="AT406" s="4">
        <v>503456.77</v>
      </c>
      <c r="AU406" s="4">
        <v>1657133.33</v>
      </c>
      <c r="AV406" s="4">
        <v>39129525.450000003</v>
      </c>
      <c r="AW406" s="4">
        <v>1133665.3600000001</v>
      </c>
      <c r="AX406" s="4">
        <v>723507.92</v>
      </c>
      <c r="AY406" s="4">
        <v>1802176.53</v>
      </c>
      <c r="AZ406" s="4">
        <v>3541300.87</v>
      </c>
      <c r="BA406" s="4">
        <v>1524752.22</v>
      </c>
      <c r="BB406" s="4">
        <v>585114.18000000005</v>
      </c>
      <c r="BC406" s="4">
        <v>1354350.74</v>
      </c>
      <c r="BD406" s="4">
        <v>16769308.67</v>
      </c>
      <c r="BE406" s="4">
        <v>618207.16</v>
      </c>
      <c r="BF406" s="4">
        <v>238869.93</v>
      </c>
      <c r="BG406" s="4">
        <v>0</v>
      </c>
      <c r="BH406" s="4">
        <f t="shared" si="69"/>
        <v>254591044.33000007</v>
      </c>
    </row>
    <row r="407" spans="1:60" x14ac:dyDescent="0.2">
      <c r="A407" s="3">
        <v>35186</v>
      </c>
      <c r="B407" s="4">
        <v>11716088.91</v>
      </c>
      <c r="C407" s="4">
        <v>797934.44</v>
      </c>
      <c r="D407" s="4">
        <v>5306656.78</v>
      </c>
      <c r="E407" s="4">
        <v>1354273.3</v>
      </c>
      <c r="F407" s="4">
        <v>1357068.7</v>
      </c>
      <c r="G407" s="4">
        <v>2247712.9500000002</v>
      </c>
      <c r="H407" s="4">
        <v>2028889.85</v>
      </c>
      <c r="I407" s="4">
        <v>635076.29</v>
      </c>
      <c r="J407" s="4">
        <v>1667141.25</v>
      </c>
      <c r="K407" s="4">
        <v>1183495.32</v>
      </c>
      <c r="L407" s="4">
        <v>1231474.47</v>
      </c>
      <c r="M407" s="4">
        <v>469312.58</v>
      </c>
      <c r="N407" s="4">
        <v>5659640.0099999998</v>
      </c>
      <c r="O407" s="4">
        <v>28154328.359999999</v>
      </c>
      <c r="P407" s="4">
        <v>590261.07999999996</v>
      </c>
      <c r="Q407" s="4">
        <v>578907.36</v>
      </c>
      <c r="R407" s="4">
        <v>565267.97</v>
      </c>
      <c r="S407" s="4">
        <v>1074395</v>
      </c>
      <c r="T407" s="4">
        <v>858331.98</v>
      </c>
      <c r="U407" s="4">
        <v>76472.92</v>
      </c>
      <c r="V407" s="4">
        <v>939141.42</v>
      </c>
      <c r="W407" s="4">
        <v>2075366.38</v>
      </c>
      <c r="X407" s="4">
        <v>282031.8</v>
      </c>
      <c r="Y407" s="4">
        <v>844214.27</v>
      </c>
      <c r="Z407" s="4">
        <v>692095.1</v>
      </c>
      <c r="AA407" s="4">
        <v>23468457.859999999</v>
      </c>
      <c r="AB407" s="4">
        <v>780104.87</v>
      </c>
      <c r="AC407" s="4">
        <v>47025423.810000002</v>
      </c>
      <c r="AD407" s="4">
        <v>4459960.7300000004</v>
      </c>
      <c r="AE407" s="4">
        <v>4437618.2300000004</v>
      </c>
      <c r="AF407" s="4">
        <v>11075796.59</v>
      </c>
      <c r="AG407" s="4">
        <v>2016127.42</v>
      </c>
      <c r="AH407" s="4">
        <v>6641197.1600000001</v>
      </c>
      <c r="AI407" s="4">
        <v>660575.5</v>
      </c>
      <c r="AJ407" s="4">
        <v>0</v>
      </c>
      <c r="AK407" s="4">
        <v>958639.02</v>
      </c>
      <c r="AL407" s="4">
        <v>1353132.8</v>
      </c>
      <c r="AM407" s="4">
        <v>2674453.59</v>
      </c>
      <c r="AN407" s="4">
        <v>5212014.62</v>
      </c>
      <c r="AO407" s="4">
        <v>1722545.21</v>
      </c>
      <c r="AP407" s="4">
        <v>3582849.46</v>
      </c>
      <c r="AQ407" s="4">
        <v>3188712.54</v>
      </c>
      <c r="AR407" s="4">
        <v>392936.65</v>
      </c>
      <c r="AS407" s="4">
        <v>188906.65</v>
      </c>
      <c r="AT407" s="4">
        <v>537230.41</v>
      </c>
      <c r="AU407" s="4">
        <v>1728953.56</v>
      </c>
      <c r="AV407" s="4">
        <v>40991054.039999999</v>
      </c>
      <c r="AW407" s="4">
        <v>1105845.01</v>
      </c>
      <c r="AX407" s="4">
        <v>747748.38</v>
      </c>
      <c r="AY407" s="4">
        <v>1835110.45</v>
      </c>
      <c r="AZ407" s="4">
        <v>3738157.55</v>
      </c>
      <c r="BA407" s="4">
        <v>1594066.23</v>
      </c>
      <c r="BB407" s="4">
        <v>601636.43999999994</v>
      </c>
      <c r="BC407" s="4">
        <v>1379104.16</v>
      </c>
      <c r="BD407" s="4">
        <v>17390418.940000001</v>
      </c>
      <c r="BE407" s="4">
        <v>641131.79</v>
      </c>
      <c r="BF407" s="4">
        <v>246812.56</v>
      </c>
      <c r="BG407" s="4">
        <v>0</v>
      </c>
      <c r="BH407" s="4">
        <f t="shared" si="69"/>
        <v>264762300.71999994</v>
      </c>
    </row>
    <row r="408" spans="1:60" x14ac:dyDescent="0.2">
      <c r="A408" s="3">
        <v>35217</v>
      </c>
      <c r="B408" s="4">
        <v>16670881.18</v>
      </c>
      <c r="C408" s="4">
        <v>1501449.22</v>
      </c>
      <c r="D408" s="4">
        <v>8907136.3699999992</v>
      </c>
      <c r="E408" s="4">
        <v>3179286.86</v>
      </c>
      <c r="F408" s="4">
        <v>2253014.9500000002</v>
      </c>
      <c r="G408" s="4">
        <v>4211348.41</v>
      </c>
      <c r="H408" s="4">
        <v>2967636.07</v>
      </c>
      <c r="I408" s="4">
        <v>986309.75</v>
      </c>
      <c r="J408" s="4">
        <v>2484305.88</v>
      </c>
      <c r="K408" s="4">
        <v>2211821.81</v>
      </c>
      <c r="L408" s="4">
        <v>2082015.71</v>
      </c>
      <c r="M408" s="4">
        <v>961491.09</v>
      </c>
      <c r="N408" s="4">
        <v>9258603.5</v>
      </c>
      <c r="O408" s="4">
        <v>41513191.5</v>
      </c>
      <c r="P408" s="4">
        <v>1324272.97</v>
      </c>
      <c r="Q408" s="4">
        <v>1096986.25</v>
      </c>
      <c r="R408" s="4">
        <v>938937.77</v>
      </c>
      <c r="S408" s="4">
        <v>2234857.9</v>
      </c>
      <c r="T408" s="4">
        <v>1780101.91</v>
      </c>
      <c r="U408" s="4">
        <v>173569.55</v>
      </c>
      <c r="V408" s="4">
        <v>1832432.17</v>
      </c>
      <c r="W408" s="4">
        <v>3416924.23</v>
      </c>
      <c r="X408" s="4">
        <v>566658.69999999995</v>
      </c>
      <c r="Y408" s="4">
        <v>1519834.23</v>
      </c>
      <c r="Z408" s="4">
        <v>1517461.59</v>
      </c>
      <c r="AA408" s="4">
        <v>33824206.259999998</v>
      </c>
      <c r="AB408" s="4">
        <v>1371191.1</v>
      </c>
      <c r="AC408" s="4">
        <v>70076661.170000002</v>
      </c>
      <c r="AD408" s="4">
        <v>6022483.5899999999</v>
      </c>
      <c r="AE408" s="4">
        <v>7166502.9100000001</v>
      </c>
      <c r="AF408" s="4">
        <v>17005519</v>
      </c>
      <c r="AG408" s="4">
        <v>3648884.79</v>
      </c>
      <c r="AH408" s="4">
        <v>10713575.41</v>
      </c>
      <c r="AI408" s="4">
        <v>1045600.63</v>
      </c>
      <c r="AJ408" s="4">
        <v>0</v>
      </c>
      <c r="AK408" s="4">
        <v>1450746.36</v>
      </c>
      <c r="AL408" s="4">
        <v>2095675.18</v>
      </c>
      <c r="AM408" s="4">
        <v>4402232.74</v>
      </c>
      <c r="AN408" s="4">
        <v>8947558.5</v>
      </c>
      <c r="AO408" s="4">
        <v>2648043.27</v>
      </c>
      <c r="AP408" s="4">
        <v>5790306.5999999996</v>
      </c>
      <c r="AQ408" s="4">
        <v>4968958.16</v>
      </c>
      <c r="AR408" s="4">
        <v>703045.78</v>
      </c>
      <c r="AS408" s="4">
        <v>489341.5</v>
      </c>
      <c r="AT408" s="4">
        <v>1063291.33</v>
      </c>
      <c r="AU408" s="4">
        <v>3181839.37</v>
      </c>
      <c r="AV408" s="4">
        <v>65259321.93</v>
      </c>
      <c r="AW408" s="4">
        <v>1916354.64</v>
      </c>
      <c r="AX408" s="4">
        <v>1181796.8500000001</v>
      </c>
      <c r="AY408" s="4">
        <v>3292049.96</v>
      </c>
      <c r="AZ408" s="4">
        <v>6086897.0700000003</v>
      </c>
      <c r="BA408" s="4">
        <v>2863018.59</v>
      </c>
      <c r="BB408" s="4">
        <v>1211176.72</v>
      </c>
      <c r="BC408" s="4">
        <v>2079602.39</v>
      </c>
      <c r="BD408" s="4">
        <v>27212937.640000001</v>
      </c>
      <c r="BE408" s="4">
        <v>1223782.25</v>
      </c>
      <c r="BF408" s="4">
        <v>559052.74</v>
      </c>
      <c r="BG408" s="4">
        <v>3429.75</v>
      </c>
      <c r="BH408" s="4">
        <f t="shared" si="69"/>
        <v>415095613.75</v>
      </c>
    </row>
    <row r="409" spans="1:60" x14ac:dyDescent="0.2">
      <c r="A409" s="3">
        <v>35247</v>
      </c>
      <c r="B409" s="4">
        <v>12204940.060000001</v>
      </c>
      <c r="C409" s="4">
        <v>803822.63</v>
      </c>
      <c r="D409" s="4">
        <v>5699393.5599999996</v>
      </c>
      <c r="E409" s="4">
        <v>1534085.23</v>
      </c>
      <c r="F409" s="4">
        <v>1392615.16</v>
      </c>
      <c r="G409" s="4">
        <v>2445814.7400000002</v>
      </c>
      <c r="H409" s="4">
        <v>2059129.03</v>
      </c>
      <c r="I409" s="4">
        <v>625554.63</v>
      </c>
      <c r="J409" s="4">
        <v>1824383.28</v>
      </c>
      <c r="K409" s="4">
        <v>1356820.98</v>
      </c>
      <c r="L409" s="4">
        <v>1163501.54</v>
      </c>
      <c r="M409" s="4">
        <v>492204.52</v>
      </c>
      <c r="N409" s="4">
        <v>5753488.7599999998</v>
      </c>
      <c r="O409" s="4">
        <v>28989767.640000001</v>
      </c>
      <c r="P409" s="4">
        <v>827680.51</v>
      </c>
      <c r="Q409" s="4">
        <v>650467.82999999996</v>
      </c>
      <c r="R409" s="4">
        <v>660955.67000000004</v>
      </c>
      <c r="S409" s="4">
        <v>1370659.19</v>
      </c>
      <c r="T409" s="4">
        <v>1056543.72</v>
      </c>
      <c r="U409" s="4">
        <v>116024.43</v>
      </c>
      <c r="V409" s="4">
        <v>1127049.3500000001</v>
      </c>
      <c r="W409" s="4">
        <v>2414685.2200000002</v>
      </c>
      <c r="X409" s="4">
        <v>301417.46000000002</v>
      </c>
      <c r="Y409" s="4">
        <v>910257.17</v>
      </c>
      <c r="Z409" s="4">
        <v>782159.16</v>
      </c>
      <c r="AA409" s="4">
        <v>24269452.699999999</v>
      </c>
      <c r="AB409" s="4">
        <v>807022.5</v>
      </c>
      <c r="AC409" s="4">
        <v>50123457.719999999</v>
      </c>
      <c r="AD409" s="4">
        <v>4309846.54</v>
      </c>
      <c r="AE409" s="4">
        <v>4830851.0999999996</v>
      </c>
      <c r="AF409" s="4">
        <v>11670064.16</v>
      </c>
      <c r="AG409" s="4">
        <v>2194497.0699999998</v>
      </c>
      <c r="AH409" s="4">
        <v>7292391.6799999997</v>
      </c>
      <c r="AI409" s="4">
        <v>666646.96</v>
      </c>
      <c r="AJ409" s="4">
        <v>0</v>
      </c>
      <c r="AK409" s="4">
        <v>1114953.0900000001</v>
      </c>
      <c r="AL409" s="4">
        <v>1419537.84</v>
      </c>
      <c r="AM409" s="4">
        <v>2871712.6</v>
      </c>
      <c r="AN409" s="4">
        <v>5693271.5800000001</v>
      </c>
      <c r="AO409" s="4">
        <v>1832366.2</v>
      </c>
      <c r="AP409" s="4">
        <v>4054815.68</v>
      </c>
      <c r="AQ409" s="4">
        <v>3130436.64</v>
      </c>
      <c r="AR409" s="4">
        <v>454362.86</v>
      </c>
      <c r="AS409" s="4">
        <v>258944.53</v>
      </c>
      <c r="AT409" s="4">
        <v>643443.22</v>
      </c>
      <c r="AU409" s="4">
        <v>1888359.73</v>
      </c>
      <c r="AV409" s="4">
        <v>45531957.469999999</v>
      </c>
      <c r="AW409" s="4">
        <v>1500512.09</v>
      </c>
      <c r="AX409" s="4">
        <v>709647.02</v>
      </c>
      <c r="AY409" s="4">
        <v>1992336.31</v>
      </c>
      <c r="AZ409" s="4">
        <v>4019123.45</v>
      </c>
      <c r="BA409" s="4">
        <v>2456875.71</v>
      </c>
      <c r="BB409" s="4">
        <v>641883.52</v>
      </c>
      <c r="BC409" s="4">
        <v>1580132.26</v>
      </c>
      <c r="BD409" s="4">
        <v>18508540.75</v>
      </c>
      <c r="BE409" s="4">
        <v>674992.37</v>
      </c>
      <c r="BF409" s="4">
        <v>287212.77</v>
      </c>
      <c r="BG409" s="4">
        <v>0</v>
      </c>
      <c r="BH409" s="4">
        <f t="shared" si="69"/>
        <v>283993069.58999997</v>
      </c>
    </row>
    <row r="410" spans="1:60" x14ac:dyDescent="0.2">
      <c r="A410" s="3">
        <v>35278</v>
      </c>
      <c r="B410" s="4">
        <v>11534105.859999999</v>
      </c>
      <c r="C410" s="4">
        <v>734116.71</v>
      </c>
      <c r="D410" s="4">
        <v>5372369.4500000002</v>
      </c>
      <c r="E410" s="4">
        <v>1490512.86</v>
      </c>
      <c r="F410" s="4">
        <v>1344659.78</v>
      </c>
      <c r="G410" s="4">
        <v>2441308.04</v>
      </c>
      <c r="H410" s="4">
        <v>1965377.95</v>
      </c>
      <c r="I410" s="4">
        <v>602750.24</v>
      </c>
      <c r="J410" s="4">
        <v>1775264.92</v>
      </c>
      <c r="K410" s="4">
        <v>1322995.31</v>
      </c>
      <c r="L410" s="4">
        <v>1134420.98</v>
      </c>
      <c r="M410" s="4">
        <v>495774.21</v>
      </c>
      <c r="N410" s="4">
        <v>5472022.0999999996</v>
      </c>
      <c r="O410" s="4">
        <v>28184139.57</v>
      </c>
      <c r="P410" s="4">
        <v>840044.98</v>
      </c>
      <c r="Q410" s="4">
        <v>624631.01</v>
      </c>
      <c r="R410" s="4">
        <v>632514.06000000006</v>
      </c>
      <c r="S410" s="4">
        <v>1312477.97</v>
      </c>
      <c r="T410" s="4">
        <v>1014223.59</v>
      </c>
      <c r="U410" s="4">
        <v>126457.87</v>
      </c>
      <c r="V410" s="4">
        <v>1084827.82</v>
      </c>
      <c r="W410" s="4">
        <v>2360415.89</v>
      </c>
      <c r="X410" s="4">
        <v>281745.31</v>
      </c>
      <c r="Y410" s="4">
        <v>892848.14</v>
      </c>
      <c r="Z410" s="4">
        <v>756871.97</v>
      </c>
      <c r="AA410" s="4">
        <v>23479726.93</v>
      </c>
      <c r="AB410" s="4">
        <v>788491.04</v>
      </c>
      <c r="AC410" s="4">
        <v>47920511.200000003</v>
      </c>
      <c r="AD410" s="4">
        <v>4091298.58</v>
      </c>
      <c r="AE410" s="4">
        <v>4581532.26</v>
      </c>
      <c r="AF410" s="4">
        <v>11223353.18</v>
      </c>
      <c r="AG410" s="4">
        <v>2124356.66</v>
      </c>
      <c r="AH410" s="4">
        <v>6970084.9699999997</v>
      </c>
      <c r="AI410" s="4">
        <v>600088.31000000006</v>
      </c>
      <c r="AJ410" s="4">
        <v>0</v>
      </c>
      <c r="AK410" s="4">
        <v>1093517.8999999999</v>
      </c>
      <c r="AL410" s="4">
        <v>1322791.21</v>
      </c>
      <c r="AM410" s="4">
        <v>2750604.96</v>
      </c>
      <c r="AN410" s="4">
        <v>5263629.25</v>
      </c>
      <c r="AO410" s="4">
        <v>1776984.41</v>
      </c>
      <c r="AP410" s="4">
        <v>3906589.66</v>
      </c>
      <c r="AQ410" s="4">
        <v>3002443.2</v>
      </c>
      <c r="AR410" s="4">
        <v>450402.47</v>
      </c>
      <c r="AS410" s="4">
        <v>250497.09</v>
      </c>
      <c r="AT410" s="4">
        <v>625601.5</v>
      </c>
      <c r="AU410" s="4">
        <v>1799797.53</v>
      </c>
      <c r="AV410" s="4">
        <v>42761987.549999997</v>
      </c>
      <c r="AW410" s="4">
        <v>1417415.41</v>
      </c>
      <c r="AX410" s="4">
        <v>679470.13</v>
      </c>
      <c r="AY410" s="4">
        <v>1884701.48</v>
      </c>
      <c r="AZ410" s="4">
        <v>3750798.05</v>
      </c>
      <c r="BA410" s="4">
        <v>2295966.59</v>
      </c>
      <c r="BB410" s="4">
        <v>621871.82999999996</v>
      </c>
      <c r="BC410" s="4">
        <v>1446674.75</v>
      </c>
      <c r="BD410" s="4">
        <v>16939769.620000001</v>
      </c>
      <c r="BE410" s="4">
        <v>664582.06999999995</v>
      </c>
      <c r="BF410" s="4">
        <v>285019.17</v>
      </c>
      <c r="BG410" s="4">
        <v>0</v>
      </c>
      <c r="BH410" s="4">
        <f t="shared" si="69"/>
        <v>270567435.55000007</v>
      </c>
    </row>
    <row r="411" spans="1:60" x14ac:dyDescent="0.2">
      <c r="A411" s="3">
        <v>35309</v>
      </c>
      <c r="B411" s="4">
        <v>15432777.140000001</v>
      </c>
      <c r="C411" s="4">
        <v>1535239.49</v>
      </c>
      <c r="D411" s="4">
        <v>8018253.3600000003</v>
      </c>
      <c r="E411" s="4">
        <v>2592812.31</v>
      </c>
      <c r="F411" s="4">
        <v>2229203.79</v>
      </c>
      <c r="G411" s="4">
        <v>4255902.2699999996</v>
      </c>
      <c r="H411" s="4">
        <v>3137433.23</v>
      </c>
      <c r="I411" s="4">
        <v>1105906.05</v>
      </c>
      <c r="J411" s="4">
        <v>2801140.9</v>
      </c>
      <c r="K411" s="4">
        <v>2738573.91</v>
      </c>
      <c r="L411" s="4">
        <v>2194119.91</v>
      </c>
      <c r="M411" s="4">
        <v>934839.72</v>
      </c>
      <c r="N411" s="4">
        <v>9576282.6199999992</v>
      </c>
      <c r="O411" s="4">
        <v>40228389.719999999</v>
      </c>
      <c r="P411" s="4">
        <v>1946698.01</v>
      </c>
      <c r="Q411" s="4">
        <v>1219785.48</v>
      </c>
      <c r="R411" s="4">
        <v>909249.98</v>
      </c>
      <c r="S411" s="4">
        <v>2375089.4300000002</v>
      </c>
      <c r="T411" s="4">
        <v>1981632.97</v>
      </c>
      <c r="U411" s="4">
        <v>429133.37</v>
      </c>
      <c r="V411" s="4">
        <v>2177507.5099999998</v>
      </c>
      <c r="W411" s="4">
        <v>3922592.91</v>
      </c>
      <c r="X411" s="4">
        <v>601210.69999999995</v>
      </c>
      <c r="Y411" s="4">
        <v>1705309.08</v>
      </c>
      <c r="Z411" s="4">
        <v>1498371.81</v>
      </c>
      <c r="AA411" s="4">
        <v>32038820.710000001</v>
      </c>
      <c r="AB411" s="4">
        <v>1213975.1200000001</v>
      </c>
      <c r="AC411" s="4">
        <v>72515950.859999999</v>
      </c>
      <c r="AD411" s="4">
        <v>5786424.4500000002</v>
      </c>
      <c r="AE411" s="4">
        <v>7547294.4100000001</v>
      </c>
      <c r="AF411" s="4">
        <v>16471251.029999999</v>
      </c>
      <c r="AG411" s="4">
        <v>3877488.4</v>
      </c>
      <c r="AH411" s="4">
        <v>11323686.1</v>
      </c>
      <c r="AI411" s="4">
        <v>1273471.55</v>
      </c>
      <c r="AJ411" s="4">
        <v>0</v>
      </c>
      <c r="AK411" s="4">
        <v>1998792.92</v>
      </c>
      <c r="AL411" s="4">
        <v>2476942.46</v>
      </c>
      <c r="AM411" s="4">
        <v>4758985.38</v>
      </c>
      <c r="AN411" s="4">
        <v>8318914.5599999996</v>
      </c>
      <c r="AO411" s="4">
        <v>2876796.82</v>
      </c>
      <c r="AP411" s="4">
        <v>5855918.4000000004</v>
      </c>
      <c r="AQ411" s="4">
        <v>4131511.03</v>
      </c>
      <c r="AR411" s="4">
        <v>826812.41</v>
      </c>
      <c r="AS411" s="4">
        <v>583648.75</v>
      </c>
      <c r="AT411" s="4">
        <v>958327.9</v>
      </c>
      <c r="AU411" s="4">
        <v>3873648.94</v>
      </c>
      <c r="AV411" s="4">
        <v>72083360.879999995</v>
      </c>
      <c r="AW411" s="4">
        <v>2315997.5099999998</v>
      </c>
      <c r="AX411" s="4">
        <v>1172294.3400000001</v>
      </c>
      <c r="AY411" s="4">
        <v>2872532.39</v>
      </c>
      <c r="AZ411" s="4">
        <v>6708374.8200000003</v>
      </c>
      <c r="BA411" s="4">
        <v>3370270.71</v>
      </c>
      <c r="BB411" s="4">
        <v>1340382.32</v>
      </c>
      <c r="BC411" s="4">
        <v>2948295.59</v>
      </c>
      <c r="BD411" s="4">
        <v>27869594.09</v>
      </c>
      <c r="BE411" s="4">
        <v>1370593.57</v>
      </c>
      <c r="BF411" s="4">
        <v>736933.34</v>
      </c>
      <c r="BG411" s="4">
        <v>1884.02</v>
      </c>
      <c r="BH411" s="4">
        <f t="shared" si="69"/>
        <v>427046631.44999975</v>
      </c>
    </row>
    <row r="412" spans="1:60" x14ac:dyDescent="0.2">
      <c r="A412" s="3">
        <v>35339</v>
      </c>
      <c r="B412" s="4">
        <v>12288879.58</v>
      </c>
      <c r="C412" s="4">
        <v>733239.96</v>
      </c>
      <c r="D412" s="4">
        <v>5530997.9500000002</v>
      </c>
      <c r="E412" s="4">
        <v>1422403.08</v>
      </c>
      <c r="F412" s="4">
        <v>1224418.8</v>
      </c>
      <c r="G412" s="4">
        <v>2288134.29</v>
      </c>
      <c r="H412" s="4">
        <v>2026073.55</v>
      </c>
      <c r="I412" s="4">
        <v>575718.57999999996</v>
      </c>
      <c r="J412" s="4">
        <v>1707888.93</v>
      </c>
      <c r="K412" s="4">
        <v>1230299.73</v>
      </c>
      <c r="L412" s="4">
        <v>1096766.53</v>
      </c>
      <c r="M412" s="4">
        <v>447204.05</v>
      </c>
      <c r="N412" s="4">
        <v>5714458.6399999997</v>
      </c>
      <c r="O412" s="4">
        <v>27474216.739999998</v>
      </c>
      <c r="P412" s="4">
        <v>770912.13</v>
      </c>
      <c r="Q412" s="4">
        <v>599786.52</v>
      </c>
      <c r="R412" s="4">
        <v>558291.81999999995</v>
      </c>
      <c r="S412" s="4">
        <v>1112670.47</v>
      </c>
      <c r="T412" s="4">
        <v>993847.36</v>
      </c>
      <c r="U412" s="4">
        <v>88044.84</v>
      </c>
      <c r="V412" s="4">
        <v>996819.98</v>
      </c>
      <c r="W412" s="4">
        <v>2234935.48</v>
      </c>
      <c r="X412" s="4">
        <v>288947.87</v>
      </c>
      <c r="Y412" s="4">
        <v>838980.35</v>
      </c>
      <c r="Z412" s="4">
        <v>712055.72</v>
      </c>
      <c r="AA412" s="4">
        <v>22181412.859999999</v>
      </c>
      <c r="AB412" s="4">
        <v>761736.2</v>
      </c>
      <c r="AC412" s="4">
        <v>48251353.82</v>
      </c>
      <c r="AD412" s="4">
        <v>4136332.78</v>
      </c>
      <c r="AE412" s="4">
        <v>4632198.13</v>
      </c>
      <c r="AF412" s="4">
        <v>11242921.92</v>
      </c>
      <c r="AG412" s="4">
        <v>2169800.7599999998</v>
      </c>
      <c r="AH412" s="4">
        <v>6953783.1299999999</v>
      </c>
      <c r="AI412" s="4">
        <v>603949.93999999994</v>
      </c>
      <c r="AJ412" s="4">
        <v>0</v>
      </c>
      <c r="AK412" s="4">
        <v>1024353.7</v>
      </c>
      <c r="AL412" s="4">
        <v>1285458.23</v>
      </c>
      <c r="AM412" s="4">
        <v>2660687.4</v>
      </c>
      <c r="AN412" s="4">
        <v>4960150.71</v>
      </c>
      <c r="AO412" s="4">
        <v>1713997.73</v>
      </c>
      <c r="AP412" s="4">
        <v>3614739.41</v>
      </c>
      <c r="AQ412" s="4">
        <v>2969000.92</v>
      </c>
      <c r="AR412" s="4">
        <v>439891.02</v>
      </c>
      <c r="AS412" s="4">
        <v>221942.95</v>
      </c>
      <c r="AT412" s="4">
        <v>581073.49</v>
      </c>
      <c r="AU412" s="4">
        <v>1818411.75</v>
      </c>
      <c r="AV412" s="4">
        <v>40931947.270000003</v>
      </c>
      <c r="AW412" s="4">
        <v>1145658.96</v>
      </c>
      <c r="AX412" s="4">
        <v>647517.05000000005</v>
      </c>
      <c r="AY412" s="4">
        <v>2007680.42</v>
      </c>
      <c r="AZ412" s="4">
        <v>3935907.59</v>
      </c>
      <c r="BA412" s="4">
        <v>1859710.06</v>
      </c>
      <c r="BB412" s="4">
        <v>587688.6</v>
      </c>
      <c r="BC412" s="4">
        <v>1285717.81</v>
      </c>
      <c r="BD412" s="4">
        <v>17525654.989999998</v>
      </c>
      <c r="BE412" s="4">
        <v>658872.89</v>
      </c>
      <c r="BF412" s="4">
        <v>252220.64</v>
      </c>
      <c r="BG412" s="4">
        <v>0</v>
      </c>
      <c r="BH412" s="4">
        <f t="shared" si="69"/>
        <v>266017766.07999995</v>
      </c>
    </row>
    <row r="413" spans="1:60" x14ac:dyDescent="0.2">
      <c r="A413" s="3">
        <v>35370</v>
      </c>
      <c r="B413" s="4">
        <v>13071738.15</v>
      </c>
      <c r="C413" s="4">
        <v>730307.69</v>
      </c>
      <c r="D413" s="4">
        <v>5617191.3799999999</v>
      </c>
      <c r="E413" s="4">
        <v>1465334.5</v>
      </c>
      <c r="F413" s="4">
        <v>1264825.1000000001</v>
      </c>
      <c r="G413" s="4">
        <v>2215556.08</v>
      </c>
      <c r="H413" s="4">
        <v>2081448.79</v>
      </c>
      <c r="I413" s="4">
        <v>573853.06000000006</v>
      </c>
      <c r="J413" s="4">
        <v>1783206.58</v>
      </c>
      <c r="K413" s="4">
        <v>1294819.6200000001</v>
      </c>
      <c r="L413" s="4">
        <v>1141750.53</v>
      </c>
      <c r="M413" s="4">
        <v>449706.21</v>
      </c>
      <c r="N413" s="4">
        <v>5868554.5700000003</v>
      </c>
      <c r="O413" s="4">
        <v>28996416.68</v>
      </c>
      <c r="P413" s="4">
        <v>790820.73</v>
      </c>
      <c r="Q413" s="4">
        <v>605461.09</v>
      </c>
      <c r="R413" s="4">
        <v>560601.98</v>
      </c>
      <c r="S413" s="4">
        <v>1127417.73</v>
      </c>
      <c r="T413" s="4">
        <v>944305.62</v>
      </c>
      <c r="U413" s="4">
        <v>95727.95</v>
      </c>
      <c r="V413" s="4">
        <v>1018967.27</v>
      </c>
      <c r="W413" s="4">
        <v>2205102.71</v>
      </c>
      <c r="X413" s="4">
        <v>296635.90000000002</v>
      </c>
      <c r="Y413" s="4">
        <v>848193.92</v>
      </c>
      <c r="Z413" s="4">
        <v>730464.02</v>
      </c>
      <c r="AA413" s="4">
        <v>23066197.02</v>
      </c>
      <c r="AB413" s="4">
        <v>797455</v>
      </c>
      <c r="AC413" s="4">
        <v>50590241.140000001</v>
      </c>
      <c r="AD413" s="4">
        <v>4180549.78</v>
      </c>
      <c r="AE413" s="4">
        <v>4722815.28</v>
      </c>
      <c r="AF413" s="4">
        <v>11860799.689999999</v>
      </c>
      <c r="AG413" s="4">
        <v>2194014.31</v>
      </c>
      <c r="AH413" s="4">
        <v>7251629.6399999997</v>
      </c>
      <c r="AI413" s="4">
        <v>635066.26</v>
      </c>
      <c r="AJ413" s="4">
        <v>0</v>
      </c>
      <c r="AK413" s="4">
        <v>1051814.8500000001</v>
      </c>
      <c r="AL413" s="4">
        <v>1368596.76</v>
      </c>
      <c r="AM413" s="4">
        <v>2792273.55</v>
      </c>
      <c r="AN413" s="4">
        <v>5383090.4299999997</v>
      </c>
      <c r="AO413" s="4">
        <v>1781089.27</v>
      </c>
      <c r="AP413" s="4">
        <v>3662491.13</v>
      </c>
      <c r="AQ413" s="4">
        <v>3050310.4</v>
      </c>
      <c r="AR413" s="4">
        <v>451439.25</v>
      </c>
      <c r="AS413" s="4">
        <v>204900.81</v>
      </c>
      <c r="AT413" s="4">
        <v>592732.15</v>
      </c>
      <c r="AU413" s="4">
        <v>1788933.51</v>
      </c>
      <c r="AV413" s="4">
        <v>42189475.520000003</v>
      </c>
      <c r="AW413" s="4">
        <v>1181998.46</v>
      </c>
      <c r="AX413" s="4">
        <v>661974.94999999995</v>
      </c>
      <c r="AY413" s="4">
        <v>2007128.43</v>
      </c>
      <c r="AZ413" s="4">
        <v>3931211.69</v>
      </c>
      <c r="BA413" s="4">
        <v>1918163.35</v>
      </c>
      <c r="BB413" s="4">
        <v>613203.55000000005</v>
      </c>
      <c r="BC413" s="4">
        <v>1290189.44</v>
      </c>
      <c r="BD413" s="4">
        <v>18129685.079999998</v>
      </c>
      <c r="BE413" s="4">
        <v>663692.94999999995</v>
      </c>
      <c r="BF413" s="4">
        <v>246393.67</v>
      </c>
      <c r="BG413" s="4">
        <v>0</v>
      </c>
      <c r="BH413" s="4">
        <f t="shared" si="69"/>
        <v>276037965.18000001</v>
      </c>
    </row>
    <row r="414" spans="1:60" x14ac:dyDescent="0.2">
      <c r="A414" s="3">
        <v>35400</v>
      </c>
      <c r="B414" s="4">
        <v>16726459.460000001</v>
      </c>
      <c r="C414" s="4">
        <v>1642669.42</v>
      </c>
      <c r="D414" s="4">
        <v>7646621.6600000001</v>
      </c>
      <c r="E414" s="4">
        <v>2463504.75</v>
      </c>
      <c r="F414" s="4">
        <v>2164645.4300000002</v>
      </c>
      <c r="G414" s="4">
        <v>4360174.9000000004</v>
      </c>
      <c r="H414" s="4">
        <v>3075577.54</v>
      </c>
      <c r="I414" s="4">
        <v>1124331.67</v>
      </c>
      <c r="J414" s="4">
        <v>2598587.7799999998</v>
      </c>
      <c r="K414" s="4">
        <v>2271708.61</v>
      </c>
      <c r="L414" s="4">
        <v>2013175.84</v>
      </c>
      <c r="M414" s="4">
        <v>861452.55</v>
      </c>
      <c r="N414" s="4">
        <v>10469739.65</v>
      </c>
      <c r="O414" s="4">
        <v>42943113.710000001</v>
      </c>
      <c r="P414" s="4">
        <v>1570618.05</v>
      </c>
      <c r="Q414" s="4">
        <v>1076933.56</v>
      </c>
      <c r="R414" s="4">
        <v>1079591.57</v>
      </c>
      <c r="S414" s="4">
        <v>1934775.12</v>
      </c>
      <c r="T414" s="4">
        <v>1640680.34</v>
      </c>
      <c r="U414" s="4">
        <v>231348.41</v>
      </c>
      <c r="V414" s="4">
        <v>1822962.3</v>
      </c>
      <c r="W414" s="4">
        <v>3009648.58</v>
      </c>
      <c r="X414" s="4">
        <v>539340.31999999995</v>
      </c>
      <c r="Y414" s="4">
        <v>1486230.29</v>
      </c>
      <c r="Z414" s="4">
        <v>1413770.4</v>
      </c>
      <c r="AA414" s="4">
        <v>35209221.149999999</v>
      </c>
      <c r="AB414" s="4">
        <v>1316370.81</v>
      </c>
      <c r="AC414" s="4">
        <v>73803807.620000005</v>
      </c>
      <c r="AD414" s="4">
        <v>5471065.4900000002</v>
      </c>
      <c r="AE414" s="4">
        <v>7094842.0300000003</v>
      </c>
      <c r="AF414" s="4">
        <v>15366638</v>
      </c>
      <c r="AG414" s="4">
        <v>4115982.82</v>
      </c>
      <c r="AH414" s="4">
        <v>11027881.17</v>
      </c>
      <c r="AI414" s="4">
        <v>1241443.1000000001</v>
      </c>
      <c r="AJ414" s="4">
        <v>0</v>
      </c>
      <c r="AK414" s="4">
        <v>1673552.69</v>
      </c>
      <c r="AL414" s="4">
        <v>2625043.1</v>
      </c>
      <c r="AM414" s="4">
        <v>4660690.3499999996</v>
      </c>
      <c r="AN414" s="4">
        <v>8887665.6500000004</v>
      </c>
      <c r="AO414" s="4">
        <v>2739199.24</v>
      </c>
      <c r="AP414" s="4">
        <v>5827576.2400000002</v>
      </c>
      <c r="AQ414" s="4">
        <v>4706581.3</v>
      </c>
      <c r="AR414" s="4">
        <v>733631.83</v>
      </c>
      <c r="AS414" s="4">
        <v>406890.12</v>
      </c>
      <c r="AT414" s="4">
        <v>1148540.5900000001</v>
      </c>
      <c r="AU414" s="4">
        <v>2829035.35</v>
      </c>
      <c r="AV414" s="4">
        <v>67067819.420000002</v>
      </c>
      <c r="AW414" s="4">
        <v>1829780.1</v>
      </c>
      <c r="AX414" s="4">
        <v>1416967.63</v>
      </c>
      <c r="AY414" s="4">
        <v>3047861.35</v>
      </c>
      <c r="AZ414" s="4">
        <v>6452883.6600000001</v>
      </c>
      <c r="BA414" s="4">
        <v>2609729.87</v>
      </c>
      <c r="BB414" s="4">
        <v>1288866.1299999999</v>
      </c>
      <c r="BC414" s="4">
        <v>2028597.03</v>
      </c>
      <c r="BD414" s="4">
        <v>28409635.469999999</v>
      </c>
      <c r="BE414" s="4">
        <v>1132746.3</v>
      </c>
      <c r="BF414" s="4">
        <v>618000.81000000006</v>
      </c>
      <c r="BG414" s="4">
        <v>0</v>
      </c>
      <c r="BH414" s="4">
        <f t="shared" si="69"/>
        <v>422956208.33000016</v>
      </c>
    </row>
    <row r="415" spans="1:60" ht="15.75" thickBot="1" x14ac:dyDescent="0.25">
      <c r="A415" s="3" t="s">
        <v>9</v>
      </c>
      <c r="B415" s="5">
        <f t="shared" ref="B415:AG415" si="70">SUM(B403:B414)</f>
        <v>160667819.31999999</v>
      </c>
      <c r="C415" s="5">
        <f t="shared" si="70"/>
        <v>11763551.82</v>
      </c>
      <c r="D415" s="5">
        <f t="shared" si="70"/>
        <v>75794704.329999998</v>
      </c>
      <c r="E415" s="5">
        <f t="shared" si="70"/>
        <v>22165469.039999999</v>
      </c>
      <c r="F415" s="5">
        <f t="shared" si="70"/>
        <v>19858066.16</v>
      </c>
      <c r="G415" s="5">
        <f t="shared" si="70"/>
        <v>34740350.049999997</v>
      </c>
      <c r="H415" s="5">
        <f t="shared" si="70"/>
        <v>28505047.639999997</v>
      </c>
      <c r="I415" s="5">
        <f t="shared" si="70"/>
        <v>8764367.8499999996</v>
      </c>
      <c r="J415" s="5">
        <f t="shared" si="70"/>
        <v>23955655.539999999</v>
      </c>
      <c r="K415" s="5">
        <f t="shared" si="70"/>
        <v>19011137</v>
      </c>
      <c r="L415" s="5">
        <f t="shared" si="70"/>
        <v>17268760.329999998</v>
      </c>
      <c r="M415" s="5">
        <f t="shared" si="70"/>
        <v>7093589.4199999999</v>
      </c>
      <c r="N415" s="5">
        <f t="shared" si="70"/>
        <v>83619363.030000001</v>
      </c>
      <c r="O415" s="5">
        <f t="shared" si="70"/>
        <v>389389607.38</v>
      </c>
      <c r="P415" s="5">
        <f t="shared" si="70"/>
        <v>11818542.630000001</v>
      </c>
      <c r="Q415" s="5">
        <f t="shared" si="70"/>
        <v>9039613.4900000002</v>
      </c>
      <c r="R415" s="5">
        <f t="shared" si="70"/>
        <v>8331037.7200000025</v>
      </c>
      <c r="S415" s="5">
        <f t="shared" si="70"/>
        <v>17173943.75</v>
      </c>
      <c r="T415" s="5">
        <f t="shared" si="70"/>
        <v>14493587.85</v>
      </c>
      <c r="U415" s="5">
        <f t="shared" si="70"/>
        <v>1711721.27</v>
      </c>
      <c r="V415" s="5">
        <f t="shared" si="70"/>
        <v>15479052.58</v>
      </c>
      <c r="W415" s="5">
        <f t="shared" si="70"/>
        <v>30148951.420000002</v>
      </c>
      <c r="X415" s="5">
        <f t="shared" si="70"/>
        <v>4396877.68</v>
      </c>
      <c r="Y415" s="5">
        <f t="shared" si="70"/>
        <v>12683136.609999999</v>
      </c>
      <c r="Z415" s="5">
        <f t="shared" si="70"/>
        <v>11333181.66</v>
      </c>
      <c r="AA415" s="5">
        <f t="shared" si="70"/>
        <v>317669452.47999996</v>
      </c>
      <c r="AB415" s="5">
        <f t="shared" si="70"/>
        <v>11135802.15</v>
      </c>
      <c r="AC415" s="5">
        <f t="shared" si="70"/>
        <v>663238374.48000002</v>
      </c>
      <c r="AD415" s="5">
        <f t="shared" si="70"/>
        <v>55585477.400000006</v>
      </c>
      <c r="AE415" s="5">
        <f t="shared" si="70"/>
        <v>64882938.160000004</v>
      </c>
      <c r="AF415" s="5">
        <f t="shared" si="70"/>
        <v>153072995.69000003</v>
      </c>
      <c r="AG415" s="5">
        <f t="shared" si="70"/>
        <v>32023372.23</v>
      </c>
      <c r="AH415" s="5">
        <f t="shared" ref="AH415:BG415" si="71">SUM(AH403:AH414)</f>
        <v>96421467.539999992</v>
      </c>
      <c r="AI415" s="5">
        <f t="shared" si="71"/>
        <v>9522606.0999999996</v>
      </c>
      <c r="AJ415" s="5">
        <f t="shared" si="71"/>
        <v>0</v>
      </c>
      <c r="AK415" s="5">
        <f t="shared" si="71"/>
        <v>14641083.699999997</v>
      </c>
      <c r="AL415" s="5">
        <f t="shared" si="71"/>
        <v>19604090.080000006</v>
      </c>
      <c r="AM415" s="5">
        <f t="shared" si="71"/>
        <v>39259092.700000003</v>
      </c>
      <c r="AN415" s="5">
        <f t="shared" si="71"/>
        <v>76177595.100000009</v>
      </c>
      <c r="AO415" s="5">
        <f t="shared" si="71"/>
        <v>24334595.509999998</v>
      </c>
      <c r="AP415" s="5">
        <f t="shared" si="71"/>
        <v>51378475.140000001</v>
      </c>
      <c r="AQ415" s="5">
        <f t="shared" si="71"/>
        <v>42607431.589999996</v>
      </c>
      <c r="AR415" s="5">
        <f t="shared" si="71"/>
        <v>6427455.4600000009</v>
      </c>
      <c r="AS415" s="5">
        <f t="shared" si="71"/>
        <v>3484791.4000000004</v>
      </c>
      <c r="AT415" s="5">
        <f t="shared" si="71"/>
        <v>8398478.8600000013</v>
      </c>
      <c r="AU415" s="5">
        <f t="shared" si="71"/>
        <v>26379887.680000003</v>
      </c>
      <c r="AV415" s="5">
        <f t="shared" si="71"/>
        <v>593621554.54999995</v>
      </c>
      <c r="AW415" s="5">
        <f t="shared" si="71"/>
        <v>16897232.330000002</v>
      </c>
      <c r="AX415" s="5">
        <f t="shared" si="71"/>
        <v>10400193.59</v>
      </c>
      <c r="AY415" s="5">
        <f t="shared" si="71"/>
        <v>27287713.32</v>
      </c>
      <c r="AZ415" s="5">
        <f t="shared" si="71"/>
        <v>55821710.239999995</v>
      </c>
      <c r="BA415" s="5">
        <f t="shared" si="71"/>
        <v>26157031.300000001</v>
      </c>
      <c r="BB415" s="5">
        <f t="shared" si="71"/>
        <v>9567891.2799999993</v>
      </c>
      <c r="BC415" s="5">
        <f t="shared" si="71"/>
        <v>19813919.900000002</v>
      </c>
      <c r="BD415" s="5">
        <f t="shared" si="71"/>
        <v>249401984.62000003</v>
      </c>
      <c r="BE415" s="5">
        <f t="shared" si="71"/>
        <v>9654686.4199999999</v>
      </c>
      <c r="BF415" s="5">
        <f t="shared" si="71"/>
        <v>4378930.16</v>
      </c>
      <c r="BG415" s="5">
        <f t="shared" si="71"/>
        <v>14121.03</v>
      </c>
      <c r="BH415" s="5">
        <f t="shared" si="69"/>
        <v>3778469567.7600002</v>
      </c>
    </row>
    <row r="416" spans="1:60" ht="15.75" thickTop="1" x14ac:dyDescent="0.2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</row>
    <row r="417" spans="1:60" x14ac:dyDescent="0.2">
      <c r="A417" s="3">
        <v>34700</v>
      </c>
      <c r="B417" s="4">
        <v>12871891.52</v>
      </c>
      <c r="C417" s="4">
        <v>787688.73</v>
      </c>
      <c r="D417" s="4">
        <v>5944743.4100000001</v>
      </c>
      <c r="E417" s="4">
        <v>1429217.33</v>
      </c>
      <c r="F417" s="4">
        <v>1621282.21</v>
      </c>
      <c r="G417" s="4">
        <v>2361524.9300000002</v>
      </c>
      <c r="H417" s="4">
        <v>2170205.64</v>
      </c>
      <c r="I417" s="4">
        <v>499847.14</v>
      </c>
      <c r="J417" s="4">
        <v>1793529.44</v>
      </c>
      <c r="K417" s="4">
        <v>851569.63</v>
      </c>
      <c r="L417" s="4">
        <v>1029611.58</v>
      </c>
      <c r="M417" s="4">
        <v>410511.37</v>
      </c>
      <c r="N417" s="4">
        <v>5785868.9500000002</v>
      </c>
      <c r="O417" s="4">
        <v>29481617.469999999</v>
      </c>
      <c r="P417" s="4">
        <v>636124.88</v>
      </c>
      <c r="Q417" s="4">
        <v>573928.26</v>
      </c>
      <c r="R417" s="4">
        <v>559895.86</v>
      </c>
      <c r="S417" s="4">
        <v>1064289.6100000001</v>
      </c>
      <c r="T417" s="4">
        <v>880443.82</v>
      </c>
      <c r="U417" s="4">
        <v>56672.17</v>
      </c>
      <c r="V417" s="4">
        <v>942071.85</v>
      </c>
      <c r="W417" s="4">
        <v>1978230.44</v>
      </c>
      <c r="X417" s="4">
        <v>253070.71</v>
      </c>
      <c r="Y417" s="4">
        <v>788673.18</v>
      </c>
      <c r="Z417" s="4">
        <v>707983.76</v>
      </c>
      <c r="AA417" s="4">
        <v>23296554.059999999</v>
      </c>
      <c r="AB417" s="4">
        <v>698870.94</v>
      </c>
      <c r="AC417" s="4">
        <v>54151193.670000002</v>
      </c>
      <c r="AD417" s="4">
        <v>4086752.24</v>
      </c>
      <c r="AE417" s="4">
        <v>4646464.08</v>
      </c>
      <c r="AF417" s="4">
        <v>12607337.859999999</v>
      </c>
      <c r="AG417" s="4">
        <v>2036245.24</v>
      </c>
      <c r="AH417" s="4">
        <v>6075989.9000000004</v>
      </c>
      <c r="AI417" s="4">
        <v>634944.22</v>
      </c>
      <c r="AJ417" s="4">
        <v>0</v>
      </c>
      <c r="AK417" s="4">
        <v>871798.61</v>
      </c>
      <c r="AL417" s="4">
        <v>1256233.19</v>
      </c>
      <c r="AM417" s="4">
        <v>2765638.17</v>
      </c>
      <c r="AN417" s="4">
        <v>5527504.2300000004</v>
      </c>
      <c r="AO417" s="4">
        <v>1775692.15</v>
      </c>
      <c r="AP417" s="4">
        <v>3586837.32</v>
      </c>
      <c r="AQ417" s="4">
        <v>3655805.85</v>
      </c>
      <c r="AR417" s="4">
        <v>342511.19</v>
      </c>
      <c r="AS417" s="4">
        <v>184222.32</v>
      </c>
      <c r="AT417" s="4">
        <v>394229.38</v>
      </c>
      <c r="AU417" s="4">
        <v>1646806.01</v>
      </c>
      <c r="AV417" s="4">
        <v>45050926.630000003</v>
      </c>
      <c r="AW417" s="4">
        <v>1045572.41</v>
      </c>
      <c r="AX417" s="4">
        <v>686806.16</v>
      </c>
      <c r="AY417" s="4">
        <v>2043253.47</v>
      </c>
      <c r="AZ417" s="4">
        <v>3994769.98</v>
      </c>
      <c r="BA417" s="4">
        <v>1600790.14</v>
      </c>
      <c r="BB417" s="4">
        <v>607363.39</v>
      </c>
      <c r="BC417" s="4">
        <v>1170225.9099999999</v>
      </c>
      <c r="BD417" s="4">
        <v>19058712.690000001</v>
      </c>
      <c r="BE417" s="4">
        <v>558836.96</v>
      </c>
      <c r="BF417" s="4">
        <v>219378.75</v>
      </c>
      <c r="BG417" s="4">
        <v>0</v>
      </c>
      <c r="BH417" s="4">
        <f t="shared" ref="BH417:BH429" si="72">SUM(B417:BG417)</f>
        <v>281758761.00999993</v>
      </c>
    </row>
    <row r="418" spans="1:60" x14ac:dyDescent="0.2">
      <c r="A418" s="3">
        <v>34731</v>
      </c>
      <c r="B418" s="4">
        <v>10964838.18</v>
      </c>
      <c r="C418" s="4">
        <v>904688.02</v>
      </c>
      <c r="D418" s="4">
        <v>5144756.59</v>
      </c>
      <c r="E418" s="4">
        <v>1279009.9099999999</v>
      </c>
      <c r="F418" s="4">
        <v>1396711.62</v>
      </c>
      <c r="G418" s="4">
        <v>2116174.7200000002</v>
      </c>
      <c r="H418" s="4">
        <v>1819749.57</v>
      </c>
      <c r="I418" s="4">
        <v>423723.87</v>
      </c>
      <c r="J418" s="4">
        <v>1532210.68</v>
      </c>
      <c r="K418" s="4">
        <v>726849.1</v>
      </c>
      <c r="L418" s="4">
        <v>1002334.36</v>
      </c>
      <c r="M418" s="4">
        <v>346177.91</v>
      </c>
      <c r="N418" s="4">
        <v>4803575.05</v>
      </c>
      <c r="O418" s="4">
        <v>25618364.48</v>
      </c>
      <c r="P418" s="4">
        <v>509537.51</v>
      </c>
      <c r="Q418" s="4">
        <v>503359.63</v>
      </c>
      <c r="R418" s="4">
        <v>511085.58</v>
      </c>
      <c r="S418" s="4">
        <v>819674.07</v>
      </c>
      <c r="T418" s="4">
        <v>759097.91</v>
      </c>
      <c r="U418" s="4">
        <v>54117.02</v>
      </c>
      <c r="V418" s="4">
        <v>820261.32</v>
      </c>
      <c r="W418" s="4">
        <v>1790559.82</v>
      </c>
      <c r="X418" s="4">
        <v>235891.91</v>
      </c>
      <c r="Y418" s="4">
        <v>704288.99</v>
      </c>
      <c r="Z418" s="4">
        <v>619524.93999999994</v>
      </c>
      <c r="AA418" s="4">
        <v>20217261.84</v>
      </c>
      <c r="AB418" s="4">
        <v>591985.54</v>
      </c>
      <c r="AC418" s="4">
        <v>42302209.060000002</v>
      </c>
      <c r="AD418" s="4">
        <v>3459854.47</v>
      </c>
      <c r="AE418" s="4">
        <v>4030191.19</v>
      </c>
      <c r="AF418" s="4">
        <v>10839770.67</v>
      </c>
      <c r="AG418" s="4">
        <v>1727027.27</v>
      </c>
      <c r="AH418" s="4">
        <v>5245152.13</v>
      </c>
      <c r="AI418" s="4">
        <v>527324.15</v>
      </c>
      <c r="AJ418" s="4">
        <v>0</v>
      </c>
      <c r="AK418" s="4">
        <v>750612.72</v>
      </c>
      <c r="AL418" s="4">
        <v>989125.52</v>
      </c>
      <c r="AM418" s="4">
        <v>2369199.61</v>
      </c>
      <c r="AN418" s="4">
        <v>4760128.45</v>
      </c>
      <c r="AO418" s="4">
        <v>1541862.74</v>
      </c>
      <c r="AP418" s="4">
        <v>3052572.96</v>
      </c>
      <c r="AQ418" s="4">
        <v>3122364.6</v>
      </c>
      <c r="AR418" s="4">
        <v>301706.03000000003</v>
      </c>
      <c r="AS418" s="4">
        <v>154957.69</v>
      </c>
      <c r="AT418" s="4">
        <v>355660.9</v>
      </c>
      <c r="AU418" s="4">
        <v>1383334.17</v>
      </c>
      <c r="AV418" s="4">
        <v>37007468.689999998</v>
      </c>
      <c r="AW418" s="4">
        <v>886228.59</v>
      </c>
      <c r="AX418" s="4">
        <v>600663.98</v>
      </c>
      <c r="AY418" s="4">
        <v>1748996.13</v>
      </c>
      <c r="AZ418" s="4">
        <v>3320929.53</v>
      </c>
      <c r="BA418" s="4">
        <v>1354563.53</v>
      </c>
      <c r="BB418" s="4">
        <v>491624.85</v>
      </c>
      <c r="BC418" s="4">
        <v>1023346.61</v>
      </c>
      <c r="BD418" s="4">
        <v>15796336.75</v>
      </c>
      <c r="BE418" s="4">
        <v>469732.25</v>
      </c>
      <c r="BF418" s="4">
        <v>181637.47</v>
      </c>
      <c r="BG418" s="4">
        <v>0</v>
      </c>
      <c r="BH418" s="4">
        <f t="shared" si="72"/>
        <v>236010392.85000002</v>
      </c>
    </row>
    <row r="419" spans="1:60" x14ac:dyDescent="0.2">
      <c r="A419" s="3">
        <v>34759</v>
      </c>
      <c r="B419" s="4">
        <v>16999829.16</v>
      </c>
      <c r="C419" s="4">
        <v>1373211.16</v>
      </c>
      <c r="D419" s="4">
        <v>6607380.0499999998</v>
      </c>
      <c r="E419" s="4">
        <v>2426985.37</v>
      </c>
      <c r="F419" s="4">
        <v>2267849.92</v>
      </c>
      <c r="G419" s="4">
        <v>3056465.93</v>
      </c>
      <c r="H419" s="4">
        <v>2607958.15</v>
      </c>
      <c r="I419" s="4">
        <v>1086903.4099999999</v>
      </c>
      <c r="J419" s="4">
        <v>2354182.86</v>
      </c>
      <c r="K419" s="4">
        <v>1802528.38</v>
      </c>
      <c r="L419" s="4">
        <v>1425876.41</v>
      </c>
      <c r="M419" s="4">
        <v>728888.36</v>
      </c>
      <c r="N419" s="4">
        <v>6973124.6600000001</v>
      </c>
      <c r="O419" s="4">
        <v>34759370.25</v>
      </c>
      <c r="P419" s="4">
        <v>976702.31</v>
      </c>
      <c r="Q419" s="4">
        <v>656769.93999999994</v>
      </c>
      <c r="R419" s="4">
        <v>868657.08</v>
      </c>
      <c r="S419" s="4">
        <v>1850339.52</v>
      </c>
      <c r="T419" s="4">
        <v>1601730.53</v>
      </c>
      <c r="U419" s="4">
        <v>169608.26</v>
      </c>
      <c r="V419" s="4">
        <v>1443915.84</v>
      </c>
      <c r="W419" s="4">
        <v>2579001.64</v>
      </c>
      <c r="X419" s="4">
        <v>594466.78</v>
      </c>
      <c r="Y419" s="4">
        <v>1276494.69</v>
      </c>
      <c r="Z419" s="4">
        <v>1038285.18</v>
      </c>
      <c r="AA419" s="4">
        <v>28202344.800000001</v>
      </c>
      <c r="AB419" s="4">
        <v>1165575.1200000001</v>
      </c>
      <c r="AC419" s="4">
        <v>62382791.700000003</v>
      </c>
      <c r="AD419" s="4">
        <v>4543960.24</v>
      </c>
      <c r="AE419" s="4">
        <v>6290374.9199999999</v>
      </c>
      <c r="AF419" s="4">
        <v>14689412.84</v>
      </c>
      <c r="AG419" s="4">
        <v>2716173.02</v>
      </c>
      <c r="AH419" s="4">
        <v>10148068.25</v>
      </c>
      <c r="AI419" s="4">
        <v>1132964.29</v>
      </c>
      <c r="AJ419" s="4">
        <v>0</v>
      </c>
      <c r="AK419" s="4">
        <v>1598430.18</v>
      </c>
      <c r="AL419" s="4">
        <v>2218725.85</v>
      </c>
      <c r="AM419" s="4">
        <v>3244460.65</v>
      </c>
      <c r="AN419" s="4">
        <v>7902158.7000000002</v>
      </c>
      <c r="AO419" s="4">
        <v>2489928.4</v>
      </c>
      <c r="AP419" s="4">
        <v>4313642.09</v>
      </c>
      <c r="AQ419" s="4">
        <v>3397161.46</v>
      </c>
      <c r="AR419" s="4">
        <v>565733.04</v>
      </c>
      <c r="AS419" s="4">
        <v>307300.19</v>
      </c>
      <c r="AT419" s="4">
        <v>719331.71</v>
      </c>
      <c r="AU419" s="4">
        <v>2596658.1800000002</v>
      </c>
      <c r="AV419" s="4">
        <v>58445861.229999997</v>
      </c>
      <c r="AW419" s="4">
        <v>1647423.6</v>
      </c>
      <c r="AX419" s="4">
        <v>988664.14</v>
      </c>
      <c r="AY419" s="4">
        <v>2755129.13</v>
      </c>
      <c r="AZ419" s="4">
        <v>5217566.09</v>
      </c>
      <c r="BA419" s="4">
        <v>2275437.2400000002</v>
      </c>
      <c r="BB419" s="4">
        <v>854850.38</v>
      </c>
      <c r="BC419" s="4">
        <v>1872660.22</v>
      </c>
      <c r="BD419" s="4">
        <v>22787442.120000001</v>
      </c>
      <c r="BE419" s="4">
        <v>1001140.2</v>
      </c>
      <c r="BF419" s="4">
        <v>446958.04</v>
      </c>
      <c r="BG419" s="4">
        <v>18763.150000000001</v>
      </c>
      <c r="BH419" s="4">
        <f t="shared" si="72"/>
        <v>356463617.01000005</v>
      </c>
    </row>
    <row r="420" spans="1:60" x14ac:dyDescent="0.2">
      <c r="A420" s="3">
        <v>34790</v>
      </c>
      <c r="B420" s="4">
        <v>10308636.539999999</v>
      </c>
      <c r="C420" s="4">
        <v>852469.96</v>
      </c>
      <c r="D420" s="4">
        <v>5352091.53</v>
      </c>
      <c r="E420" s="4">
        <v>1236338.95</v>
      </c>
      <c r="F420" s="4">
        <v>1584997.68</v>
      </c>
      <c r="G420" s="4">
        <v>2165239.09</v>
      </c>
      <c r="H420" s="4">
        <v>1826565.5</v>
      </c>
      <c r="I420" s="4">
        <v>548546.79</v>
      </c>
      <c r="J420" s="4">
        <v>1542144.32</v>
      </c>
      <c r="K420" s="4">
        <v>1111178.1499999999</v>
      </c>
      <c r="L420" s="4">
        <v>1056236.54</v>
      </c>
      <c r="M420" s="4">
        <v>410737.07</v>
      </c>
      <c r="N420" s="4">
        <v>4959238.2</v>
      </c>
      <c r="O420" s="4">
        <v>25444371.77</v>
      </c>
      <c r="P420" s="4">
        <v>558773.17000000004</v>
      </c>
      <c r="Q420" s="4">
        <v>519261.96</v>
      </c>
      <c r="R420" s="4">
        <v>522690.98</v>
      </c>
      <c r="S420" s="4">
        <v>998485.97</v>
      </c>
      <c r="T420" s="4">
        <v>785266.11</v>
      </c>
      <c r="U420" s="4">
        <v>63969.01</v>
      </c>
      <c r="V420" s="4">
        <v>882242.63</v>
      </c>
      <c r="W420" s="4">
        <v>1911381.64</v>
      </c>
      <c r="X420" s="4">
        <v>250778.62</v>
      </c>
      <c r="Y420" s="4">
        <v>765230.09</v>
      </c>
      <c r="Z420" s="4">
        <v>789983.75</v>
      </c>
      <c r="AA420" s="4">
        <v>20979663.34</v>
      </c>
      <c r="AB420" s="4">
        <v>684249.98</v>
      </c>
      <c r="AC420" s="4">
        <v>42572830.759999998</v>
      </c>
      <c r="AD420" s="4">
        <v>3574541.52</v>
      </c>
      <c r="AE420" s="4">
        <v>4069569.5</v>
      </c>
      <c r="AF420" s="4">
        <v>10354364.65</v>
      </c>
      <c r="AG420" s="4">
        <v>1763843.5</v>
      </c>
      <c r="AH420" s="4">
        <v>5493883.8600000003</v>
      </c>
      <c r="AI420" s="4">
        <v>574222.63</v>
      </c>
      <c r="AJ420" s="4">
        <v>0</v>
      </c>
      <c r="AK420" s="4">
        <v>826372.91</v>
      </c>
      <c r="AL420" s="4">
        <v>1152717.02</v>
      </c>
      <c r="AM420" s="4">
        <v>2633065.62</v>
      </c>
      <c r="AN420" s="4">
        <v>4770258.28</v>
      </c>
      <c r="AO420" s="4">
        <v>1592380.57</v>
      </c>
      <c r="AP420" s="4">
        <v>3278740.53</v>
      </c>
      <c r="AQ420" s="4">
        <v>2650510.7000000002</v>
      </c>
      <c r="AR420" s="4">
        <v>335559.75</v>
      </c>
      <c r="AS420" s="4">
        <v>174858.97</v>
      </c>
      <c r="AT420" s="4">
        <v>414886.6</v>
      </c>
      <c r="AU420" s="4">
        <v>1813029.43</v>
      </c>
      <c r="AV420" s="4">
        <v>36876030.939999998</v>
      </c>
      <c r="AW420" s="4">
        <v>1027229.25</v>
      </c>
      <c r="AX420" s="4">
        <v>663595.01</v>
      </c>
      <c r="AY420" s="4">
        <v>1798621.68</v>
      </c>
      <c r="AZ420" s="4">
        <v>3333211.39</v>
      </c>
      <c r="BA420" s="4">
        <v>1412099.67</v>
      </c>
      <c r="BB420" s="4">
        <v>573256.82999999996</v>
      </c>
      <c r="BC420" s="4">
        <v>1270976.74</v>
      </c>
      <c r="BD420" s="4">
        <v>15484588.65</v>
      </c>
      <c r="BE420" s="4">
        <v>548121.79</v>
      </c>
      <c r="BF420" s="4">
        <v>233521.57</v>
      </c>
      <c r="BG420" s="4">
        <v>0</v>
      </c>
      <c r="BH420" s="4">
        <f t="shared" si="72"/>
        <v>239377659.66</v>
      </c>
    </row>
    <row r="421" spans="1:60" x14ac:dyDescent="0.2">
      <c r="A421" s="3">
        <v>34820</v>
      </c>
      <c r="B421" s="4">
        <v>10544099.310000001</v>
      </c>
      <c r="C421" s="4">
        <v>842937.51</v>
      </c>
      <c r="D421" s="4">
        <v>5117596.26</v>
      </c>
      <c r="E421" s="4">
        <v>1243579.95</v>
      </c>
      <c r="F421" s="4">
        <v>1556197.89</v>
      </c>
      <c r="G421" s="4">
        <v>2166354.2000000002</v>
      </c>
      <c r="H421" s="4">
        <v>1826811.29</v>
      </c>
      <c r="I421" s="4">
        <v>545205.31000000006</v>
      </c>
      <c r="J421" s="4">
        <v>1564675.81</v>
      </c>
      <c r="K421" s="4">
        <v>1133678.94</v>
      </c>
      <c r="L421" s="4">
        <v>1072289.6599999999</v>
      </c>
      <c r="M421" s="4">
        <v>419929.68</v>
      </c>
      <c r="N421" s="4">
        <v>4987445.05</v>
      </c>
      <c r="O421" s="4">
        <v>25654160.59</v>
      </c>
      <c r="P421" s="4">
        <v>573590.63</v>
      </c>
      <c r="Q421" s="4">
        <v>521319.4</v>
      </c>
      <c r="R421" s="4">
        <v>586740.73</v>
      </c>
      <c r="S421" s="4">
        <v>975246.62</v>
      </c>
      <c r="T421" s="4">
        <v>816884.8</v>
      </c>
      <c r="U421" s="4">
        <v>64355.92</v>
      </c>
      <c r="V421" s="4">
        <v>921705.68</v>
      </c>
      <c r="W421" s="4">
        <v>1942559.93</v>
      </c>
      <c r="X421" s="4">
        <v>259694.03</v>
      </c>
      <c r="Y421" s="4">
        <v>778984.07</v>
      </c>
      <c r="Z421" s="4">
        <v>697455.03</v>
      </c>
      <c r="AA421" s="4">
        <v>21227168.620000001</v>
      </c>
      <c r="AB421" s="4">
        <v>722118.39</v>
      </c>
      <c r="AC421" s="4">
        <v>42901346.369999997</v>
      </c>
      <c r="AD421" s="4">
        <v>3614096.82</v>
      </c>
      <c r="AE421" s="4">
        <v>4233077.6500000004</v>
      </c>
      <c r="AF421" s="4">
        <v>10455045.43</v>
      </c>
      <c r="AG421" s="4">
        <v>1771284.64</v>
      </c>
      <c r="AH421" s="4">
        <v>5776813.3399999999</v>
      </c>
      <c r="AI421" s="4">
        <v>583723.35</v>
      </c>
      <c r="AJ421" s="4">
        <v>0</v>
      </c>
      <c r="AK421" s="4">
        <v>825857.98</v>
      </c>
      <c r="AL421" s="4">
        <v>1176152.1299999999</v>
      </c>
      <c r="AM421" s="4">
        <v>2670555.63</v>
      </c>
      <c r="AN421" s="4">
        <v>4877821.6100000003</v>
      </c>
      <c r="AO421" s="4">
        <v>1639328.68</v>
      </c>
      <c r="AP421" s="4">
        <v>3275096.04</v>
      </c>
      <c r="AQ421" s="4">
        <v>3477518.44</v>
      </c>
      <c r="AR421" s="4">
        <v>341425.84</v>
      </c>
      <c r="AS421" s="4">
        <v>179123.04</v>
      </c>
      <c r="AT421" s="4">
        <v>412370.6</v>
      </c>
      <c r="AU421" s="4">
        <v>1601297.93</v>
      </c>
      <c r="AV421" s="4">
        <v>37419361.25</v>
      </c>
      <c r="AW421" s="4">
        <v>988731.75</v>
      </c>
      <c r="AX421" s="4">
        <v>768145.2</v>
      </c>
      <c r="AY421" s="4">
        <v>1827334.34</v>
      </c>
      <c r="AZ421" s="4">
        <v>3376582.5</v>
      </c>
      <c r="BA421" s="4">
        <v>1418832.97</v>
      </c>
      <c r="BB421" s="4">
        <v>575102.12</v>
      </c>
      <c r="BC421" s="4">
        <v>1302017.77</v>
      </c>
      <c r="BD421" s="4">
        <v>15666449.789999999</v>
      </c>
      <c r="BE421" s="4">
        <v>552328.86</v>
      </c>
      <c r="BF421" s="4">
        <v>224084.42</v>
      </c>
      <c r="BG421" s="4">
        <v>0</v>
      </c>
      <c r="BH421" s="4">
        <f t="shared" si="72"/>
        <v>242693691.78999996</v>
      </c>
    </row>
    <row r="422" spans="1:60" x14ac:dyDescent="0.2">
      <c r="A422" s="3">
        <v>34851</v>
      </c>
      <c r="B422" s="4">
        <v>16422520</v>
      </c>
      <c r="C422" s="4">
        <v>1454991.94</v>
      </c>
      <c r="D422" s="4">
        <v>6707254.3099999996</v>
      </c>
      <c r="E422" s="4">
        <v>2383170.13</v>
      </c>
      <c r="F422" s="4">
        <v>2431600.06</v>
      </c>
      <c r="G422" s="4">
        <v>4189514.1</v>
      </c>
      <c r="H422" s="4">
        <v>2987638.65</v>
      </c>
      <c r="I422" s="4">
        <v>1065327.97</v>
      </c>
      <c r="J422" s="4">
        <v>2601819.5699999998</v>
      </c>
      <c r="K422" s="4">
        <v>1871468.44</v>
      </c>
      <c r="L422" s="4">
        <v>1768850.14</v>
      </c>
      <c r="M422" s="4">
        <v>817827.15</v>
      </c>
      <c r="N422" s="4">
        <v>9680202.5600000005</v>
      </c>
      <c r="O422" s="4">
        <v>43227523.920000002</v>
      </c>
      <c r="P422" s="4">
        <v>938439.55</v>
      </c>
      <c r="Q422" s="4">
        <v>1014327.06</v>
      </c>
      <c r="R422" s="4">
        <v>924988.83</v>
      </c>
      <c r="S422" s="4">
        <v>2029704.08</v>
      </c>
      <c r="T422" s="4">
        <v>1592537.16</v>
      </c>
      <c r="U422" s="4">
        <v>235765.4</v>
      </c>
      <c r="V422" s="4">
        <v>1676688.56</v>
      </c>
      <c r="W422" s="4">
        <v>3400829.81</v>
      </c>
      <c r="X422" s="4">
        <v>554229.16</v>
      </c>
      <c r="Y422" s="4">
        <v>1474545.18</v>
      </c>
      <c r="Z422" s="4">
        <v>1116338.79</v>
      </c>
      <c r="AA422" s="4">
        <v>30932578.640000001</v>
      </c>
      <c r="AB422" s="4">
        <v>1154274.77</v>
      </c>
      <c r="AC422" s="4">
        <v>68459403.640000001</v>
      </c>
      <c r="AD422" s="4">
        <v>6850911.9000000004</v>
      </c>
      <c r="AE422" s="4">
        <v>7122411.46</v>
      </c>
      <c r="AF422" s="4">
        <v>14659766.84</v>
      </c>
      <c r="AG422" s="4">
        <v>3218911.35</v>
      </c>
      <c r="AH422" s="4">
        <v>10139253.75</v>
      </c>
      <c r="AI422" s="4">
        <v>1255023.22</v>
      </c>
      <c r="AJ422" s="4">
        <v>0</v>
      </c>
      <c r="AK422" s="4">
        <v>1723419.95</v>
      </c>
      <c r="AL422" s="4">
        <v>2317549.16</v>
      </c>
      <c r="AM422" s="4">
        <v>3618941.13</v>
      </c>
      <c r="AN422" s="4">
        <v>7505699.3399999999</v>
      </c>
      <c r="AO422" s="4">
        <v>2741757.34</v>
      </c>
      <c r="AP422" s="4">
        <v>5058998.32</v>
      </c>
      <c r="AQ422" s="4">
        <v>4592087.5999999996</v>
      </c>
      <c r="AR422" s="4">
        <v>609476.31999999995</v>
      </c>
      <c r="AS422" s="4">
        <v>410562.14</v>
      </c>
      <c r="AT422" s="4">
        <v>931915.41</v>
      </c>
      <c r="AU422" s="4">
        <v>2797755.83</v>
      </c>
      <c r="AV422" s="4">
        <v>69070487.239999995</v>
      </c>
      <c r="AW422" s="4">
        <v>2078326.33</v>
      </c>
      <c r="AX422" s="4">
        <v>1074468.43</v>
      </c>
      <c r="AY422" s="4">
        <v>2866594.36</v>
      </c>
      <c r="AZ422" s="4">
        <v>6223891.6500000004</v>
      </c>
      <c r="BA422" s="4">
        <v>2837863.42</v>
      </c>
      <c r="BB422" s="4">
        <v>1092072.4099999999</v>
      </c>
      <c r="BC422" s="4">
        <v>2571372.08</v>
      </c>
      <c r="BD422" s="4">
        <v>25563208.879999999</v>
      </c>
      <c r="BE422" s="4">
        <v>1437715.5</v>
      </c>
      <c r="BF422" s="4">
        <v>499984.6</v>
      </c>
      <c r="BG422" s="4">
        <v>0</v>
      </c>
      <c r="BH422" s="4">
        <f t="shared" si="72"/>
        <v>403984785.53000003</v>
      </c>
    </row>
    <row r="423" spans="1:60" x14ac:dyDescent="0.2">
      <c r="A423" s="3">
        <v>34881</v>
      </c>
      <c r="B423" s="4">
        <v>11673713.23</v>
      </c>
      <c r="C423" s="4">
        <v>751395.68</v>
      </c>
      <c r="D423" s="4">
        <v>6046702.8099999996</v>
      </c>
      <c r="E423" s="4">
        <v>1384892.41</v>
      </c>
      <c r="F423" s="4">
        <v>1677818.37</v>
      </c>
      <c r="G423" s="4">
        <v>2372726.73</v>
      </c>
      <c r="H423" s="4">
        <v>2176601.87</v>
      </c>
      <c r="I423" s="4">
        <v>630626.77</v>
      </c>
      <c r="J423" s="4">
        <v>1808825.53</v>
      </c>
      <c r="K423" s="4">
        <v>1289256.8400000001</v>
      </c>
      <c r="L423" s="4">
        <v>1151528.07</v>
      </c>
      <c r="M423" s="4">
        <v>504722.58</v>
      </c>
      <c r="N423" s="4">
        <v>5350641.57</v>
      </c>
      <c r="O423" s="4">
        <v>27902821.43</v>
      </c>
      <c r="P423" s="4">
        <v>801024.84</v>
      </c>
      <c r="Q423" s="4">
        <v>649158.62</v>
      </c>
      <c r="R423" s="4">
        <v>620611.56000000006</v>
      </c>
      <c r="S423" s="4">
        <v>1315106.1000000001</v>
      </c>
      <c r="T423" s="4">
        <v>1021164.74</v>
      </c>
      <c r="U423" s="4">
        <v>117699.53</v>
      </c>
      <c r="V423" s="4">
        <v>1140574.57</v>
      </c>
      <c r="W423" s="4">
        <v>2373320.81</v>
      </c>
      <c r="X423" s="4">
        <v>286922.84999999998</v>
      </c>
      <c r="Y423" s="4">
        <v>868369.71</v>
      </c>
      <c r="Z423" s="4">
        <v>797183.12</v>
      </c>
      <c r="AA423" s="4">
        <v>23100486.390000001</v>
      </c>
      <c r="AB423" s="4">
        <v>790636.13</v>
      </c>
      <c r="AC423" s="4">
        <v>47273916.619999997</v>
      </c>
      <c r="AD423" s="4">
        <v>6249019.7699999996</v>
      </c>
      <c r="AE423" s="4">
        <v>4700754.1399999997</v>
      </c>
      <c r="AF423" s="4">
        <v>11522401.65</v>
      </c>
      <c r="AG423" s="4">
        <v>2001091</v>
      </c>
      <c r="AH423" s="4">
        <v>6580811.4699999997</v>
      </c>
      <c r="AI423" s="4">
        <v>595128.64</v>
      </c>
      <c r="AJ423" s="4">
        <v>0</v>
      </c>
      <c r="AK423" s="4">
        <v>1034073.01</v>
      </c>
      <c r="AL423" s="4">
        <v>1336881.43</v>
      </c>
      <c r="AM423" s="4">
        <v>2830741.17</v>
      </c>
      <c r="AN423" s="4">
        <v>5379453.5800000001</v>
      </c>
      <c r="AO423" s="4">
        <v>1825893.38</v>
      </c>
      <c r="AP423" s="4">
        <v>4221437.7</v>
      </c>
      <c r="AQ423" s="4">
        <v>2971589.19</v>
      </c>
      <c r="AR423" s="4">
        <v>409278.16</v>
      </c>
      <c r="AS423" s="4">
        <v>257990.81</v>
      </c>
      <c r="AT423" s="4">
        <v>454169.75</v>
      </c>
      <c r="AU423" s="4">
        <v>1811829.65</v>
      </c>
      <c r="AV423" s="4">
        <v>44744425.200000003</v>
      </c>
      <c r="AW423" s="4">
        <v>1493914.38</v>
      </c>
      <c r="AX423" s="4">
        <v>661357.22</v>
      </c>
      <c r="AY423" s="4">
        <v>1986841.08</v>
      </c>
      <c r="AZ423" s="4">
        <v>4017328.7</v>
      </c>
      <c r="BA423" s="4">
        <v>2292789.2200000002</v>
      </c>
      <c r="BB423" s="4">
        <v>649060.79</v>
      </c>
      <c r="BC423" s="4">
        <v>1442241.55</v>
      </c>
      <c r="BD423" s="4">
        <v>16752027.779999999</v>
      </c>
      <c r="BE423" s="4">
        <v>665542.06999999995</v>
      </c>
      <c r="BF423" s="4">
        <v>265477.52</v>
      </c>
      <c r="BG423" s="4">
        <v>0</v>
      </c>
      <c r="BH423" s="4">
        <f t="shared" si="72"/>
        <v>275031999.48999989</v>
      </c>
    </row>
    <row r="424" spans="1:60" x14ac:dyDescent="0.2">
      <c r="A424" s="3">
        <v>34912</v>
      </c>
      <c r="B424" s="4">
        <v>10974405.640000001</v>
      </c>
      <c r="C424" s="4">
        <v>790204.96</v>
      </c>
      <c r="D424" s="4">
        <v>5671166.4900000002</v>
      </c>
      <c r="E424" s="4">
        <v>1302284.6200000001</v>
      </c>
      <c r="F424" s="4">
        <v>1584447.13</v>
      </c>
      <c r="G424" s="4">
        <v>2246194.67</v>
      </c>
      <c r="H424" s="4">
        <v>1854980.4</v>
      </c>
      <c r="I424" s="4">
        <v>587878.56000000006</v>
      </c>
      <c r="J424" s="4">
        <v>1741559.4</v>
      </c>
      <c r="K424" s="4">
        <v>1217302.42</v>
      </c>
      <c r="L424" s="4">
        <v>1091176.8400000001</v>
      </c>
      <c r="M424" s="4">
        <v>452410.18</v>
      </c>
      <c r="N424" s="4">
        <v>4969176.1399999997</v>
      </c>
      <c r="O424" s="4">
        <v>25763239.260000002</v>
      </c>
      <c r="P424" s="4">
        <v>762230.98</v>
      </c>
      <c r="Q424" s="4">
        <v>592569.59</v>
      </c>
      <c r="R424" s="4">
        <v>585878.56999999995</v>
      </c>
      <c r="S424" s="4">
        <v>1217413.51</v>
      </c>
      <c r="T424" s="4">
        <v>933385.71</v>
      </c>
      <c r="U424" s="4">
        <v>105109.56</v>
      </c>
      <c r="V424" s="4">
        <v>1040697.51</v>
      </c>
      <c r="W424" s="4">
        <v>2192030.12</v>
      </c>
      <c r="X424" s="4">
        <v>282107.28999999998</v>
      </c>
      <c r="Y424" s="4">
        <v>828269.2</v>
      </c>
      <c r="Z424" s="4">
        <v>740816.84</v>
      </c>
      <c r="AA424" s="4">
        <v>21810097.800000001</v>
      </c>
      <c r="AB424" s="4">
        <v>755069.26</v>
      </c>
      <c r="AC424" s="4">
        <v>43899627.07</v>
      </c>
      <c r="AD424" s="4">
        <v>3866241.19</v>
      </c>
      <c r="AE424" s="4">
        <v>4439181.2699999996</v>
      </c>
      <c r="AF424" s="4">
        <v>10627060.43</v>
      </c>
      <c r="AG424" s="4">
        <v>1875112.7</v>
      </c>
      <c r="AH424" s="4">
        <v>6062051.9299999997</v>
      </c>
      <c r="AI424" s="4">
        <v>592852.44999999995</v>
      </c>
      <c r="AJ424" s="4">
        <v>0</v>
      </c>
      <c r="AK424" s="4">
        <v>934844.34</v>
      </c>
      <c r="AL424" s="4">
        <v>1197593.75</v>
      </c>
      <c r="AM424" s="4">
        <v>2652289.2999999998</v>
      </c>
      <c r="AN424" s="4">
        <v>5302411.9000000004</v>
      </c>
      <c r="AO424" s="4">
        <v>1723696.01</v>
      </c>
      <c r="AP424" s="4">
        <v>3635743.69</v>
      </c>
      <c r="AQ424" s="4">
        <v>2887581.42</v>
      </c>
      <c r="AR424" s="4">
        <v>366382.14</v>
      </c>
      <c r="AS424" s="4">
        <v>229592.03</v>
      </c>
      <c r="AT424" s="4">
        <v>471081.37</v>
      </c>
      <c r="AU424" s="4">
        <v>1764107.98</v>
      </c>
      <c r="AV424" s="4">
        <v>41122235.270000003</v>
      </c>
      <c r="AW424" s="4">
        <v>1351332.59</v>
      </c>
      <c r="AX424" s="4">
        <v>605965.31999999995</v>
      </c>
      <c r="AY424" s="4">
        <v>1829940.82</v>
      </c>
      <c r="AZ424" s="4">
        <v>3767824.22</v>
      </c>
      <c r="BA424" s="4">
        <v>2239673.06</v>
      </c>
      <c r="BB424" s="4">
        <v>638237.6</v>
      </c>
      <c r="BC424" s="4">
        <v>1337276.5900000001</v>
      </c>
      <c r="BD424" s="4">
        <v>15340665.08</v>
      </c>
      <c r="BE424" s="4">
        <v>616892.25</v>
      </c>
      <c r="BF424" s="4">
        <v>256278.2</v>
      </c>
      <c r="BG424" s="4">
        <v>0</v>
      </c>
      <c r="BH424" s="4">
        <f t="shared" si="72"/>
        <v>253725874.61999997</v>
      </c>
    </row>
    <row r="425" spans="1:60" x14ac:dyDescent="0.2">
      <c r="A425" s="3">
        <v>34943</v>
      </c>
      <c r="B425" s="4">
        <v>15499925.210000001</v>
      </c>
      <c r="C425" s="4">
        <v>1316528.8799999999</v>
      </c>
      <c r="D425" s="4">
        <v>6817373.8499999996</v>
      </c>
      <c r="E425" s="4">
        <v>2806908.02</v>
      </c>
      <c r="F425" s="4">
        <v>2761600.19</v>
      </c>
      <c r="G425" s="4">
        <v>4955648.95</v>
      </c>
      <c r="H425" s="4">
        <v>2939444.85</v>
      </c>
      <c r="I425" s="4">
        <v>991481.14</v>
      </c>
      <c r="J425" s="4">
        <v>2655583.65</v>
      </c>
      <c r="K425" s="4">
        <v>2315711.88</v>
      </c>
      <c r="L425" s="4">
        <v>1742920.34</v>
      </c>
      <c r="M425" s="4">
        <v>869873.52</v>
      </c>
      <c r="N425" s="4">
        <v>10397987.550000001</v>
      </c>
      <c r="O425" s="4">
        <v>43708027.359999999</v>
      </c>
      <c r="P425" s="4">
        <v>1380673.15</v>
      </c>
      <c r="Q425" s="4">
        <v>1254999.33</v>
      </c>
      <c r="R425" s="4">
        <v>969849.74</v>
      </c>
      <c r="S425" s="4">
        <v>2257440</v>
      </c>
      <c r="T425" s="4">
        <v>1864843.4</v>
      </c>
      <c r="U425" s="4">
        <v>408746.93</v>
      </c>
      <c r="V425" s="4">
        <v>2032169.71</v>
      </c>
      <c r="W425" s="4">
        <v>3703525.88</v>
      </c>
      <c r="X425" s="4">
        <v>466806.09</v>
      </c>
      <c r="Y425" s="4">
        <v>1726114.93</v>
      </c>
      <c r="Z425" s="4">
        <v>1208292.72</v>
      </c>
      <c r="AA425" s="4">
        <v>32581802.969999999</v>
      </c>
      <c r="AB425" s="4">
        <v>1244494.7</v>
      </c>
      <c r="AC425" s="4">
        <v>68934915.700000003</v>
      </c>
      <c r="AD425" s="4">
        <v>6787460.5</v>
      </c>
      <c r="AE425" s="4">
        <v>7281358.4400000004</v>
      </c>
      <c r="AF425" s="4">
        <v>16176572.08</v>
      </c>
      <c r="AG425" s="4">
        <v>3562625.87</v>
      </c>
      <c r="AH425" s="4">
        <v>11083348.710000001</v>
      </c>
      <c r="AI425" s="4">
        <v>1144609.25</v>
      </c>
      <c r="AJ425" s="4">
        <v>0</v>
      </c>
      <c r="AK425" s="4">
        <v>2037145.05</v>
      </c>
      <c r="AL425" s="4">
        <v>2353218.8199999998</v>
      </c>
      <c r="AM425" s="4">
        <v>4057289.87</v>
      </c>
      <c r="AN425" s="4">
        <v>7995724.6699999999</v>
      </c>
      <c r="AO425" s="4">
        <v>2811337.62</v>
      </c>
      <c r="AP425" s="4">
        <v>6062500.3799999999</v>
      </c>
      <c r="AQ425" s="4">
        <v>4530154.0599999996</v>
      </c>
      <c r="AR425" s="4">
        <v>867655.72</v>
      </c>
      <c r="AS425" s="4">
        <v>614350.34</v>
      </c>
      <c r="AT425" s="4">
        <v>1368180</v>
      </c>
      <c r="AU425" s="4">
        <v>3347481.61</v>
      </c>
      <c r="AV425" s="4">
        <v>74414326.319999993</v>
      </c>
      <c r="AW425" s="4">
        <v>2566044.6</v>
      </c>
      <c r="AX425" s="4">
        <v>1294554.17</v>
      </c>
      <c r="AY425" s="4">
        <v>3152324.61</v>
      </c>
      <c r="AZ425" s="4">
        <v>5703150.25</v>
      </c>
      <c r="BA425" s="4">
        <v>3634891.34</v>
      </c>
      <c r="BB425" s="4">
        <v>1042003.96</v>
      </c>
      <c r="BC425" s="4">
        <v>2719083.79</v>
      </c>
      <c r="BD425" s="4">
        <v>26127093.600000001</v>
      </c>
      <c r="BE425" s="4">
        <v>1648375.72</v>
      </c>
      <c r="BF425" s="4">
        <v>670618.93000000005</v>
      </c>
      <c r="BG425" s="4">
        <v>9660.1200000000008</v>
      </c>
      <c r="BH425" s="4">
        <f t="shared" si="72"/>
        <v>424876831.04000014</v>
      </c>
    </row>
    <row r="426" spans="1:60" x14ac:dyDescent="0.2">
      <c r="A426" s="3">
        <v>34973</v>
      </c>
      <c r="B426" s="4">
        <v>11854634.369999999</v>
      </c>
      <c r="C426" s="4">
        <v>738445.6</v>
      </c>
      <c r="D426" s="4">
        <v>5446770.0899999999</v>
      </c>
      <c r="E426" s="4">
        <v>1338445.6299999999</v>
      </c>
      <c r="F426" s="4">
        <v>1587267.81</v>
      </c>
      <c r="G426" s="4">
        <v>2209428.48</v>
      </c>
      <c r="H426" s="4">
        <v>1996126.03</v>
      </c>
      <c r="I426" s="4">
        <v>558471.76</v>
      </c>
      <c r="J426" s="4">
        <v>1792687.89</v>
      </c>
      <c r="K426" s="4">
        <v>1224657.57</v>
      </c>
      <c r="L426" s="4">
        <v>1088661.3600000001</v>
      </c>
      <c r="M426" s="4">
        <v>472226.06</v>
      </c>
      <c r="N426" s="4">
        <v>5621573.3700000001</v>
      </c>
      <c r="O426" s="4">
        <v>26432841.359999999</v>
      </c>
      <c r="P426" s="4">
        <v>741207.62</v>
      </c>
      <c r="Q426" s="4">
        <v>588643.67000000004</v>
      </c>
      <c r="R426" s="4">
        <v>572617.01</v>
      </c>
      <c r="S426" s="4">
        <v>1043778.37</v>
      </c>
      <c r="T426" s="4">
        <v>907187.62</v>
      </c>
      <c r="U426" s="4">
        <v>86571.39</v>
      </c>
      <c r="V426" s="4">
        <v>989140.65</v>
      </c>
      <c r="W426" s="4">
        <v>1997754</v>
      </c>
      <c r="X426" s="4">
        <v>302656.17</v>
      </c>
      <c r="Y426" s="4">
        <v>858788.32</v>
      </c>
      <c r="Z426" s="4">
        <v>773532.76</v>
      </c>
      <c r="AA426" s="4">
        <v>21777201.789999999</v>
      </c>
      <c r="AB426" s="4">
        <v>825327.15</v>
      </c>
      <c r="AC426" s="4">
        <v>45828757.18</v>
      </c>
      <c r="AD426" s="4">
        <v>3947060.64</v>
      </c>
      <c r="AE426" s="4">
        <v>4721567.58</v>
      </c>
      <c r="AF426" s="4">
        <v>11331697.15</v>
      </c>
      <c r="AG426" s="4">
        <v>1905782.4</v>
      </c>
      <c r="AH426" s="4">
        <v>6664388.3300000001</v>
      </c>
      <c r="AI426" s="4">
        <v>608028.98</v>
      </c>
      <c r="AJ426" s="4">
        <v>0</v>
      </c>
      <c r="AK426" s="4">
        <v>993042.58</v>
      </c>
      <c r="AL426" s="4">
        <v>1302390.96</v>
      </c>
      <c r="AM426" s="4">
        <v>2791017.58</v>
      </c>
      <c r="AN426" s="4">
        <v>5052737.5</v>
      </c>
      <c r="AO426" s="4">
        <v>1866418.92</v>
      </c>
      <c r="AP426" s="4">
        <v>3581443.6</v>
      </c>
      <c r="AQ426" s="4">
        <v>3084470.42</v>
      </c>
      <c r="AR426" s="4">
        <v>395507.79</v>
      </c>
      <c r="AS426" s="4">
        <v>200242.32</v>
      </c>
      <c r="AT426" s="4">
        <v>428340.42</v>
      </c>
      <c r="AU426" s="4">
        <v>1758249.01</v>
      </c>
      <c r="AV426" s="4">
        <v>41566487.590000004</v>
      </c>
      <c r="AW426" s="4">
        <v>1201711.44</v>
      </c>
      <c r="AX426" s="4">
        <v>707034.35</v>
      </c>
      <c r="AY426" s="4">
        <v>1920398.11</v>
      </c>
      <c r="AZ426" s="4">
        <v>3664593.54</v>
      </c>
      <c r="BA426" s="4">
        <v>1917566.92</v>
      </c>
      <c r="BB426" s="4">
        <v>637037.07999999996</v>
      </c>
      <c r="BC426" s="4">
        <v>1532260.61</v>
      </c>
      <c r="BD426" s="4">
        <v>16440909.130000001</v>
      </c>
      <c r="BE426" s="4">
        <v>669196.11</v>
      </c>
      <c r="BF426" s="4">
        <v>261638.39</v>
      </c>
      <c r="BG426" s="4">
        <v>0</v>
      </c>
      <c r="BH426" s="4">
        <f t="shared" si="72"/>
        <v>260806620.53</v>
      </c>
    </row>
    <row r="427" spans="1:60" x14ac:dyDescent="0.2">
      <c r="A427" s="3">
        <v>35004</v>
      </c>
      <c r="B427" s="4">
        <v>11995971.470000001</v>
      </c>
      <c r="C427" s="4">
        <v>718156.22</v>
      </c>
      <c r="D427" s="4">
        <v>5553040.0899999999</v>
      </c>
      <c r="E427" s="4">
        <v>1307999.97</v>
      </c>
      <c r="F427" s="4">
        <v>1613461.93</v>
      </c>
      <c r="G427" s="4">
        <v>2160355.17</v>
      </c>
      <c r="H427" s="4">
        <v>1965336.49</v>
      </c>
      <c r="I427" s="4">
        <v>562364.93000000005</v>
      </c>
      <c r="J427" s="4">
        <v>1792657.98</v>
      </c>
      <c r="K427" s="4">
        <v>1279939.49</v>
      </c>
      <c r="L427" s="4">
        <v>1126314.69</v>
      </c>
      <c r="M427" s="4">
        <v>471865.26</v>
      </c>
      <c r="N427" s="4">
        <v>5563164.1900000004</v>
      </c>
      <c r="O427" s="4">
        <v>26535082.100000001</v>
      </c>
      <c r="P427" s="4">
        <v>682670.79</v>
      </c>
      <c r="Q427" s="4">
        <v>596478.11</v>
      </c>
      <c r="R427" s="4">
        <v>582874.69999999995</v>
      </c>
      <c r="S427" s="4">
        <v>1068051.42</v>
      </c>
      <c r="T427" s="4">
        <v>864280.45</v>
      </c>
      <c r="U427" s="4">
        <v>81869.98</v>
      </c>
      <c r="V427" s="4">
        <v>984488.1</v>
      </c>
      <c r="W427" s="4">
        <v>2035315.21</v>
      </c>
      <c r="X427" s="4">
        <v>311262.09999999998</v>
      </c>
      <c r="Y427" s="4">
        <v>896070.65</v>
      </c>
      <c r="Z427" s="4">
        <v>772683.44</v>
      </c>
      <c r="AA427" s="4">
        <v>21905232.539999999</v>
      </c>
      <c r="AB427" s="4">
        <v>824165.39</v>
      </c>
      <c r="AC427" s="4">
        <v>45651615.149999999</v>
      </c>
      <c r="AD427" s="4">
        <v>3902177.26</v>
      </c>
      <c r="AE427" s="4">
        <v>4779693.83</v>
      </c>
      <c r="AF427" s="4">
        <v>11518289.42</v>
      </c>
      <c r="AG427" s="4">
        <v>1913185.38</v>
      </c>
      <c r="AH427" s="4">
        <v>6729840.8700000001</v>
      </c>
      <c r="AI427" s="4">
        <v>610748.22</v>
      </c>
      <c r="AJ427" s="4">
        <v>0</v>
      </c>
      <c r="AK427" s="4">
        <v>963439.29</v>
      </c>
      <c r="AL427" s="4">
        <v>1303762.03</v>
      </c>
      <c r="AM427" s="4">
        <v>2779750.42</v>
      </c>
      <c r="AN427" s="4">
        <v>5026334.2</v>
      </c>
      <c r="AO427" s="4">
        <v>1875708.38</v>
      </c>
      <c r="AP427" s="4">
        <v>3568482.5</v>
      </c>
      <c r="AQ427" s="4">
        <v>3035165.77</v>
      </c>
      <c r="AR427" s="4">
        <v>396878.94</v>
      </c>
      <c r="AS427" s="4">
        <v>203868.52</v>
      </c>
      <c r="AT427" s="4">
        <v>434129.67</v>
      </c>
      <c r="AU427" s="4">
        <v>1717044.3</v>
      </c>
      <c r="AV427" s="4">
        <v>41820493.939999998</v>
      </c>
      <c r="AW427" s="4">
        <v>1167466.2</v>
      </c>
      <c r="AX427" s="4">
        <v>732318.66</v>
      </c>
      <c r="AY427" s="4">
        <v>1965815.97</v>
      </c>
      <c r="AZ427" s="4">
        <v>3714005.24</v>
      </c>
      <c r="BA427" s="4">
        <v>1812490.74</v>
      </c>
      <c r="BB427" s="4">
        <v>612217.1</v>
      </c>
      <c r="BC427" s="4">
        <v>1321758.8799999999</v>
      </c>
      <c r="BD427" s="4">
        <v>16578333.67</v>
      </c>
      <c r="BE427" s="4">
        <v>663511.44999999995</v>
      </c>
      <c r="BF427" s="4">
        <v>259657.47</v>
      </c>
      <c r="BG427" s="4">
        <v>0</v>
      </c>
      <c r="BH427" s="4">
        <f t="shared" si="72"/>
        <v>261309336.32999992</v>
      </c>
    </row>
    <row r="428" spans="1:60" x14ac:dyDescent="0.2">
      <c r="A428" s="3">
        <v>35034</v>
      </c>
      <c r="B428" s="4">
        <v>18994380.399999999</v>
      </c>
      <c r="C428" s="4">
        <v>1389759.76</v>
      </c>
      <c r="D428" s="4">
        <v>8574830.3900000006</v>
      </c>
      <c r="E428" s="4">
        <v>2759293.87</v>
      </c>
      <c r="F428" s="4">
        <v>2530264.94</v>
      </c>
      <c r="G428" s="4">
        <v>4257478</v>
      </c>
      <c r="H428" s="4">
        <v>3428282.45</v>
      </c>
      <c r="I428" s="4">
        <v>1100966.3799999999</v>
      </c>
      <c r="J428" s="4">
        <v>2596840.64</v>
      </c>
      <c r="K428" s="4">
        <v>2319765.83</v>
      </c>
      <c r="L428" s="4">
        <v>1997223.92</v>
      </c>
      <c r="M428" s="4">
        <v>756889.73</v>
      </c>
      <c r="N428" s="4">
        <v>8608053.3699999992</v>
      </c>
      <c r="O428" s="4">
        <v>44760006.090000004</v>
      </c>
      <c r="P428" s="4">
        <v>1491865.99</v>
      </c>
      <c r="Q428" s="4">
        <v>1031171.52</v>
      </c>
      <c r="R428" s="4">
        <v>906435.99</v>
      </c>
      <c r="S428" s="4">
        <v>1891248.84</v>
      </c>
      <c r="T428" s="4">
        <v>1837568.14</v>
      </c>
      <c r="U428" s="4">
        <v>245746.34</v>
      </c>
      <c r="V428" s="4">
        <v>2076486.76</v>
      </c>
      <c r="W428" s="4">
        <v>3772733.26</v>
      </c>
      <c r="X428" s="4">
        <v>493145.22</v>
      </c>
      <c r="Y428" s="4">
        <v>1521943.63</v>
      </c>
      <c r="Z428" s="4">
        <v>1122108.08</v>
      </c>
      <c r="AA428" s="4">
        <v>35996249.969999999</v>
      </c>
      <c r="AB428" s="4">
        <v>1086071.3799999999</v>
      </c>
      <c r="AC428" s="4">
        <v>77128542.379999995</v>
      </c>
      <c r="AD428" s="4">
        <v>6406239.1399999997</v>
      </c>
      <c r="AE428" s="4">
        <v>7227598.1299999999</v>
      </c>
      <c r="AF428" s="4">
        <v>16785035.309999999</v>
      </c>
      <c r="AG428" s="4">
        <v>4019271.82</v>
      </c>
      <c r="AH428" s="4">
        <v>10903359.460000001</v>
      </c>
      <c r="AI428" s="4">
        <v>1137397.94</v>
      </c>
      <c r="AJ428" s="4">
        <v>0</v>
      </c>
      <c r="AK428" s="4">
        <v>1976999.56</v>
      </c>
      <c r="AL428" s="4">
        <v>2232134.4900000002</v>
      </c>
      <c r="AM428" s="4">
        <v>4460278.6900000004</v>
      </c>
      <c r="AN428" s="4">
        <v>7715414.1699999999</v>
      </c>
      <c r="AO428" s="4">
        <v>2581915.17</v>
      </c>
      <c r="AP428" s="4">
        <v>5783508.5</v>
      </c>
      <c r="AQ428" s="4">
        <v>4155329.83</v>
      </c>
      <c r="AR428" s="4">
        <v>980881.24</v>
      </c>
      <c r="AS428" s="4">
        <v>442904.81</v>
      </c>
      <c r="AT428" s="4">
        <v>1247055.57</v>
      </c>
      <c r="AU428" s="4">
        <v>3200118.52</v>
      </c>
      <c r="AV428" s="4">
        <v>70018803.939999998</v>
      </c>
      <c r="AW428" s="4">
        <v>1751480.6</v>
      </c>
      <c r="AX428" s="4">
        <v>1064001.05</v>
      </c>
      <c r="AY428" s="4">
        <v>3324709.12</v>
      </c>
      <c r="AZ428" s="4">
        <v>6712050.46</v>
      </c>
      <c r="BA428" s="4">
        <v>2680758.9300000002</v>
      </c>
      <c r="BB428" s="4">
        <v>1072659.76</v>
      </c>
      <c r="BC428" s="4">
        <v>2216675.36</v>
      </c>
      <c r="BD428" s="4">
        <v>28046867.890000001</v>
      </c>
      <c r="BE428" s="4">
        <v>1112021.42</v>
      </c>
      <c r="BF428" s="4">
        <v>528931.80000000005</v>
      </c>
      <c r="BG428" s="4">
        <v>10419.709999999999</v>
      </c>
      <c r="BH428" s="4">
        <f t="shared" si="72"/>
        <v>434470175.65999997</v>
      </c>
    </row>
    <row r="429" spans="1:60" ht="15.75" thickBot="1" x14ac:dyDescent="0.25">
      <c r="A429" s="3" t="s">
        <v>10</v>
      </c>
      <c r="B429" s="5">
        <f t="shared" ref="B429:AG429" si="73">SUM(B417:B428)</f>
        <v>159104845.03000003</v>
      </c>
      <c r="C429" s="5">
        <f t="shared" si="73"/>
        <v>11920478.42</v>
      </c>
      <c r="D429" s="5">
        <f t="shared" si="73"/>
        <v>72983705.87000002</v>
      </c>
      <c r="E429" s="5">
        <f t="shared" si="73"/>
        <v>20898126.16</v>
      </c>
      <c r="F429" s="5">
        <f t="shared" si="73"/>
        <v>22613499.75</v>
      </c>
      <c r="G429" s="5">
        <f t="shared" si="73"/>
        <v>34257104.969999999</v>
      </c>
      <c r="H429" s="5">
        <f t="shared" si="73"/>
        <v>27599700.889999997</v>
      </c>
      <c r="I429" s="5">
        <f t="shared" si="73"/>
        <v>8601344.0299999993</v>
      </c>
      <c r="J429" s="5">
        <f t="shared" si="73"/>
        <v>23776717.770000003</v>
      </c>
      <c r="K429" s="5">
        <f t="shared" si="73"/>
        <v>17143906.669999998</v>
      </c>
      <c r="L429" s="5">
        <f t="shared" si="73"/>
        <v>15553023.909999998</v>
      </c>
      <c r="M429" s="5">
        <f t="shared" si="73"/>
        <v>6662058.8699999992</v>
      </c>
      <c r="N429" s="5">
        <f t="shared" si="73"/>
        <v>77700050.660000011</v>
      </c>
      <c r="O429" s="5">
        <f t="shared" si="73"/>
        <v>379287426.08000004</v>
      </c>
      <c r="P429" s="5">
        <f t="shared" si="73"/>
        <v>10052841.42</v>
      </c>
      <c r="Q429" s="5">
        <f t="shared" si="73"/>
        <v>8501987.0899999999</v>
      </c>
      <c r="R429" s="5">
        <f t="shared" si="73"/>
        <v>8212326.6300000008</v>
      </c>
      <c r="S429" s="5">
        <f t="shared" si="73"/>
        <v>16530778.109999999</v>
      </c>
      <c r="T429" s="5">
        <f t="shared" si="73"/>
        <v>13864390.390000001</v>
      </c>
      <c r="U429" s="5">
        <f t="shared" si="73"/>
        <v>1690231.51</v>
      </c>
      <c r="V429" s="5">
        <f t="shared" si="73"/>
        <v>14950443.179999998</v>
      </c>
      <c r="W429" s="5">
        <f t="shared" si="73"/>
        <v>29677242.560000002</v>
      </c>
      <c r="X429" s="5">
        <f t="shared" si="73"/>
        <v>4291030.93</v>
      </c>
      <c r="Y429" s="5">
        <f t="shared" si="73"/>
        <v>12487772.640000001</v>
      </c>
      <c r="Z429" s="5">
        <f t="shared" si="73"/>
        <v>10384188.41</v>
      </c>
      <c r="AA429" s="5">
        <f t="shared" si="73"/>
        <v>302026642.75999999</v>
      </c>
      <c r="AB429" s="5">
        <f t="shared" si="73"/>
        <v>10542838.75</v>
      </c>
      <c r="AC429" s="5">
        <f t="shared" si="73"/>
        <v>641487149.29999995</v>
      </c>
      <c r="AD429" s="5">
        <f t="shared" si="73"/>
        <v>57288315.689999998</v>
      </c>
      <c r="AE429" s="5">
        <f t="shared" si="73"/>
        <v>63542242.18999999</v>
      </c>
      <c r="AF429" s="5">
        <f t="shared" si="73"/>
        <v>151566754.33000001</v>
      </c>
      <c r="AG429" s="5">
        <f t="shared" si="73"/>
        <v>28510554.189999998</v>
      </c>
      <c r="AH429" s="5">
        <f t="shared" ref="AH429:BG429" si="74">SUM(AH417:AH428)</f>
        <v>90902962</v>
      </c>
      <c r="AI429" s="5">
        <f t="shared" si="74"/>
        <v>9396967.3399999999</v>
      </c>
      <c r="AJ429" s="5">
        <f t="shared" si="74"/>
        <v>0</v>
      </c>
      <c r="AK429" s="5">
        <f t="shared" si="74"/>
        <v>14536036.180000002</v>
      </c>
      <c r="AL429" s="5">
        <f t="shared" si="74"/>
        <v>18836484.350000001</v>
      </c>
      <c r="AM429" s="5">
        <f t="shared" si="74"/>
        <v>36873227.839999996</v>
      </c>
      <c r="AN429" s="5">
        <f t="shared" si="74"/>
        <v>71815646.629999995</v>
      </c>
      <c r="AO429" s="5">
        <f t="shared" si="74"/>
        <v>24465919.359999992</v>
      </c>
      <c r="AP429" s="5">
        <f t="shared" si="74"/>
        <v>49419003.630000003</v>
      </c>
      <c r="AQ429" s="5">
        <f t="shared" si="74"/>
        <v>41559739.339999996</v>
      </c>
      <c r="AR429" s="5">
        <f t="shared" si="74"/>
        <v>5912996.1600000011</v>
      </c>
      <c r="AS429" s="5">
        <f t="shared" si="74"/>
        <v>3359973.18</v>
      </c>
      <c r="AT429" s="5">
        <f t="shared" si="74"/>
        <v>7631351.3800000008</v>
      </c>
      <c r="AU429" s="5">
        <f t="shared" si="74"/>
        <v>25437712.620000001</v>
      </c>
      <c r="AV429" s="5">
        <f t="shared" si="74"/>
        <v>597556908.23999989</v>
      </c>
      <c r="AW429" s="5">
        <f t="shared" si="74"/>
        <v>17205461.739999998</v>
      </c>
      <c r="AX429" s="5">
        <f t="shared" si="74"/>
        <v>9847573.6899999995</v>
      </c>
      <c r="AY429" s="5">
        <f t="shared" si="74"/>
        <v>27219958.819999997</v>
      </c>
      <c r="AZ429" s="5">
        <f t="shared" si="74"/>
        <v>53045903.550000004</v>
      </c>
      <c r="BA429" s="5">
        <f t="shared" si="74"/>
        <v>25477757.179999996</v>
      </c>
      <c r="BB429" s="5">
        <f t="shared" si="74"/>
        <v>8845486.2699999996</v>
      </c>
      <c r="BC429" s="5">
        <f t="shared" si="74"/>
        <v>19779896.109999999</v>
      </c>
      <c r="BD429" s="5">
        <f t="shared" si="74"/>
        <v>233642636.02999997</v>
      </c>
      <c r="BE429" s="5">
        <f t="shared" si="74"/>
        <v>9943414.5800000001</v>
      </c>
      <c r="BF429" s="5">
        <f t="shared" si="74"/>
        <v>4048167.1600000011</v>
      </c>
      <c r="BG429" s="5">
        <f t="shared" si="74"/>
        <v>38842.980000000003</v>
      </c>
      <c r="BH429" s="5">
        <f t="shared" si="72"/>
        <v>3670509745.52</v>
      </c>
    </row>
    <row r="430" spans="1:60" ht="15.75" thickTop="1" x14ac:dyDescent="0.2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</row>
    <row r="431" spans="1:60" x14ac:dyDescent="0.2">
      <c r="A431" s="3">
        <v>34335</v>
      </c>
      <c r="B431" s="4">
        <v>11687328.970000001</v>
      </c>
      <c r="C431" s="4">
        <v>796285.67</v>
      </c>
      <c r="D431" s="4">
        <v>4384111.45</v>
      </c>
      <c r="E431" s="4">
        <v>1507393.03</v>
      </c>
      <c r="F431" s="4">
        <v>1602470.38</v>
      </c>
      <c r="G431" s="4">
        <v>2210774.5</v>
      </c>
      <c r="H431" s="4">
        <v>1914592.09</v>
      </c>
      <c r="I431" s="4">
        <v>556567.81999999995</v>
      </c>
      <c r="J431" s="4">
        <v>1756035.2</v>
      </c>
      <c r="K431" s="4">
        <v>810253.57</v>
      </c>
      <c r="L431" s="4">
        <v>995597.21</v>
      </c>
      <c r="M431" s="4">
        <v>452482.53</v>
      </c>
      <c r="N431" s="4">
        <v>5798202.0199999996</v>
      </c>
      <c r="O431" s="4">
        <v>27618068.780000001</v>
      </c>
      <c r="P431" s="4">
        <v>610756.66</v>
      </c>
      <c r="Q431" s="4">
        <v>600684.56999999995</v>
      </c>
      <c r="R431" s="4">
        <v>544079.93999999994</v>
      </c>
      <c r="S431" s="4">
        <v>681901.34</v>
      </c>
      <c r="T431" s="4">
        <v>885842.53</v>
      </c>
      <c r="U431" s="4">
        <v>61845.279999999999</v>
      </c>
      <c r="V431" s="4">
        <v>696045.65</v>
      </c>
      <c r="W431" s="4">
        <v>1946325.57</v>
      </c>
      <c r="X431" s="4">
        <v>226015.08</v>
      </c>
      <c r="Y431" s="4">
        <v>687208.84</v>
      </c>
      <c r="Z431" s="4">
        <v>654304.80000000005</v>
      </c>
      <c r="AA431" s="4">
        <v>20885099.370000001</v>
      </c>
      <c r="AB431" s="4">
        <v>580497.55000000005</v>
      </c>
      <c r="AC431" s="4">
        <v>48326715.759999998</v>
      </c>
      <c r="AD431" s="4">
        <v>3992017.68</v>
      </c>
      <c r="AE431" s="4">
        <v>4467634.59</v>
      </c>
      <c r="AF431" s="4">
        <v>11322943.869999999</v>
      </c>
      <c r="AG431" s="4">
        <v>1768390.89</v>
      </c>
      <c r="AH431" s="4">
        <v>5584364.3300000001</v>
      </c>
      <c r="AI431" s="4">
        <v>609900.89</v>
      </c>
      <c r="AJ431" s="4">
        <v>0</v>
      </c>
      <c r="AK431" s="4">
        <v>871553.66</v>
      </c>
      <c r="AL431" s="4">
        <v>1166133.9099999999</v>
      </c>
      <c r="AM431" s="4">
        <v>2065662.38</v>
      </c>
      <c r="AN431" s="4">
        <v>5210426.91</v>
      </c>
      <c r="AO431" s="4">
        <v>1746153.68</v>
      </c>
      <c r="AP431" s="4">
        <v>3251863.48</v>
      </c>
      <c r="AQ431" s="4">
        <v>3299897.24</v>
      </c>
      <c r="AR431" s="4">
        <v>334335.19</v>
      </c>
      <c r="AS431" s="4">
        <v>178981.2</v>
      </c>
      <c r="AT431" s="4">
        <v>401283.81</v>
      </c>
      <c r="AU431" s="4">
        <v>1679183.1</v>
      </c>
      <c r="AV431" s="4">
        <v>42530559.740000002</v>
      </c>
      <c r="AW431" s="4">
        <v>1111406.8899999999</v>
      </c>
      <c r="AX431" s="4">
        <v>606536.62</v>
      </c>
      <c r="AY431" s="4">
        <v>1907066.96</v>
      </c>
      <c r="AZ431" s="4">
        <v>3716957.92</v>
      </c>
      <c r="BA431" s="4">
        <v>1519406.13</v>
      </c>
      <c r="BB431" s="4">
        <v>566130.30000000005</v>
      </c>
      <c r="BC431" s="4">
        <v>1177416.95</v>
      </c>
      <c r="BD431" s="4">
        <v>18135260</v>
      </c>
      <c r="BE431" s="4">
        <v>522865.06</v>
      </c>
      <c r="BF431" s="4">
        <v>220558.75</v>
      </c>
      <c r="BG431" s="4">
        <v>41766.879999999997</v>
      </c>
      <c r="BH431" s="4">
        <f t="shared" ref="BH431:BH443" si="75">SUM(B431:BG431)</f>
        <v>259484145.16999996</v>
      </c>
    </row>
    <row r="432" spans="1:60" x14ac:dyDescent="0.2">
      <c r="A432" s="3">
        <v>34366</v>
      </c>
      <c r="B432" s="4">
        <v>8816619.9000000004</v>
      </c>
      <c r="C432" s="4">
        <v>591872.24</v>
      </c>
      <c r="D432" s="4">
        <v>3285043.74</v>
      </c>
      <c r="E432" s="4">
        <v>1103386.42</v>
      </c>
      <c r="F432" s="4">
        <v>1210837.18</v>
      </c>
      <c r="G432" s="4">
        <v>1667395.89</v>
      </c>
      <c r="H432" s="4">
        <v>1460043.31</v>
      </c>
      <c r="I432" s="4">
        <v>423800.04</v>
      </c>
      <c r="J432" s="4">
        <v>1296153.31</v>
      </c>
      <c r="K432" s="4">
        <v>640534.31000000006</v>
      </c>
      <c r="L432" s="4">
        <v>746578.72</v>
      </c>
      <c r="M432" s="4">
        <v>319014.63</v>
      </c>
      <c r="N432" s="4">
        <v>4357096.37</v>
      </c>
      <c r="O432" s="4">
        <v>21099320.739999998</v>
      </c>
      <c r="P432" s="4">
        <v>480032.7</v>
      </c>
      <c r="Q432" s="4">
        <v>472739.69</v>
      </c>
      <c r="R432" s="4">
        <v>422433.39</v>
      </c>
      <c r="S432" s="4">
        <v>517780.88</v>
      </c>
      <c r="T432" s="4">
        <v>685319.64</v>
      </c>
      <c r="U432" s="4">
        <v>51578.91</v>
      </c>
      <c r="V432" s="4">
        <v>674415.55</v>
      </c>
      <c r="W432" s="4">
        <v>1501167.66</v>
      </c>
      <c r="X432" s="4">
        <v>179568.62</v>
      </c>
      <c r="Y432" s="4">
        <v>542667.96</v>
      </c>
      <c r="Z432" s="4">
        <v>514780.22</v>
      </c>
      <c r="AA432" s="4">
        <v>15797703.880000001</v>
      </c>
      <c r="AB432" s="4">
        <v>443159.49</v>
      </c>
      <c r="AC432" s="4">
        <v>36032465.710000001</v>
      </c>
      <c r="AD432" s="4">
        <v>3081521.75</v>
      </c>
      <c r="AE432" s="4">
        <v>3374869.85</v>
      </c>
      <c r="AF432" s="4">
        <v>8461296.0700000003</v>
      </c>
      <c r="AG432" s="4">
        <v>1312421.6299999999</v>
      </c>
      <c r="AH432" s="4">
        <v>4311768.5199999996</v>
      </c>
      <c r="AI432" s="4">
        <v>452528.35</v>
      </c>
      <c r="AJ432" s="4">
        <v>0</v>
      </c>
      <c r="AK432" s="4">
        <v>650994.82999999996</v>
      </c>
      <c r="AL432" s="4">
        <v>829734.75</v>
      </c>
      <c r="AM432" s="4">
        <v>1541907.72</v>
      </c>
      <c r="AN432" s="4">
        <v>3913394.42</v>
      </c>
      <c r="AO432" s="4">
        <v>1356204.75</v>
      </c>
      <c r="AP432" s="4">
        <v>2451588.9300000002</v>
      </c>
      <c r="AQ432" s="4">
        <v>2437363.1800000002</v>
      </c>
      <c r="AR432" s="4">
        <v>262728.90999999997</v>
      </c>
      <c r="AS432" s="4">
        <v>128683.67</v>
      </c>
      <c r="AT432" s="4">
        <v>311082.64</v>
      </c>
      <c r="AU432" s="4">
        <v>1342081.75</v>
      </c>
      <c r="AV432" s="4">
        <v>31399572.18</v>
      </c>
      <c r="AW432" s="4">
        <v>868620.01</v>
      </c>
      <c r="AX432" s="4">
        <v>461020.04</v>
      </c>
      <c r="AY432" s="4">
        <v>1444639.3</v>
      </c>
      <c r="AZ432" s="4">
        <v>2796286.66</v>
      </c>
      <c r="BA432" s="4">
        <v>1148067.29</v>
      </c>
      <c r="BB432" s="4">
        <v>422061.52</v>
      </c>
      <c r="BC432" s="4">
        <v>922731.67</v>
      </c>
      <c r="BD432" s="4">
        <v>13411941.76</v>
      </c>
      <c r="BE432" s="4">
        <v>379409.75</v>
      </c>
      <c r="BF432" s="4">
        <v>171190.89</v>
      </c>
      <c r="BG432" s="4">
        <v>29877.919999999998</v>
      </c>
      <c r="BH432" s="4">
        <f t="shared" si="75"/>
        <v>195009101.80999988</v>
      </c>
    </row>
    <row r="433" spans="1:60" x14ac:dyDescent="0.2">
      <c r="A433" s="3">
        <v>34394</v>
      </c>
      <c r="B433" s="4">
        <v>16585932.84</v>
      </c>
      <c r="C433" s="4">
        <v>1371891.63</v>
      </c>
      <c r="D433" s="4">
        <v>6213997.3399999999</v>
      </c>
      <c r="E433" s="4">
        <v>2173132.3199999998</v>
      </c>
      <c r="F433" s="4">
        <v>1935454.55</v>
      </c>
      <c r="G433" s="4">
        <v>3558085.26</v>
      </c>
      <c r="H433" s="4">
        <v>3105686.13</v>
      </c>
      <c r="I433" s="4">
        <v>690401.56</v>
      </c>
      <c r="J433" s="4">
        <v>2667653.17</v>
      </c>
      <c r="K433" s="4">
        <v>1408846.66</v>
      </c>
      <c r="L433" s="4">
        <v>1498666.68</v>
      </c>
      <c r="M433" s="4">
        <v>759955.71</v>
      </c>
      <c r="N433" s="4">
        <v>6725056.6200000001</v>
      </c>
      <c r="O433" s="4">
        <v>37468048.969999999</v>
      </c>
      <c r="P433" s="4">
        <v>1099716.93</v>
      </c>
      <c r="Q433" s="4">
        <v>910428.47</v>
      </c>
      <c r="R433" s="4">
        <v>747475.93</v>
      </c>
      <c r="S433" s="4">
        <v>1267585.52</v>
      </c>
      <c r="T433" s="4">
        <v>1414945.12</v>
      </c>
      <c r="U433" s="4">
        <v>176081.37</v>
      </c>
      <c r="V433" s="4">
        <v>1216797.79</v>
      </c>
      <c r="W433" s="4">
        <v>2854732.62</v>
      </c>
      <c r="X433" s="4">
        <v>470638.08000000002</v>
      </c>
      <c r="Y433" s="4">
        <v>1403556.02</v>
      </c>
      <c r="Z433" s="4">
        <v>1325436.31</v>
      </c>
      <c r="AA433" s="4">
        <v>30232119.440000001</v>
      </c>
      <c r="AB433" s="4">
        <v>899373.62</v>
      </c>
      <c r="AC433" s="4">
        <v>56030245.649999999</v>
      </c>
      <c r="AD433" s="4">
        <v>4827178.0599999996</v>
      </c>
      <c r="AE433" s="4">
        <v>7000798.9400000004</v>
      </c>
      <c r="AF433" s="4">
        <v>15787374.390000001</v>
      </c>
      <c r="AG433" s="4">
        <v>3017191.01</v>
      </c>
      <c r="AH433" s="4">
        <v>8599281.4700000007</v>
      </c>
      <c r="AI433" s="4">
        <v>908922.2</v>
      </c>
      <c r="AJ433" s="4">
        <v>0</v>
      </c>
      <c r="AK433" s="4">
        <v>1302454.6599999999</v>
      </c>
      <c r="AL433" s="4">
        <v>1756908.22</v>
      </c>
      <c r="AM433" s="4">
        <v>3198172.83</v>
      </c>
      <c r="AN433" s="4">
        <v>6893941.1799999997</v>
      </c>
      <c r="AO433" s="4">
        <v>2450198.33</v>
      </c>
      <c r="AP433" s="4">
        <v>4956294.62</v>
      </c>
      <c r="AQ433" s="4">
        <v>4966311.2699999996</v>
      </c>
      <c r="AR433" s="4">
        <v>582478.96</v>
      </c>
      <c r="AS433" s="4">
        <v>342567.48</v>
      </c>
      <c r="AT433" s="4">
        <v>674206.6</v>
      </c>
      <c r="AU433" s="4">
        <v>2560999.0099999998</v>
      </c>
      <c r="AV433" s="4">
        <v>52332765.329999998</v>
      </c>
      <c r="AW433" s="4">
        <v>1428155</v>
      </c>
      <c r="AX433" s="4">
        <v>2896321.89</v>
      </c>
      <c r="AY433" s="4">
        <v>3094412.51</v>
      </c>
      <c r="AZ433" s="4">
        <v>5205051.0599999996</v>
      </c>
      <c r="BA433" s="4">
        <v>2222513.7400000002</v>
      </c>
      <c r="BB433" s="4">
        <v>915105.68</v>
      </c>
      <c r="BC433" s="4">
        <v>1866189.99</v>
      </c>
      <c r="BD433" s="4">
        <v>21383563.579999998</v>
      </c>
      <c r="BE433" s="4">
        <v>1054008</v>
      </c>
      <c r="BF433" s="4">
        <v>395115.24</v>
      </c>
      <c r="BG433" s="4">
        <v>0</v>
      </c>
      <c r="BH433" s="4">
        <f t="shared" si="75"/>
        <v>348830423.56000006</v>
      </c>
    </row>
    <row r="434" spans="1:60" x14ac:dyDescent="0.2">
      <c r="A434" s="3">
        <v>34425</v>
      </c>
      <c r="B434" s="4">
        <v>10095815.23</v>
      </c>
      <c r="C434" s="4">
        <v>705767.53</v>
      </c>
      <c r="D434" s="4">
        <v>5205156.17</v>
      </c>
      <c r="E434" s="4">
        <v>1189604.3500000001</v>
      </c>
      <c r="F434" s="4">
        <v>1501304.96</v>
      </c>
      <c r="G434" s="4">
        <v>2017010.45</v>
      </c>
      <c r="H434" s="4">
        <v>1612938.53</v>
      </c>
      <c r="I434" s="4">
        <v>556230.56000000006</v>
      </c>
      <c r="J434" s="4">
        <v>1532620.1</v>
      </c>
      <c r="K434" s="4">
        <v>800910.02</v>
      </c>
      <c r="L434" s="4">
        <v>857650.91</v>
      </c>
      <c r="M434" s="4">
        <v>448832.87</v>
      </c>
      <c r="N434" s="4">
        <v>4574612.93</v>
      </c>
      <c r="O434" s="4">
        <v>24388500.190000001</v>
      </c>
      <c r="P434" s="4">
        <v>567745.36</v>
      </c>
      <c r="Q434" s="4">
        <v>561565.06999999995</v>
      </c>
      <c r="R434" s="4">
        <v>519731.65</v>
      </c>
      <c r="S434" s="4">
        <v>796280.17</v>
      </c>
      <c r="T434" s="4">
        <v>772111.26</v>
      </c>
      <c r="U434" s="4">
        <v>62980.959999999999</v>
      </c>
      <c r="V434" s="4">
        <v>695585.17</v>
      </c>
      <c r="W434" s="4">
        <v>1846758.42</v>
      </c>
      <c r="X434" s="4">
        <v>230874.78</v>
      </c>
      <c r="Y434" s="4">
        <v>735442.16</v>
      </c>
      <c r="Z434" s="4">
        <v>688116.56</v>
      </c>
      <c r="AA434" s="4">
        <v>19410048.460000001</v>
      </c>
      <c r="AB434" s="4">
        <v>634517.69999999995</v>
      </c>
      <c r="AC434" s="4">
        <v>42308950.630000003</v>
      </c>
      <c r="AD434" s="4">
        <v>3749047.2</v>
      </c>
      <c r="AE434" s="4">
        <v>4165920.8</v>
      </c>
      <c r="AF434" s="4">
        <v>10347110.66</v>
      </c>
      <c r="AG434" s="4">
        <v>1690152.15</v>
      </c>
      <c r="AH434" s="4">
        <v>5643720.4400000004</v>
      </c>
      <c r="AI434" s="4">
        <v>561323.23</v>
      </c>
      <c r="AJ434" s="4">
        <v>0</v>
      </c>
      <c r="AK434" s="4">
        <v>851498.33</v>
      </c>
      <c r="AL434" s="4">
        <v>1134881.67</v>
      </c>
      <c r="AM434" s="4">
        <v>2102155.39</v>
      </c>
      <c r="AN434" s="4">
        <v>4809443.6399999997</v>
      </c>
      <c r="AO434" s="4">
        <v>1573528.79</v>
      </c>
      <c r="AP434" s="4">
        <v>3131997.93</v>
      </c>
      <c r="AQ434" s="4">
        <v>3115668.94</v>
      </c>
      <c r="AR434" s="4">
        <v>344020.47</v>
      </c>
      <c r="AS434" s="4">
        <v>188650.08</v>
      </c>
      <c r="AT434" s="4">
        <v>389865.3</v>
      </c>
      <c r="AU434" s="4">
        <v>1542559.9</v>
      </c>
      <c r="AV434" s="4">
        <v>38671941.990000002</v>
      </c>
      <c r="AW434" s="4">
        <v>1020736.22</v>
      </c>
      <c r="AX434" s="4">
        <v>716957.11</v>
      </c>
      <c r="AY434" s="4">
        <v>1734703.17</v>
      </c>
      <c r="AZ434" s="4">
        <v>3276128.37</v>
      </c>
      <c r="BA434" s="4">
        <v>1404069.09</v>
      </c>
      <c r="BB434" s="4">
        <v>589215.37</v>
      </c>
      <c r="BC434" s="4">
        <v>1227819.2</v>
      </c>
      <c r="BD434" s="4">
        <v>15671532.93</v>
      </c>
      <c r="BE434" s="4">
        <v>505958.2</v>
      </c>
      <c r="BF434" s="4">
        <v>216490.32</v>
      </c>
      <c r="BG434" s="4">
        <v>0</v>
      </c>
      <c r="BH434" s="4">
        <f t="shared" si="75"/>
        <v>235694760.03999999</v>
      </c>
    </row>
    <row r="435" spans="1:60" x14ac:dyDescent="0.2">
      <c r="A435" s="3">
        <v>34455</v>
      </c>
      <c r="B435" s="4">
        <v>10385627.85</v>
      </c>
      <c r="C435" s="4">
        <v>719540.9</v>
      </c>
      <c r="D435" s="4">
        <v>5293735.99</v>
      </c>
      <c r="E435" s="4">
        <v>1240036.26</v>
      </c>
      <c r="F435" s="4">
        <v>1534463.59</v>
      </c>
      <c r="G435" s="4">
        <v>2055875.36</v>
      </c>
      <c r="H435" s="4">
        <v>1659349.27</v>
      </c>
      <c r="I435" s="4">
        <v>544781.89</v>
      </c>
      <c r="J435" s="4">
        <v>1557257.98</v>
      </c>
      <c r="K435" s="4">
        <v>799119.72</v>
      </c>
      <c r="L435" s="4">
        <v>885254.46</v>
      </c>
      <c r="M435" s="4">
        <v>442482.48</v>
      </c>
      <c r="N435" s="4">
        <v>4641957.76</v>
      </c>
      <c r="O435" s="4">
        <v>25448784.23</v>
      </c>
      <c r="P435" s="4">
        <v>558179.49</v>
      </c>
      <c r="Q435" s="4">
        <v>582979.71</v>
      </c>
      <c r="R435" s="4">
        <v>544290.54</v>
      </c>
      <c r="S435" s="4">
        <v>814180.75</v>
      </c>
      <c r="T435" s="4">
        <v>787475.13</v>
      </c>
      <c r="U435" s="4">
        <v>62123.21</v>
      </c>
      <c r="V435" s="4">
        <v>731512.49</v>
      </c>
      <c r="W435" s="4">
        <v>1978301.92</v>
      </c>
      <c r="X435" s="4">
        <v>231734.99</v>
      </c>
      <c r="Y435" s="4">
        <v>768521.56</v>
      </c>
      <c r="Z435" s="4">
        <v>661864.44999999995</v>
      </c>
      <c r="AA435" s="4">
        <v>20090023.82</v>
      </c>
      <c r="AB435" s="4">
        <v>643745.31999999995</v>
      </c>
      <c r="AC435" s="4">
        <v>42007445.509999998</v>
      </c>
      <c r="AD435" s="4">
        <v>4004438.64</v>
      </c>
      <c r="AE435" s="4">
        <v>4307000.5</v>
      </c>
      <c r="AF435" s="4">
        <v>10350974.74</v>
      </c>
      <c r="AG435" s="4">
        <v>1780006.14</v>
      </c>
      <c r="AH435" s="4">
        <v>5668897.21</v>
      </c>
      <c r="AI435" s="4">
        <v>569317.87</v>
      </c>
      <c r="AJ435" s="4">
        <v>0</v>
      </c>
      <c r="AK435" s="4">
        <v>863449.12</v>
      </c>
      <c r="AL435" s="4">
        <v>1095920.81</v>
      </c>
      <c r="AM435" s="4">
        <v>2120417.19</v>
      </c>
      <c r="AN435" s="4">
        <v>4791593.2300000004</v>
      </c>
      <c r="AO435" s="4">
        <v>1658629.43</v>
      </c>
      <c r="AP435" s="4">
        <v>3238597.53</v>
      </c>
      <c r="AQ435" s="4">
        <v>3208597.95</v>
      </c>
      <c r="AR435" s="4">
        <v>340706.97</v>
      </c>
      <c r="AS435" s="4">
        <v>187426.73</v>
      </c>
      <c r="AT435" s="4">
        <v>409461.44</v>
      </c>
      <c r="AU435" s="4">
        <v>1617286.61</v>
      </c>
      <c r="AV435" s="4">
        <v>38292189.619999997</v>
      </c>
      <c r="AW435" s="4">
        <v>1043449.26</v>
      </c>
      <c r="AX435" s="4">
        <v>737981.09</v>
      </c>
      <c r="AY435" s="4">
        <v>1748216.1</v>
      </c>
      <c r="AZ435" s="4">
        <v>3245384.59</v>
      </c>
      <c r="BA435" s="4">
        <v>1443118.14</v>
      </c>
      <c r="BB435" s="4">
        <v>581729.99</v>
      </c>
      <c r="BC435" s="4">
        <v>1303731.3700000001</v>
      </c>
      <c r="BD435" s="4">
        <v>15569927.439999999</v>
      </c>
      <c r="BE435" s="4">
        <v>529670.55000000005</v>
      </c>
      <c r="BF435" s="4">
        <v>211522.36</v>
      </c>
      <c r="BG435" s="4">
        <v>0</v>
      </c>
      <c r="BH435" s="4">
        <f t="shared" si="75"/>
        <v>238590289.25</v>
      </c>
    </row>
    <row r="436" spans="1:60" x14ac:dyDescent="0.2">
      <c r="A436" s="3">
        <v>34486</v>
      </c>
      <c r="B436" s="4">
        <v>16149100.4</v>
      </c>
      <c r="C436" s="4">
        <v>1525969.97</v>
      </c>
      <c r="D436" s="4">
        <v>7293792.9000000004</v>
      </c>
      <c r="E436" s="4">
        <v>2528293.46</v>
      </c>
      <c r="F436" s="4">
        <v>2690420.56</v>
      </c>
      <c r="G436" s="4">
        <v>4536292.3</v>
      </c>
      <c r="H436" s="4">
        <v>3662800.97</v>
      </c>
      <c r="I436" s="4">
        <v>951267.52</v>
      </c>
      <c r="J436" s="4">
        <v>2662985.4500000002</v>
      </c>
      <c r="K436" s="4">
        <v>1763374.3</v>
      </c>
      <c r="L436" s="4">
        <v>1669061.99</v>
      </c>
      <c r="M436" s="4">
        <v>826580.78</v>
      </c>
      <c r="N436" s="4">
        <v>9000690.3300000001</v>
      </c>
      <c r="O436" s="4">
        <v>41180424.68</v>
      </c>
      <c r="P436" s="4">
        <v>1082329.02</v>
      </c>
      <c r="Q436" s="4">
        <v>1026705.63</v>
      </c>
      <c r="R436" s="4">
        <v>940954.05</v>
      </c>
      <c r="S436" s="4">
        <v>1159542.22</v>
      </c>
      <c r="T436" s="4">
        <v>1968320.29</v>
      </c>
      <c r="U436" s="4">
        <v>183171.75</v>
      </c>
      <c r="V436" s="4">
        <v>1339147.6200000001</v>
      </c>
      <c r="W436" s="4">
        <v>3224321.27</v>
      </c>
      <c r="X436" s="4">
        <v>616376.46</v>
      </c>
      <c r="Y436" s="4">
        <v>1589695.81</v>
      </c>
      <c r="Z436" s="4">
        <v>1411534.81</v>
      </c>
      <c r="AA436" s="4">
        <v>32594833.399999999</v>
      </c>
      <c r="AB436" s="4">
        <v>1086365.03</v>
      </c>
      <c r="AC436" s="4">
        <v>65532965.049999997</v>
      </c>
      <c r="AD436" s="4">
        <v>4874943.3600000003</v>
      </c>
      <c r="AE436" s="4">
        <v>6857413.0599999996</v>
      </c>
      <c r="AF436" s="4">
        <v>15032796.470000001</v>
      </c>
      <c r="AG436" s="4">
        <v>3047037.23</v>
      </c>
      <c r="AH436" s="4">
        <v>9800796.0099999998</v>
      </c>
      <c r="AI436" s="4">
        <v>1099810.22</v>
      </c>
      <c r="AJ436" s="4">
        <v>0</v>
      </c>
      <c r="AK436" s="4">
        <v>1612258.56</v>
      </c>
      <c r="AL436" s="4">
        <v>2353906.9500000002</v>
      </c>
      <c r="AM436" s="4">
        <v>3322255.33</v>
      </c>
      <c r="AN436" s="4">
        <v>8037846.0300000003</v>
      </c>
      <c r="AO436" s="4">
        <v>3042522.82</v>
      </c>
      <c r="AP436" s="4">
        <v>5378223.9299999997</v>
      </c>
      <c r="AQ436" s="4">
        <v>4770560.05</v>
      </c>
      <c r="AR436" s="4">
        <v>747574.29</v>
      </c>
      <c r="AS436" s="4">
        <v>386138.31</v>
      </c>
      <c r="AT436" s="4">
        <v>841300.3</v>
      </c>
      <c r="AU436" s="4">
        <v>2901210.59</v>
      </c>
      <c r="AV436" s="4">
        <v>60113244.75</v>
      </c>
      <c r="AW436" s="4">
        <v>1641193.14</v>
      </c>
      <c r="AX436" s="4">
        <v>1201108.3400000001</v>
      </c>
      <c r="AY436" s="4">
        <v>3008054.94</v>
      </c>
      <c r="AZ436" s="4">
        <v>6725565.6799999997</v>
      </c>
      <c r="BA436" s="4">
        <v>2452466.48</v>
      </c>
      <c r="BB436" s="4">
        <v>1375173.33</v>
      </c>
      <c r="BC436" s="4">
        <v>2227380.7799999998</v>
      </c>
      <c r="BD436" s="4">
        <v>23603185.489999998</v>
      </c>
      <c r="BE436" s="4">
        <v>1181872.1100000001</v>
      </c>
      <c r="BF436" s="4">
        <v>548219.26</v>
      </c>
      <c r="BG436" s="4">
        <v>0</v>
      </c>
      <c r="BH436" s="4">
        <f t="shared" si="75"/>
        <v>388381375.82999998</v>
      </c>
    </row>
    <row r="437" spans="1:60" x14ac:dyDescent="0.2">
      <c r="A437" s="3">
        <v>34516</v>
      </c>
      <c r="B437" s="4">
        <v>10583894.029999999</v>
      </c>
      <c r="C437" s="4">
        <v>664654.39</v>
      </c>
      <c r="D437" s="4">
        <v>5200762.22</v>
      </c>
      <c r="E437" s="4">
        <v>1233384.93</v>
      </c>
      <c r="F437" s="4">
        <v>1529078.88</v>
      </c>
      <c r="G437" s="4">
        <v>2226113.06</v>
      </c>
      <c r="H437" s="4">
        <v>1820277.85</v>
      </c>
      <c r="I437" s="4">
        <v>561561.15</v>
      </c>
      <c r="J437" s="4">
        <v>1702849.71</v>
      </c>
      <c r="K437" s="4">
        <v>868156.89</v>
      </c>
      <c r="L437" s="4">
        <v>909212.41</v>
      </c>
      <c r="M437" s="4">
        <v>464857.08</v>
      </c>
      <c r="N437" s="4">
        <v>4974477.78</v>
      </c>
      <c r="O437" s="4">
        <v>25486961.969999999</v>
      </c>
      <c r="P437" s="4">
        <v>838417.61</v>
      </c>
      <c r="Q437" s="4">
        <v>613620.92000000004</v>
      </c>
      <c r="R437" s="4">
        <v>586771.77</v>
      </c>
      <c r="S437" s="4">
        <v>851697.14</v>
      </c>
      <c r="T437" s="4">
        <v>1027708.38</v>
      </c>
      <c r="U437" s="4">
        <v>106853.19</v>
      </c>
      <c r="V437" s="4">
        <v>831037.1</v>
      </c>
      <c r="W437" s="4">
        <v>2183493.1800000002</v>
      </c>
      <c r="X437" s="4">
        <v>269215.7</v>
      </c>
      <c r="Y437" s="4">
        <v>839588.19</v>
      </c>
      <c r="Z437" s="4">
        <v>709488.98</v>
      </c>
      <c r="AA437" s="4">
        <v>22164431.559999999</v>
      </c>
      <c r="AB437" s="4">
        <v>665062.09</v>
      </c>
      <c r="AC437" s="4">
        <v>45536457.32</v>
      </c>
      <c r="AD437" s="4">
        <v>3890812.95</v>
      </c>
      <c r="AE437" s="4">
        <v>4361898.91</v>
      </c>
      <c r="AF437" s="4">
        <v>10826947.289999999</v>
      </c>
      <c r="AG437" s="4">
        <v>1762290.06</v>
      </c>
      <c r="AH437" s="4">
        <v>6102368.7000000002</v>
      </c>
      <c r="AI437" s="4">
        <v>601818.98</v>
      </c>
      <c r="AJ437" s="4">
        <v>0</v>
      </c>
      <c r="AK437" s="4">
        <v>965219.42</v>
      </c>
      <c r="AL437" s="4">
        <v>1269057.82</v>
      </c>
      <c r="AM437" s="4">
        <v>2114033.61</v>
      </c>
      <c r="AN437" s="4">
        <v>5230108.59</v>
      </c>
      <c r="AO437" s="4">
        <v>1836049.79</v>
      </c>
      <c r="AP437" s="4">
        <v>3637295.58</v>
      </c>
      <c r="AQ437" s="4">
        <v>2906388.98</v>
      </c>
      <c r="AR437" s="4">
        <v>446545.43</v>
      </c>
      <c r="AS437" s="4">
        <v>240219.99</v>
      </c>
      <c r="AT437" s="4">
        <v>475591.85</v>
      </c>
      <c r="AU437" s="4">
        <v>1717170.52</v>
      </c>
      <c r="AV437" s="4">
        <v>42324375.530000001</v>
      </c>
      <c r="AW437" s="4">
        <v>1562620.9</v>
      </c>
      <c r="AX437" s="4">
        <v>743850.59</v>
      </c>
      <c r="AY437" s="4">
        <v>1825357.64</v>
      </c>
      <c r="AZ437" s="4">
        <v>3798744.39</v>
      </c>
      <c r="BA437" s="4">
        <v>2152238.2999999998</v>
      </c>
      <c r="BB437" s="4">
        <v>597348.26</v>
      </c>
      <c r="BC437" s="4">
        <v>1353413.53</v>
      </c>
      <c r="BD437" s="4">
        <v>16897440.239999998</v>
      </c>
      <c r="BE437" s="4">
        <v>554463.82999999996</v>
      </c>
      <c r="BF437" s="4">
        <v>277414.40000000002</v>
      </c>
      <c r="BG437" s="4">
        <v>0</v>
      </c>
      <c r="BH437" s="4">
        <f t="shared" si="75"/>
        <v>255921171.55999997</v>
      </c>
    </row>
    <row r="438" spans="1:60" x14ac:dyDescent="0.2">
      <c r="A438" s="3">
        <v>34547</v>
      </c>
      <c r="B438" s="4">
        <v>10364679.939999999</v>
      </c>
      <c r="C438" s="4">
        <v>669113.24</v>
      </c>
      <c r="D438" s="4">
        <v>5331546.24</v>
      </c>
      <c r="E438" s="4">
        <v>1285382.44</v>
      </c>
      <c r="F438" s="4">
        <v>1540265.92</v>
      </c>
      <c r="G438" s="4">
        <v>2171607.2400000002</v>
      </c>
      <c r="H438" s="4">
        <v>2097850.56</v>
      </c>
      <c r="I438" s="4">
        <v>564658.25</v>
      </c>
      <c r="J438" s="4">
        <v>1905275.68</v>
      </c>
      <c r="K438" s="4">
        <v>897358.33</v>
      </c>
      <c r="L438" s="4">
        <v>879401.11</v>
      </c>
      <c r="M438" s="4">
        <v>424897.57</v>
      </c>
      <c r="N438" s="4">
        <v>5033890.41</v>
      </c>
      <c r="O438" s="4">
        <v>24953012.109999999</v>
      </c>
      <c r="P438" s="4">
        <v>827690.77</v>
      </c>
      <c r="Q438" s="4">
        <v>625359.26</v>
      </c>
      <c r="R438" s="4">
        <v>581444.71</v>
      </c>
      <c r="S438" s="4">
        <v>884845.5</v>
      </c>
      <c r="T438" s="4">
        <v>1020937.45</v>
      </c>
      <c r="U438" s="4">
        <v>107441.16</v>
      </c>
      <c r="V438" s="4">
        <v>760268.4</v>
      </c>
      <c r="W438" s="4">
        <v>2145657.38</v>
      </c>
      <c r="X438" s="4">
        <v>262930.06</v>
      </c>
      <c r="Y438" s="4">
        <v>819543.11</v>
      </c>
      <c r="Z438" s="4">
        <v>682280.7</v>
      </c>
      <c r="AA438" s="4">
        <v>22549606.350000001</v>
      </c>
      <c r="AB438" s="4">
        <v>667384.93000000005</v>
      </c>
      <c r="AC438" s="4">
        <v>43725789.659999996</v>
      </c>
      <c r="AD438" s="4">
        <v>4002937.47</v>
      </c>
      <c r="AE438" s="4">
        <v>4259572.8899999997</v>
      </c>
      <c r="AF438" s="4">
        <v>10474878.91</v>
      </c>
      <c r="AG438" s="4">
        <v>1742960.18</v>
      </c>
      <c r="AH438" s="4">
        <v>5895776.5300000003</v>
      </c>
      <c r="AI438" s="4">
        <v>565949.03</v>
      </c>
      <c r="AJ438" s="4">
        <v>0</v>
      </c>
      <c r="AK438" s="4">
        <v>945814.19</v>
      </c>
      <c r="AL438" s="4">
        <v>1220934.2</v>
      </c>
      <c r="AM438" s="4">
        <v>2189998.31</v>
      </c>
      <c r="AN438" s="4">
        <v>5030781.68</v>
      </c>
      <c r="AO438" s="4">
        <v>1774529.99</v>
      </c>
      <c r="AP438" s="4">
        <v>3509796.53</v>
      </c>
      <c r="AQ438" s="4">
        <v>2889335.56</v>
      </c>
      <c r="AR438" s="4">
        <v>409998.23</v>
      </c>
      <c r="AS438" s="4">
        <v>260639.91</v>
      </c>
      <c r="AT438" s="4">
        <v>485187.51</v>
      </c>
      <c r="AU438" s="4">
        <v>1711157.98</v>
      </c>
      <c r="AV438" s="4">
        <v>40772998.119999997</v>
      </c>
      <c r="AW438" s="4">
        <v>1491248.51</v>
      </c>
      <c r="AX438" s="4">
        <v>792395.7</v>
      </c>
      <c r="AY438" s="4">
        <v>1741864.3</v>
      </c>
      <c r="AZ438" s="4">
        <v>3754561</v>
      </c>
      <c r="BA438" s="4">
        <v>2152811.64</v>
      </c>
      <c r="BB438" s="4">
        <v>639629.56000000006</v>
      </c>
      <c r="BC438" s="4">
        <v>1806516.44</v>
      </c>
      <c r="BD438" s="4">
        <v>16414136.800000001</v>
      </c>
      <c r="BE438" s="4">
        <v>546485.04</v>
      </c>
      <c r="BF438" s="4">
        <v>262245</v>
      </c>
      <c r="BG438" s="4">
        <v>0</v>
      </c>
      <c r="BH438" s="4">
        <f t="shared" si="75"/>
        <v>251525259.68999997</v>
      </c>
    </row>
    <row r="439" spans="1:60" x14ac:dyDescent="0.2">
      <c r="A439" s="3">
        <v>34578</v>
      </c>
      <c r="B439" s="4">
        <v>16861628.309999999</v>
      </c>
      <c r="C439" s="4">
        <v>1554227.57</v>
      </c>
      <c r="D439" s="4">
        <v>9567982.2400000002</v>
      </c>
      <c r="E439" s="4">
        <v>2755266.45</v>
      </c>
      <c r="F439" s="4">
        <v>2860021.96</v>
      </c>
      <c r="G439" s="4">
        <v>4483924.34</v>
      </c>
      <c r="H439" s="4">
        <v>3293648.84</v>
      </c>
      <c r="I439" s="4">
        <v>1178183.96</v>
      </c>
      <c r="J439" s="4">
        <v>2962920.38</v>
      </c>
      <c r="K439" s="4">
        <v>1818927.98</v>
      </c>
      <c r="L439" s="4">
        <v>1655711.4</v>
      </c>
      <c r="M439" s="4">
        <v>915530.04</v>
      </c>
      <c r="N439" s="4">
        <v>8771423.9900000002</v>
      </c>
      <c r="O439" s="4">
        <v>41630515.520000003</v>
      </c>
      <c r="P439" s="4">
        <v>1854608.16</v>
      </c>
      <c r="Q439" s="4">
        <v>1209228.0900000001</v>
      </c>
      <c r="R439" s="4">
        <v>1182912.21</v>
      </c>
      <c r="S439" s="4">
        <v>1628140.57</v>
      </c>
      <c r="T439" s="4">
        <v>1880708.79</v>
      </c>
      <c r="U439" s="4">
        <v>392166.67</v>
      </c>
      <c r="V439" s="4">
        <v>1995291.71</v>
      </c>
      <c r="W439" s="4">
        <v>4067954.74</v>
      </c>
      <c r="X439" s="4">
        <v>682483.98</v>
      </c>
      <c r="Y439" s="4">
        <v>1427351.39</v>
      </c>
      <c r="Z439" s="4">
        <v>1520993.49</v>
      </c>
      <c r="AA439" s="4">
        <v>33289887.289999999</v>
      </c>
      <c r="AB439" s="4">
        <v>1406251.97</v>
      </c>
      <c r="AC439" s="4">
        <v>70749490.590000004</v>
      </c>
      <c r="AD439" s="4">
        <v>5758962</v>
      </c>
      <c r="AE439" s="4">
        <v>8526374</v>
      </c>
      <c r="AF439" s="4">
        <v>17796777.300000001</v>
      </c>
      <c r="AG439" s="4">
        <v>3119269.21</v>
      </c>
      <c r="AH439" s="4">
        <v>10721798.119999999</v>
      </c>
      <c r="AI439" s="4">
        <v>1046920.7</v>
      </c>
      <c r="AJ439" s="4">
        <v>0</v>
      </c>
      <c r="AK439" s="4">
        <v>2004437.25</v>
      </c>
      <c r="AL439" s="4">
        <v>2219962.19</v>
      </c>
      <c r="AM439" s="4">
        <v>3622344</v>
      </c>
      <c r="AN439" s="4">
        <v>7952833.0999999996</v>
      </c>
      <c r="AO439" s="4">
        <v>3090123.48</v>
      </c>
      <c r="AP439" s="4">
        <v>6507763.4900000002</v>
      </c>
      <c r="AQ439" s="4">
        <v>4955795.55</v>
      </c>
      <c r="AR439" s="4">
        <v>703797.29</v>
      </c>
      <c r="AS439" s="4">
        <v>533673.98</v>
      </c>
      <c r="AT439" s="4">
        <v>721266.1</v>
      </c>
      <c r="AU439" s="4">
        <v>3537816.27</v>
      </c>
      <c r="AV439" s="4">
        <v>72878784.769999996</v>
      </c>
      <c r="AW439" s="4">
        <v>2263031.81</v>
      </c>
      <c r="AX439" s="4">
        <v>961871.95</v>
      </c>
      <c r="AY439" s="4">
        <v>3430702.28</v>
      </c>
      <c r="AZ439" s="4">
        <v>7381194.3399999999</v>
      </c>
      <c r="BA439" s="4">
        <v>3895108.74</v>
      </c>
      <c r="BB439" s="4">
        <v>1515870.64</v>
      </c>
      <c r="BC439" s="4">
        <v>2160500.8199999998</v>
      </c>
      <c r="BD439" s="4">
        <v>24461112.859999999</v>
      </c>
      <c r="BE439" s="4">
        <v>1302522.3799999999</v>
      </c>
      <c r="BF439" s="4">
        <v>602159.37</v>
      </c>
      <c r="BG439" s="4">
        <v>38924.230000000003</v>
      </c>
      <c r="BH439" s="4">
        <f t="shared" si="75"/>
        <v>427309080.85000002</v>
      </c>
    </row>
    <row r="440" spans="1:60" x14ac:dyDescent="0.2">
      <c r="A440" s="3">
        <v>34608</v>
      </c>
      <c r="B440" s="4">
        <v>11296686.210000001</v>
      </c>
      <c r="C440" s="4">
        <v>717822.5</v>
      </c>
      <c r="D440" s="4">
        <v>5624243.8899999997</v>
      </c>
      <c r="E440" s="4">
        <v>1243131.68</v>
      </c>
      <c r="F440" s="4">
        <v>1580273.72</v>
      </c>
      <c r="G440" s="4">
        <v>2159253.73</v>
      </c>
      <c r="H440" s="4">
        <v>1894551.8</v>
      </c>
      <c r="I440" s="4">
        <v>537748.68000000005</v>
      </c>
      <c r="J440" s="4">
        <v>1756455.94</v>
      </c>
      <c r="K440" s="4">
        <v>850714.9</v>
      </c>
      <c r="L440" s="4">
        <v>886805.99</v>
      </c>
      <c r="M440" s="4">
        <v>471267.91</v>
      </c>
      <c r="N440" s="4">
        <v>5199232.7</v>
      </c>
      <c r="O440" s="4">
        <v>25826275.780000001</v>
      </c>
      <c r="P440" s="4">
        <v>682362.37</v>
      </c>
      <c r="Q440" s="4">
        <v>592383.43999999994</v>
      </c>
      <c r="R440" s="4">
        <v>568211.48</v>
      </c>
      <c r="S440" s="4">
        <v>1013254.16</v>
      </c>
      <c r="T440" s="4">
        <v>920091.76</v>
      </c>
      <c r="U440" s="4">
        <v>78565.89</v>
      </c>
      <c r="V440" s="4">
        <v>989793.52</v>
      </c>
      <c r="W440" s="4">
        <v>2056455.04</v>
      </c>
      <c r="X440" s="4">
        <v>295931.07</v>
      </c>
      <c r="Y440" s="4">
        <v>834389.58</v>
      </c>
      <c r="Z440" s="4">
        <v>699216.35</v>
      </c>
      <c r="AA440" s="4">
        <v>21610431.100000001</v>
      </c>
      <c r="AB440" s="4">
        <v>759107.25</v>
      </c>
      <c r="AC440" s="4">
        <v>45462203.560000002</v>
      </c>
      <c r="AD440" s="4">
        <v>3981203.26</v>
      </c>
      <c r="AE440" s="4">
        <v>4454792.16</v>
      </c>
      <c r="AF440" s="4">
        <v>11352477.91</v>
      </c>
      <c r="AG440" s="4">
        <v>1841845.72</v>
      </c>
      <c r="AH440" s="4">
        <v>6288080.4500000002</v>
      </c>
      <c r="AI440" s="4">
        <v>553222.25</v>
      </c>
      <c r="AJ440" s="4">
        <v>0</v>
      </c>
      <c r="AK440" s="4">
        <v>944812.81</v>
      </c>
      <c r="AL440" s="4">
        <v>1212802.18</v>
      </c>
      <c r="AM440" s="4">
        <v>2721324.84</v>
      </c>
      <c r="AN440" s="4">
        <v>5089998.8600000003</v>
      </c>
      <c r="AO440" s="4">
        <v>1692656.23</v>
      </c>
      <c r="AP440" s="4">
        <v>3461261.35</v>
      </c>
      <c r="AQ440" s="4">
        <v>3184332.26</v>
      </c>
      <c r="AR440" s="4">
        <v>373814.75</v>
      </c>
      <c r="AS440" s="4">
        <v>186909.4</v>
      </c>
      <c r="AT440" s="4">
        <v>439601.38</v>
      </c>
      <c r="AU440" s="4">
        <v>1672443.45</v>
      </c>
      <c r="AV440" s="4">
        <v>39855644.460000001</v>
      </c>
      <c r="AW440" s="4">
        <v>1170753.2</v>
      </c>
      <c r="AX440" s="4">
        <v>602268.76</v>
      </c>
      <c r="AY440" s="4">
        <v>1945835.58</v>
      </c>
      <c r="AZ440" s="4">
        <v>3670445.47</v>
      </c>
      <c r="BA440" s="4">
        <v>1669475.76</v>
      </c>
      <c r="BB440" s="4">
        <v>566460.93999999994</v>
      </c>
      <c r="BC440" s="4">
        <v>1257419.19</v>
      </c>
      <c r="BD440" s="4">
        <v>16475753.439999999</v>
      </c>
      <c r="BE440" s="4">
        <v>544234.55000000005</v>
      </c>
      <c r="BF440" s="4">
        <v>246291.9</v>
      </c>
      <c r="BG440" s="4">
        <v>0</v>
      </c>
      <c r="BH440" s="4">
        <f t="shared" si="75"/>
        <v>254063024.50999993</v>
      </c>
    </row>
    <row r="441" spans="1:60" x14ac:dyDescent="0.2">
      <c r="A441" s="3">
        <v>34639</v>
      </c>
      <c r="B441" s="4">
        <v>11105618.4</v>
      </c>
      <c r="C441" s="4">
        <v>700703.97</v>
      </c>
      <c r="D441" s="4">
        <v>5498677.3600000003</v>
      </c>
      <c r="E441" s="4">
        <v>1236261.78</v>
      </c>
      <c r="F441" s="4">
        <v>1485057.45</v>
      </c>
      <c r="G441" s="4">
        <v>2023038.91</v>
      </c>
      <c r="H441" s="4">
        <v>1873021.33</v>
      </c>
      <c r="I441" s="4">
        <v>524507.56000000006</v>
      </c>
      <c r="J441" s="4">
        <v>1707362.97</v>
      </c>
      <c r="K441" s="4">
        <v>824148.14</v>
      </c>
      <c r="L441" s="4">
        <v>866607.61</v>
      </c>
      <c r="M441" s="4">
        <v>447293.22</v>
      </c>
      <c r="N441" s="4">
        <v>5103803.93</v>
      </c>
      <c r="O441" s="4">
        <v>25277388.68</v>
      </c>
      <c r="P441" s="4">
        <v>658433.94999999995</v>
      </c>
      <c r="Q441" s="4">
        <v>602867.5</v>
      </c>
      <c r="R441" s="4">
        <v>710223</v>
      </c>
      <c r="S441" s="4">
        <v>1008747.28</v>
      </c>
      <c r="T441" s="4">
        <v>857233.38</v>
      </c>
      <c r="U441" s="4">
        <v>85410.81</v>
      </c>
      <c r="V441" s="4">
        <v>944480.02</v>
      </c>
      <c r="W441" s="4">
        <v>2022925.55</v>
      </c>
      <c r="X441" s="4">
        <v>290901.28999999998</v>
      </c>
      <c r="Y441" s="4">
        <v>1240224.1399999999</v>
      </c>
      <c r="Z441" s="4">
        <v>681516.47</v>
      </c>
      <c r="AA441" s="4">
        <v>21389637.699999999</v>
      </c>
      <c r="AB441" s="4">
        <v>697289.42</v>
      </c>
      <c r="AC441" s="4">
        <v>44614148.890000001</v>
      </c>
      <c r="AD441" s="4">
        <v>3901008.9</v>
      </c>
      <c r="AE441" s="4">
        <v>4387905.28</v>
      </c>
      <c r="AF441" s="4">
        <v>10800286.189999999</v>
      </c>
      <c r="AG441" s="4">
        <v>1818365.03</v>
      </c>
      <c r="AH441" s="4">
        <v>6167216.2999999998</v>
      </c>
      <c r="AI441" s="4">
        <v>538986.56000000006</v>
      </c>
      <c r="AJ441" s="4">
        <v>0</v>
      </c>
      <c r="AK441" s="4">
        <v>924546.92</v>
      </c>
      <c r="AL441" s="4">
        <v>1093804.8</v>
      </c>
      <c r="AM441" s="4">
        <v>2908515.89</v>
      </c>
      <c r="AN441" s="4">
        <v>4963521.63</v>
      </c>
      <c r="AO441" s="4">
        <v>1739571.88</v>
      </c>
      <c r="AP441" s="4">
        <v>3418147.89</v>
      </c>
      <c r="AQ441" s="4">
        <v>3072449.15</v>
      </c>
      <c r="AR441" s="4">
        <v>363293.79</v>
      </c>
      <c r="AS441" s="4">
        <v>180484.87</v>
      </c>
      <c r="AT441" s="4">
        <v>428646.92</v>
      </c>
      <c r="AU441" s="4">
        <v>1661995.62</v>
      </c>
      <c r="AV441" s="4">
        <v>39092350.32</v>
      </c>
      <c r="AW441" s="4">
        <v>1166509.3700000001</v>
      </c>
      <c r="AX441" s="4">
        <v>690996.95</v>
      </c>
      <c r="AY441" s="4">
        <v>1846740.95</v>
      </c>
      <c r="AZ441" s="4">
        <v>3604021.46</v>
      </c>
      <c r="BA441" s="4">
        <v>1638517.26</v>
      </c>
      <c r="BB441" s="4">
        <v>560528.81000000006</v>
      </c>
      <c r="BC441" s="4">
        <v>1254834.73</v>
      </c>
      <c r="BD441" s="4">
        <v>17434550.859999999</v>
      </c>
      <c r="BE441" s="4">
        <v>544205.93000000005</v>
      </c>
      <c r="BF441" s="4">
        <v>237574.97</v>
      </c>
      <c r="BG441" s="4">
        <v>0</v>
      </c>
      <c r="BH441" s="4">
        <f t="shared" si="75"/>
        <v>250917109.93999997</v>
      </c>
    </row>
    <row r="442" spans="1:60" x14ac:dyDescent="0.2">
      <c r="A442" s="3">
        <v>34669</v>
      </c>
      <c r="B442" s="4">
        <v>18535836.030000001</v>
      </c>
      <c r="C442" s="4">
        <v>1674377.12</v>
      </c>
      <c r="D442" s="4">
        <v>8666122.6500000004</v>
      </c>
      <c r="E442" s="4">
        <v>2751494.91</v>
      </c>
      <c r="F442" s="4">
        <v>2679063.66</v>
      </c>
      <c r="G442" s="4">
        <v>3917820.32</v>
      </c>
      <c r="H442" s="4">
        <v>3140169.57</v>
      </c>
      <c r="I442" s="4">
        <v>1018246.19</v>
      </c>
      <c r="J442" s="4">
        <v>2688376.47</v>
      </c>
      <c r="K442" s="4">
        <v>2020740.02</v>
      </c>
      <c r="L442" s="4">
        <v>1582599.62</v>
      </c>
      <c r="M442" s="4">
        <v>916457.3</v>
      </c>
      <c r="N442" s="4">
        <v>8775719.1099999994</v>
      </c>
      <c r="O442" s="4">
        <v>42581342.630000003</v>
      </c>
      <c r="P442" s="4">
        <v>1490550.72</v>
      </c>
      <c r="Q442" s="4">
        <v>810294.86</v>
      </c>
      <c r="R442" s="4">
        <v>959941.51</v>
      </c>
      <c r="S442" s="4">
        <v>1656342.25</v>
      </c>
      <c r="T442" s="4">
        <v>1608348.83</v>
      </c>
      <c r="U442" s="4">
        <v>229621.07</v>
      </c>
      <c r="V442" s="4">
        <v>1864888.84</v>
      </c>
      <c r="W442" s="4">
        <v>2901463.53</v>
      </c>
      <c r="X442" s="4">
        <v>653973</v>
      </c>
      <c r="Y442" s="4">
        <v>1460191.89</v>
      </c>
      <c r="Z442" s="4">
        <v>1467202.73</v>
      </c>
      <c r="AA442" s="4">
        <v>32130274.469999999</v>
      </c>
      <c r="AB442" s="4">
        <v>1675250.16</v>
      </c>
      <c r="AC442" s="4">
        <v>67073646.630000003</v>
      </c>
      <c r="AD442" s="4">
        <v>5488357.3200000003</v>
      </c>
      <c r="AE442" s="4">
        <v>8040304.5999999996</v>
      </c>
      <c r="AF442" s="4">
        <v>18782192.109999999</v>
      </c>
      <c r="AG442" s="4">
        <v>3133056.93</v>
      </c>
      <c r="AH442" s="4">
        <v>10838225.73</v>
      </c>
      <c r="AI442" s="4">
        <v>1040459</v>
      </c>
      <c r="AJ442" s="4">
        <v>0</v>
      </c>
      <c r="AK442" s="4">
        <v>1604321.49</v>
      </c>
      <c r="AL442" s="4">
        <v>2326359.33</v>
      </c>
      <c r="AM442" s="4">
        <v>4399834.12</v>
      </c>
      <c r="AN442" s="4">
        <v>8062052.0800000001</v>
      </c>
      <c r="AO442" s="4">
        <v>3158597.91</v>
      </c>
      <c r="AP442" s="4">
        <v>5956330.4699999997</v>
      </c>
      <c r="AQ442" s="4">
        <v>4548909.12</v>
      </c>
      <c r="AR442" s="4">
        <v>705660.01</v>
      </c>
      <c r="AS442" s="4">
        <v>450376.68</v>
      </c>
      <c r="AT442" s="4">
        <v>746991.37</v>
      </c>
      <c r="AU442" s="4">
        <v>3267082.16</v>
      </c>
      <c r="AV442" s="4">
        <v>66496531.409999996</v>
      </c>
      <c r="AW442" s="4">
        <v>2038874.72</v>
      </c>
      <c r="AX442" s="4">
        <v>1569740.8</v>
      </c>
      <c r="AY442" s="4">
        <v>3403055.26</v>
      </c>
      <c r="AZ442" s="4">
        <v>6326176.96</v>
      </c>
      <c r="BA442" s="4">
        <v>2799589.46</v>
      </c>
      <c r="BB442" s="4">
        <v>1106568.74</v>
      </c>
      <c r="BC442" s="4">
        <v>2118602.1</v>
      </c>
      <c r="BD442" s="4">
        <v>25086675.309999999</v>
      </c>
      <c r="BE442" s="4">
        <v>1276289.26</v>
      </c>
      <c r="BF442" s="4">
        <v>567845.97</v>
      </c>
      <c r="BG442" s="4">
        <v>0</v>
      </c>
      <c r="BH442" s="4">
        <f t="shared" si="75"/>
        <v>412269416.51000011</v>
      </c>
    </row>
    <row r="443" spans="1:60" ht="15.75" thickBot="1" x14ac:dyDescent="0.25">
      <c r="A443" s="3" t="s">
        <v>11</v>
      </c>
      <c r="B443" s="5">
        <f t="shared" ref="B443:AG443" si="76">SUM(B431:B442)</f>
        <v>152468768.11000001</v>
      </c>
      <c r="C443" s="5">
        <f t="shared" si="76"/>
        <v>11692226.73</v>
      </c>
      <c r="D443" s="5">
        <f t="shared" si="76"/>
        <v>71565172.190000013</v>
      </c>
      <c r="E443" s="5">
        <f t="shared" si="76"/>
        <v>20246768.030000001</v>
      </c>
      <c r="F443" s="5">
        <f t="shared" si="76"/>
        <v>22148712.809999995</v>
      </c>
      <c r="G443" s="5">
        <f t="shared" si="76"/>
        <v>33027191.359999996</v>
      </c>
      <c r="H443" s="5">
        <f t="shared" si="76"/>
        <v>27534930.25</v>
      </c>
      <c r="I443" s="5">
        <f t="shared" si="76"/>
        <v>8107955.1799999997</v>
      </c>
      <c r="J443" s="5">
        <f t="shared" si="76"/>
        <v>24195946.359999999</v>
      </c>
      <c r="K443" s="5">
        <f t="shared" si="76"/>
        <v>13503084.84</v>
      </c>
      <c r="L443" s="5">
        <f t="shared" si="76"/>
        <v>13433148.109999999</v>
      </c>
      <c r="M443" s="5">
        <f t="shared" si="76"/>
        <v>6889652.1199999992</v>
      </c>
      <c r="N443" s="5">
        <f t="shared" si="76"/>
        <v>72956163.950000003</v>
      </c>
      <c r="O443" s="5">
        <f t="shared" si="76"/>
        <v>362958644.28000003</v>
      </c>
      <c r="P443" s="5">
        <f t="shared" si="76"/>
        <v>10750823.74</v>
      </c>
      <c r="Q443" s="5">
        <f t="shared" si="76"/>
        <v>8608857.209999999</v>
      </c>
      <c r="R443" s="5">
        <f t="shared" si="76"/>
        <v>8308470.1799999997</v>
      </c>
      <c r="S443" s="5">
        <f t="shared" si="76"/>
        <v>12280297.779999999</v>
      </c>
      <c r="T443" s="5">
        <f t="shared" si="76"/>
        <v>13829042.560000001</v>
      </c>
      <c r="U443" s="5">
        <f t="shared" si="76"/>
        <v>1597840.27</v>
      </c>
      <c r="V443" s="5">
        <f t="shared" si="76"/>
        <v>12739263.859999999</v>
      </c>
      <c r="W443" s="5">
        <f t="shared" si="76"/>
        <v>28729556.879999999</v>
      </c>
      <c r="X443" s="5">
        <f t="shared" si="76"/>
        <v>4410643.1099999994</v>
      </c>
      <c r="Y443" s="5">
        <f t="shared" si="76"/>
        <v>12348380.65</v>
      </c>
      <c r="Z443" s="5">
        <f t="shared" si="76"/>
        <v>11016735.870000003</v>
      </c>
      <c r="AA443" s="5">
        <f t="shared" si="76"/>
        <v>292144096.83999997</v>
      </c>
      <c r="AB443" s="5">
        <f t="shared" si="76"/>
        <v>10158004.529999999</v>
      </c>
      <c r="AC443" s="5">
        <f t="shared" si="76"/>
        <v>607400524.96000004</v>
      </c>
      <c r="AD443" s="5">
        <f t="shared" si="76"/>
        <v>51552428.589999996</v>
      </c>
      <c r="AE443" s="5">
        <f t="shared" si="76"/>
        <v>64204485.580000006</v>
      </c>
      <c r="AF443" s="5">
        <f t="shared" si="76"/>
        <v>151336055.91</v>
      </c>
      <c r="AG443" s="5">
        <f t="shared" si="76"/>
        <v>26032986.18</v>
      </c>
      <c r="AH443" s="5">
        <f t="shared" ref="AH443:BG443" si="77">SUM(AH431:AH442)</f>
        <v>85622293.810000002</v>
      </c>
      <c r="AI443" s="5">
        <f t="shared" si="77"/>
        <v>8549159.2800000012</v>
      </c>
      <c r="AJ443" s="5">
        <f t="shared" si="77"/>
        <v>0</v>
      </c>
      <c r="AK443" s="5">
        <f t="shared" si="77"/>
        <v>13541361.24</v>
      </c>
      <c r="AL443" s="5">
        <f t="shared" si="77"/>
        <v>17680406.829999998</v>
      </c>
      <c r="AM443" s="5">
        <f t="shared" si="77"/>
        <v>32306621.609999999</v>
      </c>
      <c r="AN443" s="5">
        <f t="shared" si="77"/>
        <v>69985941.350000009</v>
      </c>
      <c r="AO443" s="5">
        <f t="shared" si="77"/>
        <v>25118767.079999998</v>
      </c>
      <c r="AP443" s="5">
        <f t="shared" si="77"/>
        <v>48899161.730000004</v>
      </c>
      <c r="AQ443" s="5">
        <f t="shared" si="77"/>
        <v>43355609.249999993</v>
      </c>
      <c r="AR443" s="5">
        <f t="shared" si="77"/>
        <v>5614954.29</v>
      </c>
      <c r="AS443" s="5">
        <f t="shared" si="77"/>
        <v>3264752.3</v>
      </c>
      <c r="AT443" s="5">
        <f t="shared" si="77"/>
        <v>6324485.2199999997</v>
      </c>
      <c r="AU443" s="5">
        <f t="shared" si="77"/>
        <v>25210986.960000001</v>
      </c>
      <c r="AV443" s="5">
        <f t="shared" si="77"/>
        <v>564760958.21999991</v>
      </c>
      <c r="AW443" s="5">
        <f t="shared" si="77"/>
        <v>16806599.029999997</v>
      </c>
      <c r="AX443" s="5">
        <f t="shared" si="77"/>
        <v>11981049.84</v>
      </c>
      <c r="AY443" s="5">
        <f t="shared" si="77"/>
        <v>27130648.990000002</v>
      </c>
      <c r="AZ443" s="5">
        <f t="shared" si="77"/>
        <v>53500517.900000006</v>
      </c>
      <c r="BA443" s="5">
        <f t="shared" si="77"/>
        <v>24497382.030000001</v>
      </c>
      <c r="BB443" s="5">
        <f t="shared" si="77"/>
        <v>9435823.1400000006</v>
      </c>
      <c r="BC443" s="5">
        <f t="shared" si="77"/>
        <v>18676556.77</v>
      </c>
      <c r="BD443" s="5">
        <f t="shared" si="77"/>
        <v>224545080.70999998</v>
      </c>
      <c r="BE443" s="5">
        <f t="shared" si="77"/>
        <v>8941984.6600000001</v>
      </c>
      <c r="BF443" s="5">
        <f t="shared" si="77"/>
        <v>3956628.4300000006</v>
      </c>
      <c r="BG443" s="5">
        <f t="shared" si="77"/>
        <v>110569.03</v>
      </c>
      <c r="BH443" s="5">
        <f t="shared" si="75"/>
        <v>3517995158.7199998</v>
      </c>
    </row>
    <row r="444" spans="1:60" ht="15.75" thickTop="1" x14ac:dyDescent="0.2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</row>
    <row r="445" spans="1:60" x14ac:dyDescent="0.2">
      <c r="A445" s="3">
        <v>33970</v>
      </c>
      <c r="B445" s="4">
        <v>11290187</v>
      </c>
      <c r="C445" s="4">
        <v>721702.15</v>
      </c>
      <c r="D445" s="4">
        <v>4397197.34</v>
      </c>
      <c r="E445" s="4">
        <v>1402025.99</v>
      </c>
      <c r="F445" s="4">
        <v>1474322.59</v>
      </c>
      <c r="G445" s="4">
        <v>2093787.56</v>
      </c>
      <c r="H445" s="4">
        <v>1582414.84</v>
      </c>
      <c r="I445" s="4">
        <v>489550.91</v>
      </c>
      <c r="J445" s="4">
        <v>1507582.49</v>
      </c>
      <c r="K445" s="4">
        <v>768872.27</v>
      </c>
      <c r="L445" s="4">
        <v>943375</v>
      </c>
      <c r="M445" s="4">
        <v>391333.32</v>
      </c>
      <c r="N445" s="4">
        <v>5948842.25</v>
      </c>
      <c r="O445" s="4">
        <v>27109127.449999999</v>
      </c>
      <c r="P445" s="4">
        <v>579305.96</v>
      </c>
      <c r="Q445" s="4">
        <v>616592.97</v>
      </c>
      <c r="R445" s="4">
        <v>471316.29</v>
      </c>
      <c r="S445" s="4">
        <v>653996.62</v>
      </c>
      <c r="T445" s="4">
        <v>637716.71</v>
      </c>
      <c r="U445" s="4">
        <v>74597.27</v>
      </c>
      <c r="V445" s="4">
        <v>684530.49</v>
      </c>
      <c r="W445" s="4">
        <v>1897312.89</v>
      </c>
      <c r="X445" s="4">
        <v>225143.18</v>
      </c>
      <c r="Y445" s="4">
        <v>666589.85</v>
      </c>
      <c r="Z445" s="4">
        <v>614232.76</v>
      </c>
      <c r="AA445" s="4">
        <v>18987900.16</v>
      </c>
      <c r="AB445" s="4">
        <v>585062.43999999994</v>
      </c>
      <c r="AC445" s="4">
        <v>46462787.859999999</v>
      </c>
      <c r="AD445" s="4">
        <v>4065189.18</v>
      </c>
      <c r="AE445" s="4">
        <v>3962632.62</v>
      </c>
      <c r="AF445" s="4">
        <v>11510161.23</v>
      </c>
      <c r="AG445" s="4">
        <v>1721094.35</v>
      </c>
      <c r="AH445" s="4">
        <v>5570104.9699999997</v>
      </c>
      <c r="AI445" s="4">
        <v>424884.68</v>
      </c>
      <c r="AJ445" s="4">
        <v>0</v>
      </c>
      <c r="AK445" s="4">
        <v>808120.7</v>
      </c>
      <c r="AL445" s="4">
        <v>1122482.8400000001</v>
      </c>
      <c r="AM445" s="4">
        <v>1856288.83</v>
      </c>
      <c r="AN445" s="4">
        <v>5477254.7000000002</v>
      </c>
      <c r="AO445" s="4">
        <v>1695712.87</v>
      </c>
      <c r="AP445" s="4">
        <v>3090643.85</v>
      </c>
      <c r="AQ445" s="4">
        <v>3021910.75</v>
      </c>
      <c r="AR445" s="4">
        <v>345314.36</v>
      </c>
      <c r="AS445" s="4">
        <v>148024.20000000001</v>
      </c>
      <c r="AT445" s="4">
        <v>420475.6</v>
      </c>
      <c r="AU445" s="4">
        <v>1706972.05</v>
      </c>
      <c r="AV445" s="4">
        <v>40618646.280000001</v>
      </c>
      <c r="AW445" s="4">
        <v>1058567.3500000001</v>
      </c>
      <c r="AX445" s="4">
        <v>589949.99</v>
      </c>
      <c r="AY445" s="4">
        <v>1914559.83</v>
      </c>
      <c r="AZ445" s="4">
        <v>3056843.39</v>
      </c>
      <c r="BA445" s="4">
        <v>1664156.04</v>
      </c>
      <c r="BB445" s="4">
        <v>547589.97</v>
      </c>
      <c r="BC445" s="4">
        <v>1080290.6200000001</v>
      </c>
      <c r="BD445" s="4">
        <v>18054722.43</v>
      </c>
      <c r="BE445" s="4">
        <v>487774.57</v>
      </c>
      <c r="BF445" s="4">
        <v>219687.38</v>
      </c>
      <c r="BG445" s="4">
        <v>2681.71</v>
      </c>
      <c r="BH445" s="4">
        <f t="shared" ref="BH445:BH457" si="78">SUM(B445:BG445)</f>
        <v>249520143.94999999</v>
      </c>
    </row>
    <row r="446" spans="1:60" x14ac:dyDescent="0.2">
      <c r="A446" s="3">
        <v>34001</v>
      </c>
      <c r="B446" s="4">
        <v>8667179.1899999995</v>
      </c>
      <c r="C446" s="4">
        <v>548236.87</v>
      </c>
      <c r="D446" s="4">
        <v>3330841.63</v>
      </c>
      <c r="E446" s="4">
        <v>1075848.8600000001</v>
      </c>
      <c r="F446" s="4">
        <v>1113878.8600000001</v>
      </c>
      <c r="G446" s="4">
        <v>1637278.76</v>
      </c>
      <c r="H446" s="4">
        <v>1324583.3400000001</v>
      </c>
      <c r="I446" s="4">
        <v>378024.43</v>
      </c>
      <c r="J446" s="4">
        <v>1109042.95</v>
      </c>
      <c r="K446" s="4">
        <v>638312.07999999996</v>
      </c>
      <c r="L446" s="4">
        <v>690024.37</v>
      </c>
      <c r="M446" s="4">
        <v>309357.96999999997</v>
      </c>
      <c r="N446" s="4">
        <v>4657298.2</v>
      </c>
      <c r="O446" s="4">
        <v>21155170.760000002</v>
      </c>
      <c r="P446" s="4">
        <v>457814.35</v>
      </c>
      <c r="Q446" s="4">
        <v>453648.34</v>
      </c>
      <c r="R446" s="4">
        <v>354046.45</v>
      </c>
      <c r="S446" s="4">
        <v>507631.26</v>
      </c>
      <c r="T446" s="4">
        <v>487055.11</v>
      </c>
      <c r="U446" s="4">
        <v>50996.53</v>
      </c>
      <c r="V446" s="4">
        <v>547874.06000000006</v>
      </c>
      <c r="W446" s="4">
        <v>1426609.5</v>
      </c>
      <c r="X446" s="4">
        <v>171287.82</v>
      </c>
      <c r="Y446" s="4">
        <v>513264.89</v>
      </c>
      <c r="Z446" s="4">
        <v>506327.6</v>
      </c>
      <c r="AA446" s="4">
        <v>15129190.140000001</v>
      </c>
      <c r="AB446" s="4">
        <v>443047.59</v>
      </c>
      <c r="AC446" s="4">
        <v>35671972.43</v>
      </c>
      <c r="AD446" s="4">
        <v>3189647.11</v>
      </c>
      <c r="AE446" s="4">
        <v>3037125.67</v>
      </c>
      <c r="AF446" s="4">
        <v>8753904.2799999993</v>
      </c>
      <c r="AG446" s="4">
        <v>1326417.19</v>
      </c>
      <c r="AH446" s="4">
        <v>4455318.2</v>
      </c>
      <c r="AI446" s="4">
        <v>328943.67</v>
      </c>
      <c r="AJ446" s="4">
        <v>0</v>
      </c>
      <c r="AK446" s="4">
        <v>637097.06000000006</v>
      </c>
      <c r="AL446" s="4">
        <v>807193.98</v>
      </c>
      <c r="AM446" s="4">
        <v>1445371.59</v>
      </c>
      <c r="AN446" s="4">
        <v>4177778.86</v>
      </c>
      <c r="AO446" s="4">
        <v>1296906.5</v>
      </c>
      <c r="AP446" s="4">
        <v>2338203.14</v>
      </c>
      <c r="AQ446" s="4">
        <v>2371943.14</v>
      </c>
      <c r="AR446" s="4">
        <v>260787.82</v>
      </c>
      <c r="AS446" s="4">
        <v>123659.69</v>
      </c>
      <c r="AT446" s="4">
        <v>320800.05</v>
      </c>
      <c r="AU446" s="4">
        <v>1307663.3400000001</v>
      </c>
      <c r="AV446" s="4">
        <v>30951608.059999999</v>
      </c>
      <c r="AW446" s="4">
        <v>1090090.55</v>
      </c>
      <c r="AX446" s="4">
        <v>490296.38</v>
      </c>
      <c r="AY446" s="4">
        <v>1479333.39</v>
      </c>
      <c r="AZ446" s="4">
        <v>2420196.17</v>
      </c>
      <c r="BA446" s="4">
        <v>1141980.3999999999</v>
      </c>
      <c r="BB446" s="4">
        <v>406740.6</v>
      </c>
      <c r="BC446" s="4">
        <v>827926.87</v>
      </c>
      <c r="BD446" s="4">
        <v>13508654.18</v>
      </c>
      <c r="BE446" s="4">
        <v>372036.71</v>
      </c>
      <c r="BF446" s="4">
        <v>154531.01</v>
      </c>
      <c r="BG446" s="4">
        <v>18.53</v>
      </c>
      <c r="BH446" s="4">
        <f t="shared" si="78"/>
        <v>192378018.47999999</v>
      </c>
    </row>
    <row r="447" spans="1:60" x14ac:dyDescent="0.2">
      <c r="A447" s="3">
        <v>34029</v>
      </c>
      <c r="B447" s="4">
        <v>14610826.220000001</v>
      </c>
      <c r="C447" s="4">
        <v>1083339.06</v>
      </c>
      <c r="D447" s="4">
        <v>6539683.7800000003</v>
      </c>
      <c r="E447" s="4">
        <v>2019984.76</v>
      </c>
      <c r="F447" s="4">
        <v>2439137.23</v>
      </c>
      <c r="G447" s="4">
        <v>3282267.81</v>
      </c>
      <c r="H447" s="4">
        <v>2060535.77</v>
      </c>
      <c r="I447" s="4">
        <v>1195135.72</v>
      </c>
      <c r="J447" s="4">
        <v>2400425.9300000002</v>
      </c>
      <c r="K447" s="4">
        <v>1313947.22</v>
      </c>
      <c r="L447" s="4">
        <v>1490869.3</v>
      </c>
      <c r="M447" s="4">
        <v>753810.19</v>
      </c>
      <c r="N447" s="4">
        <v>6315515.04</v>
      </c>
      <c r="O447" s="4">
        <v>34558518.130000003</v>
      </c>
      <c r="P447" s="4">
        <v>1054252.44</v>
      </c>
      <c r="Q447" s="4">
        <v>950757.04</v>
      </c>
      <c r="R447" s="4">
        <v>1063749.1100000001</v>
      </c>
      <c r="S447" s="4">
        <v>967079.61</v>
      </c>
      <c r="T447" s="4">
        <v>1280786.99</v>
      </c>
      <c r="U447" s="4">
        <v>149620.10999999999</v>
      </c>
      <c r="V447" s="4">
        <v>1139129</v>
      </c>
      <c r="W447" s="4">
        <v>2355047.77</v>
      </c>
      <c r="X447" s="4">
        <v>467916.52</v>
      </c>
      <c r="Y447" s="4">
        <v>1411886.6</v>
      </c>
      <c r="Z447" s="4">
        <v>1113558.45</v>
      </c>
      <c r="AA447" s="4">
        <v>22949839.07</v>
      </c>
      <c r="AB447" s="4">
        <v>724319.72</v>
      </c>
      <c r="AC447" s="4">
        <v>59941862.200000003</v>
      </c>
      <c r="AD447" s="4">
        <v>4865784.22</v>
      </c>
      <c r="AE447" s="4">
        <v>7322922.1299999999</v>
      </c>
      <c r="AF447" s="4">
        <v>13665539.33</v>
      </c>
      <c r="AG447" s="4">
        <v>2630962.83</v>
      </c>
      <c r="AH447" s="4">
        <v>8085438.04</v>
      </c>
      <c r="AI447" s="4">
        <v>735449.74</v>
      </c>
      <c r="AJ447" s="4">
        <v>0</v>
      </c>
      <c r="AK447" s="4">
        <v>1386478.07</v>
      </c>
      <c r="AL447" s="4">
        <v>1520321.07</v>
      </c>
      <c r="AM447" s="4">
        <v>3099211.89</v>
      </c>
      <c r="AN447" s="4">
        <v>5821547.7300000004</v>
      </c>
      <c r="AO447" s="4">
        <v>2449727.2400000002</v>
      </c>
      <c r="AP447" s="4">
        <v>4608758.45</v>
      </c>
      <c r="AQ447" s="4">
        <v>4832845.63</v>
      </c>
      <c r="AR447" s="4">
        <v>530042.1</v>
      </c>
      <c r="AS447" s="4">
        <v>274540.53999999998</v>
      </c>
      <c r="AT447" s="4">
        <v>556455.94999999995</v>
      </c>
      <c r="AU447" s="4">
        <v>2672331.17</v>
      </c>
      <c r="AV447" s="4">
        <v>55063428.119999997</v>
      </c>
      <c r="AW447" s="4">
        <v>1578590.2</v>
      </c>
      <c r="AX447" s="4">
        <v>978705.33</v>
      </c>
      <c r="AY447" s="4">
        <v>2486550.7200000002</v>
      </c>
      <c r="AZ447" s="4">
        <v>4263024.3499999996</v>
      </c>
      <c r="BA447" s="4">
        <v>2118497.56</v>
      </c>
      <c r="BB447" s="4">
        <v>1076690.3400000001</v>
      </c>
      <c r="BC447" s="4">
        <v>1874921.03</v>
      </c>
      <c r="BD447" s="4">
        <v>23763024.879999999</v>
      </c>
      <c r="BE447" s="4">
        <v>823191.06</v>
      </c>
      <c r="BF447" s="4">
        <v>463024.08</v>
      </c>
      <c r="BG447" s="4">
        <v>62164.02</v>
      </c>
      <c r="BH447" s="4">
        <f t="shared" si="78"/>
        <v>335243968.60999984</v>
      </c>
    </row>
    <row r="448" spans="1:60" x14ac:dyDescent="0.2">
      <c r="A448" s="3">
        <v>34060</v>
      </c>
      <c r="B448" s="4">
        <v>9393912.5299999993</v>
      </c>
      <c r="C448" s="4">
        <v>650549.54</v>
      </c>
      <c r="D448" s="4">
        <v>3822163.05</v>
      </c>
      <c r="E448" s="4">
        <v>1232982.1399999999</v>
      </c>
      <c r="F448" s="4">
        <v>1436934.51</v>
      </c>
      <c r="G448" s="4">
        <v>1836117.47</v>
      </c>
      <c r="H448" s="4">
        <v>1563166.48</v>
      </c>
      <c r="I448" s="4">
        <v>471817.55</v>
      </c>
      <c r="J448" s="4">
        <v>1464165.84</v>
      </c>
      <c r="K448" s="4">
        <v>715870.64</v>
      </c>
      <c r="L448" s="4">
        <v>871998.26</v>
      </c>
      <c r="M448" s="4">
        <v>389102.77</v>
      </c>
      <c r="N448" s="4">
        <v>4559160.7</v>
      </c>
      <c r="O448" s="4">
        <v>23443424.809999999</v>
      </c>
      <c r="P448" s="4">
        <v>521042.71</v>
      </c>
      <c r="Q448" s="4">
        <v>547069.99</v>
      </c>
      <c r="R448" s="4">
        <v>491085.46</v>
      </c>
      <c r="S448" s="4">
        <v>695257.03</v>
      </c>
      <c r="T448" s="4">
        <v>708762.63</v>
      </c>
      <c r="U448" s="4">
        <v>62457.86</v>
      </c>
      <c r="V448" s="4">
        <v>643890.05000000005</v>
      </c>
      <c r="W448" s="4">
        <v>1748465.91</v>
      </c>
      <c r="X448" s="4">
        <v>227558.44</v>
      </c>
      <c r="Y448" s="4">
        <v>734835.46</v>
      </c>
      <c r="Z448" s="4">
        <v>606403.5</v>
      </c>
      <c r="AA448" s="4">
        <v>19473570.629999999</v>
      </c>
      <c r="AB448" s="4">
        <v>557073.87</v>
      </c>
      <c r="AC448" s="4">
        <v>38500849.640000001</v>
      </c>
      <c r="AD448" s="4">
        <v>3639174.53</v>
      </c>
      <c r="AE448" s="4">
        <v>3650763.89</v>
      </c>
      <c r="AF448" s="4">
        <v>9946821.9399999995</v>
      </c>
      <c r="AG448" s="4">
        <v>1552167.54</v>
      </c>
      <c r="AH448" s="4">
        <v>4796111.0999999996</v>
      </c>
      <c r="AI448" s="4">
        <v>439066.63</v>
      </c>
      <c r="AJ448" s="4">
        <v>0</v>
      </c>
      <c r="AK448" s="4">
        <v>790816.09</v>
      </c>
      <c r="AL448" s="4">
        <v>1064123.54</v>
      </c>
      <c r="AM448" s="4">
        <v>1749798.4</v>
      </c>
      <c r="AN448" s="4">
        <v>3884952.61</v>
      </c>
      <c r="AO448" s="4">
        <v>1575267.68</v>
      </c>
      <c r="AP448" s="4">
        <v>2768844</v>
      </c>
      <c r="AQ448" s="4">
        <v>2679783.5099999998</v>
      </c>
      <c r="AR448" s="4">
        <v>300880.01</v>
      </c>
      <c r="AS448" s="4">
        <v>171462.37</v>
      </c>
      <c r="AT448" s="4">
        <v>384582.39</v>
      </c>
      <c r="AU448" s="4">
        <v>1578866.37</v>
      </c>
      <c r="AV448" s="4">
        <v>34785928.740000002</v>
      </c>
      <c r="AW448" s="4">
        <v>1039050.99</v>
      </c>
      <c r="AX448" s="4">
        <v>529206.31000000006</v>
      </c>
      <c r="AY448" s="4">
        <v>1668794.94</v>
      </c>
      <c r="AZ448" s="4">
        <v>2728696.2</v>
      </c>
      <c r="BA448" s="4">
        <v>1342669.78</v>
      </c>
      <c r="BB448" s="4">
        <v>501229.17</v>
      </c>
      <c r="BC448" s="4">
        <v>1140453.57</v>
      </c>
      <c r="BD448" s="4">
        <v>14524713.460000001</v>
      </c>
      <c r="BE448" s="4">
        <v>531889.71</v>
      </c>
      <c r="BF448" s="4">
        <v>232041.58</v>
      </c>
      <c r="BG448" s="4">
        <v>711.65</v>
      </c>
      <c r="BH448" s="4">
        <f t="shared" si="78"/>
        <v>217368558.17000002</v>
      </c>
    </row>
    <row r="449" spans="1:60" x14ac:dyDescent="0.2">
      <c r="A449" s="3">
        <v>34090</v>
      </c>
      <c r="B449" s="4">
        <v>9765841.0899999999</v>
      </c>
      <c r="C449" s="4">
        <v>828532.05</v>
      </c>
      <c r="D449" s="4">
        <v>3960178.04</v>
      </c>
      <c r="E449" s="4">
        <v>1215182.22</v>
      </c>
      <c r="F449" s="4">
        <v>1371898.95</v>
      </c>
      <c r="G449" s="4">
        <v>1915175.58</v>
      </c>
      <c r="H449" s="4">
        <v>1627349.22</v>
      </c>
      <c r="I449" s="4">
        <v>482162.12</v>
      </c>
      <c r="J449" s="4">
        <v>1509261.29</v>
      </c>
      <c r="K449" s="4">
        <v>732442.89</v>
      </c>
      <c r="L449" s="4">
        <v>871235.35</v>
      </c>
      <c r="M449" s="4">
        <v>400438.18</v>
      </c>
      <c r="N449" s="4">
        <v>4747499.17</v>
      </c>
      <c r="O449" s="4">
        <v>24806342.210000001</v>
      </c>
      <c r="P449" s="4">
        <v>514266.15</v>
      </c>
      <c r="Q449" s="4">
        <v>539146.97</v>
      </c>
      <c r="R449" s="4">
        <v>464786.95</v>
      </c>
      <c r="S449" s="4">
        <v>690330.81</v>
      </c>
      <c r="T449" s="4">
        <v>729365.17</v>
      </c>
      <c r="U449" s="4">
        <v>62283.98</v>
      </c>
      <c r="V449" s="4">
        <v>661544.56000000006</v>
      </c>
      <c r="W449" s="4">
        <v>1822140.51</v>
      </c>
      <c r="X449" s="4">
        <v>230147.04</v>
      </c>
      <c r="Y449" s="4">
        <v>670993.93000000005</v>
      </c>
      <c r="Z449" s="4">
        <v>623345.18999999994</v>
      </c>
      <c r="AA449" s="4">
        <v>20085239.629999999</v>
      </c>
      <c r="AB449" s="4">
        <v>566818.43999999994</v>
      </c>
      <c r="AC449" s="4">
        <v>39478124.299999997</v>
      </c>
      <c r="AD449" s="4">
        <v>4095224.97</v>
      </c>
      <c r="AE449" s="4">
        <v>3666665.5</v>
      </c>
      <c r="AF449" s="4">
        <v>10119633.619999999</v>
      </c>
      <c r="AG449" s="4">
        <v>1631932.74</v>
      </c>
      <c r="AH449" s="4">
        <v>4953880.8600000003</v>
      </c>
      <c r="AI449" s="4">
        <v>403064.58</v>
      </c>
      <c r="AJ449" s="4">
        <v>0</v>
      </c>
      <c r="AK449" s="4">
        <v>779130.79</v>
      </c>
      <c r="AL449" s="4">
        <v>1112490.8600000001</v>
      </c>
      <c r="AM449" s="4">
        <v>1811991.19</v>
      </c>
      <c r="AN449" s="4">
        <v>4493292.93</v>
      </c>
      <c r="AO449" s="4">
        <v>1490782.7</v>
      </c>
      <c r="AP449" s="4">
        <v>2959760.42</v>
      </c>
      <c r="AQ449" s="4">
        <v>2862971.97</v>
      </c>
      <c r="AR449" s="4">
        <v>301444.89</v>
      </c>
      <c r="AS449" s="4">
        <v>161954.53</v>
      </c>
      <c r="AT449" s="4">
        <v>405065.87</v>
      </c>
      <c r="AU449" s="4">
        <v>1564759.89</v>
      </c>
      <c r="AV449" s="4">
        <v>35405262.649999999</v>
      </c>
      <c r="AW449" s="4">
        <v>1062510.19</v>
      </c>
      <c r="AX449" s="4">
        <v>609846.80000000005</v>
      </c>
      <c r="AY449" s="4">
        <v>1780233.82</v>
      </c>
      <c r="AZ449" s="4">
        <v>2790347.57</v>
      </c>
      <c r="BA449" s="4">
        <v>1373247.62</v>
      </c>
      <c r="BB449" s="4">
        <v>524056.73</v>
      </c>
      <c r="BC449" s="4">
        <v>1165327.73</v>
      </c>
      <c r="BD449" s="4">
        <v>14565040.060000001</v>
      </c>
      <c r="BE449" s="4">
        <v>489446.7</v>
      </c>
      <c r="BF449" s="4">
        <v>208573.41</v>
      </c>
      <c r="BG449" s="4">
        <v>92.32</v>
      </c>
      <c r="BH449" s="4">
        <f t="shared" si="78"/>
        <v>224160105.89999995</v>
      </c>
    </row>
    <row r="450" spans="1:60" x14ac:dyDescent="0.2">
      <c r="A450" s="3">
        <v>34121</v>
      </c>
      <c r="B450" s="4">
        <v>14910067.380000001</v>
      </c>
      <c r="C450" s="4">
        <v>1321139.19</v>
      </c>
      <c r="D450" s="4">
        <v>5734161.7999999998</v>
      </c>
      <c r="E450" s="4">
        <v>2374513.44</v>
      </c>
      <c r="F450" s="4">
        <v>2481544.5499999998</v>
      </c>
      <c r="G450" s="4">
        <v>3998027.56</v>
      </c>
      <c r="H450" s="4">
        <v>2718539.46</v>
      </c>
      <c r="I450" s="4">
        <v>1063266</v>
      </c>
      <c r="J450" s="4">
        <v>2422121.79</v>
      </c>
      <c r="K450" s="4">
        <v>1580056.3</v>
      </c>
      <c r="L450" s="4">
        <v>1343475.09</v>
      </c>
      <c r="M450" s="4">
        <v>726174.94</v>
      </c>
      <c r="N450" s="4">
        <v>6376679.8700000001</v>
      </c>
      <c r="O450" s="4">
        <v>37060527.68</v>
      </c>
      <c r="P450" s="4">
        <v>970910.6</v>
      </c>
      <c r="Q450" s="4">
        <v>960111.58</v>
      </c>
      <c r="R450" s="4">
        <v>1037670.73</v>
      </c>
      <c r="S450" s="4">
        <v>1479738.01</v>
      </c>
      <c r="T450" s="4">
        <v>1710344.01</v>
      </c>
      <c r="U450" s="4">
        <v>173479.39</v>
      </c>
      <c r="V450" s="4">
        <v>1304399.6100000001</v>
      </c>
      <c r="W450" s="4">
        <v>3031096.93</v>
      </c>
      <c r="X450" s="4">
        <v>454759.62</v>
      </c>
      <c r="Y450" s="4">
        <v>1438928.48</v>
      </c>
      <c r="Z450" s="4">
        <v>1339859.3700000001</v>
      </c>
      <c r="AA450" s="4">
        <v>27958145.41</v>
      </c>
      <c r="AB450" s="4">
        <v>1016759.55</v>
      </c>
      <c r="AC450" s="4">
        <v>65088449.350000001</v>
      </c>
      <c r="AD450" s="4">
        <v>5384566.9299999997</v>
      </c>
      <c r="AE450" s="4">
        <v>7816886.2400000002</v>
      </c>
      <c r="AF450" s="4">
        <v>14593968.970000001</v>
      </c>
      <c r="AG450" s="4">
        <v>2578938.15</v>
      </c>
      <c r="AH450" s="4">
        <v>9506492.1300000008</v>
      </c>
      <c r="AI450" s="4">
        <v>891166.67</v>
      </c>
      <c r="AJ450" s="4">
        <v>0</v>
      </c>
      <c r="AK450" s="4">
        <v>1830353.12</v>
      </c>
      <c r="AL450" s="4">
        <v>1751183.21</v>
      </c>
      <c r="AM450" s="4">
        <v>3664010.21</v>
      </c>
      <c r="AN450" s="4">
        <v>7641435.8600000003</v>
      </c>
      <c r="AO450" s="4">
        <v>2947501.16</v>
      </c>
      <c r="AP450" s="4">
        <v>5037508.6900000004</v>
      </c>
      <c r="AQ450" s="4">
        <v>4732511.4800000004</v>
      </c>
      <c r="AR450" s="4">
        <v>636680.62</v>
      </c>
      <c r="AS450" s="4">
        <v>431770.79</v>
      </c>
      <c r="AT450" s="4">
        <v>660716.77</v>
      </c>
      <c r="AU450" s="4">
        <v>2665775.4700000002</v>
      </c>
      <c r="AV450" s="4">
        <v>60829636.759999998</v>
      </c>
      <c r="AW450" s="4">
        <v>1761864.77</v>
      </c>
      <c r="AX450" s="4">
        <v>1214908.24</v>
      </c>
      <c r="AY450" s="4">
        <v>2930471.66</v>
      </c>
      <c r="AZ450" s="4">
        <v>4031329.63</v>
      </c>
      <c r="BA450" s="4">
        <v>2492424.62</v>
      </c>
      <c r="BB450" s="4">
        <v>1149086.32</v>
      </c>
      <c r="BC450" s="4">
        <v>2225125.4700000002</v>
      </c>
      <c r="BD450" s="4">
        <v>24545645.899999999</v>
      </c>
      <c r="BE450" s="4">
        <v>1106555.3999999999</v>
      </c>
      <c r="BF450" s="4">
        <v>468347.52</v>
      </c>
      <c r="BG450" s="4">
        <v>96880.58</v>
      </c>
      <c r="BH450" s="4">
        <f t="shared" si="78"/>
        <v>367698691.03000003</v>
      </c>
    </row>
    <row r="451" spans="1:60" x14ac:dyDescent="0.2">
      <c r="A451" s="3">
        <v>34151</v>
      </c>
      <c r="B451" s="4">
        <v>10408723.48</v>
      </c>
      <c r="C451" s="4">
        <v>673638.31</v>
      </c>
      <c r="D451" s="4">
        <v>3961652.83</v>
      </c>
      <c r="E451" s="4">
        <v>1306462.19</v>
      </c>
      <c r="F451" s="4">
        <v>1541319.44</v>
      </c>
      <c r="G451" s="4">
        <v>2379285.17</v>
      </c>
      <c r="H451" s="4">
        <v>1630645.86</v>
      </c>
      <c r="I451" s="4">
        <v>548929.1</v>
      </c>
      <c r="J451" s="4">
        <v>1757242.14</v>
      </c>
      <c r="K451" s="4">
        <v>840108.77</v>
      </c>
      <c r="L451" s="4">
        <v>753333.52</v>
      </c>
      <c r="M451" s="4">
        <v>466483.94</v>
      </c>
      <c r="N451" s="4">
        <v>5199501.24</v>
      </c>
      <c r="O451" s="4">
        <v>25860464.300000001</v>
      </c>
      <c r="P451" s="4">
        <v>770991.2</v>
      </c>
      <c r="Q451" s="4">
        <v>654071.16</v>
      </c>
      <c r="R451" s="4">
        <v>574882.69999999995</v>
      </c>
      <c r="S451" s="4">
        <v>847219.32</v>
      </c>
      <c r="T451" s="4">
        <v>937443.08</v>
      </c>
      <c r="U451" s="4">
        <v>112133.13</v>
      </c>
      <c r="V451" s="4">
        <v>756932.07</v>
      </c>
      <c r="W451" s="4">
        <v>2340750.36</v>
      </c>
      <c r="X451" s="4">
        <v>269653.02</v>
      </c>
      <c r="Y451" s="4">
        <v>744372.78</v>
      </c>
      <c r="Z451" s="4">
        <v>718652.58</v>
      </c>
      <c r="AA451" s="4">
        <v>20965148.18</v>
      </c>
      <c r="AB451" s="4">
        <v>600043.73</v>
      </c>
      <c r="AC451" s="4">
        <v>41236633.759999998</v>
      </c>
      <c r="AD451" s="4">
        <v>4193910.74</v>
      </c>
      <c r="AE451" s="4">
        <v>4174208.75</v>
      </c>
      <c r="AF451" s="4">
        <v>10714508.779999999</v>
      </c>
      <c r="AG451" s="4">
        <v>1714197.33</v>
      </c>
      <c r="AH451" s="4">
        <v>5656570.2400000002</v>
      </c>
      <c r="AI451" s="4">
        <v>547425.91</v>
      </c>
      <c r="AJ451" s="4">
        <v>0</v>
      </c>
      <c r="AK451" s="4">
        <v>900719.79</v>
      </c>
      <c r="AL451" s="4">
        <v>1160677.44</v>
      </c>
      <c r="AM451" s="4">
        <v>2003094.07</v>
      </c>
      <c r="AN451" s="4">
        <v>4694568.4800000004</v>
      </c>
      <c r="AO451" s="4">
        <v>1711452.05</v>
      </c>
      <c r="AP451" s="4">
        <v>3283056.24</v>
      </c>
      <c r="AQ451" s="4">
        <v>2783721.49</v>
      </c>
      <c r="AR451" s="4">
        <v>361689.12</v>
      </c>
      <c r="AS451" s="4">
        <v>254305.58</v>
      </c>
      <c r="AT451" s="4">
        <v>430602.63</v>
      </c>
      <c r="AU451" s="4">
        <v>1738306.99</v>
      </c>
      <c r="AV451" s="4">
        <v>39719754.840000004</v>
      </c>
      <c r="AW451" s="4">
        <v>1636725.57</v>
      </c>
      <c r="AX451" s="4">
        <v>568798.71999999997</v>
      </c>
      <c r="AY451" s="4">
        <v>1708597.14</v>
      </c>
      <c r="AZ451" s="4">
        <v>2937917.86</v>
      </c>
      <c r="BA451" s="4">
        <v>2040064.31</v>
      </c>
      <c r="BB451" s="4">
        <v>599789.84</v>
      </c>
      <c r="BC451" s="4">
        <v>1242866.33</v>
      </c>
      <c r="BD451" s="4">
        <v>15616057.25</v>
      </c>
      <c r="BE451" s="4">
        <v>579321.51</v>
      </c>
      <c r="BF451" s="4">
        <v>235326.82</v>
      </c>
      <c r="BG451" s="4">
        <v>1605.64</v>
      </c>
      <c r="BH451" s="4">
        <f t="shared" si="78"/>
        <v>242066558.82000005</v>
      </c>
    </row>
    <row r="452" spans="1:60" x14ac:dyDescent="0.2">
      <c r="A452" s="3">
        <v>34182</v>
      </c>
      <c r="B452" s="4">
        <v>9944712.5</v>
      </c>
      <c r="C452" s="4">
        <v>656470.52</v>
      </c>
      <c r="D452" s="4">
        <v>3914853.45</v>
      </c>
      <c r="E452" s="4">
        <v>1282893.17</v>
      </c>
      <c r="F452" s="4">
        <v>1446995.14</v>
      </c>
      <c r="G452" s="4">
        <v>2029843.24</v>
      </c>
      <c r="H452" s="4">
        <v>1611829.49</v>
      </c>
      <c r="I452" s="4">
        <v>533355.97</v>
      </c>
      <c r="J452" s="4">
        <v>1698285.23</v>
      </c>
      <c r="K452" s="4">
        <v>819638.59</v>
      </c>
      <c r="L452" s="4">
        <v>877798.81</v>
      </c>
      <c r="M452" s="4">
        <v>443835.42</v>
      </c>
      <c r="N452" s="4">
        <v>4903115.05</v>
      </c>
      <c r="O452" s="4">
        <v>24899217.390000001</v>
      </c>
      <c r="P452" s="4">
        <v>733668.95</v>
      </c>
      <c r="Q452" s="4">
        <v>606617.62</v>
      </c>
      <c r="R452" s="4">
        <v>537546.99</v>
      </c>
      <c r="S452" s="4">
        <v>870762.08</v>
      </c>
      <c r="T452" s="4">
        <v>927819.57</v>
      </c>
      <c r="U452" s="4">
        <v>100840.02</v>
      </c>
      <c r="V452" s="4">
        <v>748082.4</v>
      </c>
      <c r="W452" s="4">
        <v>2134861.4500000002</v>
      </c>
      <c r="X452" s="4">
        <v>275011.36</v>
      </c>
      <c r="Y452" s="4">
        <v>731210.4</v>
      </c>
      <c r="Z452" s="4">
        <v>679514.98</v>
      </c>
      <c r="AA452" s="4">
        <v>20628393.07</v>
      </c>
      <c r="AB452" s="4">
        <v>639434.21</v>
      </c>
      <c r="AC452" s="4">
        <v>40498964.350000001</v>
      </c>
      <c r="AD452" s="4">
        <v>4137836.02</v>
      </c>
      <c r="AE452" s="4">
        <v>4026341.2</v>
      </c>
      <c r="AF452" s="4">
        <v>10357799.6</v>
      </c>
      <c r="AG452" s="4">
        <v>1675528.68</v>
      </c>
      <c r="AH452" s="4">
        <v>5571727.4500000002</v>
      </c>
      <c r="AI452" s="4">
        <v>501004.78</v>
      </c>
      <c r="AJ452" s="4">
        <v>0</v>
      </c>
      <c r="AK452" s="4">
        <v>905045.88</v>
      </c>
      <c r="AL452" s="4">
        <v>1099590.1399999999</v>
      </c>
      <c r="AM452" s="4">
        <v>1903965.43</v>
      </c>
      <c r="AN452" s="4">
        <v>4589587.3600000003</v>
      </c>
      <c r="AO452" s="4">
        <v>1652484.72</v>
      </c>
      <c r="AP452" s="4">
        <v>3224151.3</v>
      </c>
      <c r="AQ452" s="4">
        <v>2732492.17</v>
      </c>
      <c r="AR452" s="4">
        <v>348012.28</v>
      </c>
      <c r="AS452" s="4">
        <v>231271.29</v>
      </c>
      <c r="AT452" s="4">
        <v>439097.5</v>
      </c>
      <c r="AU452" s="4">
        <v>1702393.99</v>
      </c>
      <c r="AV452" s="4">
        <v>38473681.079999998</v>
      </c>
      <c r="AW452" s="4">
        <v>1593138.04</v>
      </c>
      <c r="AX452" s="4">
        <v>572804.06999999995</v>
      </c>
      <c r="AY452" s="4">
        <v>1721204.55</v>
      </c>
      <c r="AZ452" s="4">
        <v>2927921.75</v>
      </c>
      <c r="BA452" s="4">
        <v>1957860.23</v>
      </c>
      <c r="BB452" s="4">
        <v>551271.91</v>
      </c>
      <c r="BC452" s="4">
        <v>1242478.29</v>
      </c>
      <c r="BD452" s="4">
        <v>15206935.460000001</v>
      </c>
      <c r="BE452" s="4">
        <v>573264.80000000005</v>
      </c>
      <c r="BF452" s="4">
        <v>236196.72</v>
      </c>
      <c r="BG452" s="4">
        <v>1158.28</v>
      </c>
      <c r="BH452" s="4">
        <f t="shared" si="78"/>
        <v>235331816.38999996</v>
      </c>
    </row>
    <row r="453" spans="1:60" x14ac:dyDescent="0.2">
      <c r="A453" s="3">
        <v>34213</v>
      </c>
      <c r="B453" s="4">
        <v>15904450.59</v>
      </c>
      <c r="C453" s="4">
        <v>1537534.35</v>
      </c>
      <c r="D453" s="4">
        <v>6184750.9500000002</v>
      </c>
      <c r="E453" s="4">
        <v>2458560.02</v>
      </c>
      <c r="F453" s="4">
        <v>3446584.51</v>
      </c>
      <c r="G453" s="4">
        <v>4436340.34</v>
      </c>
      <c r="H453" s="4">
        <v>3391765.62</v>
      </c>
      <c r="I453" s="4">
        <v>1100821.08</v>
      </c>
      <c r="J453" s="4">
        <v>2886998.68</v>
      </c>
      <c r="K453" s="4">
        <v>1709139.94</v>
      </c>
      <c r="L453" s="4">
        <v>1761117.25</v>
      </c>
      <c r="M453" s="4">
        <v>896549.52</v>
      </c>
      <c r="N453" s="4">
        <v>7081876.7999999998</v>
      </c>
      <c r="O453" s="4">
        <v>39611841.109999999</v>
      </c>
      <c r="P453" s="4">
        <v>1731192.17</v>
      </c>
      <c r="Q453" s="4">
        <v>1299169.04</v>
      </c>
      <c r="R453" s="4">
        <v>1028286.88</v>
      </c>
      <c r="S453" s="4">
        <v>1595819.66</v>
      </c>
      <c r="T453" s="4">
        <v>1996936.25</v>
      </c>
      <c r="U453" s="4">
        <v>401971.8</v>
      </c>
      <c r="V453" s="4">
        <v>1774917.67</v>
      </c>
      <c r="W453" s="4">
        <v>3711940.54</v>
      </c>
      <c r="X453" s="4">
        <v>503959.29</v>
      </c>
      <c r="Y453" s="4">
        <v>1801853.71</v>
      </c>
      <c r="Z453" s="4">
        <v>1125819.04</v>
      </c>
      <c r="AA453" s="4">
        <v>31790044.789999999</v>
      </c>
      <c r="AB453" s="4">
        <v>1038058.41</v>
      </c>
      <c r="AC453" s="4">
        <v>68511869.609999999</v>
      </c>
      <c r="AD453" s="4">
        <v>5895249.9699999997</v>
      </c>
      <c r="AE453" s="4">
        <v>7909345.8899999997</v>
      </c>
      <c r="AF453" s="4">
        <v>16353668.75</v>
      </c>
      <c r="AG453" s="4">
        <v>3161176.39</v>
      </c>
      <c r="AH453" s="4">
        <v>10396473.689999999</v>
      </c>
      <c r="AI453" s="4">
        <v>1138699.7</v>
      </c>
      <c r="AJ453" s="4">
        <v>0</v>
      </c>
      <c r="AK453" s="4">
        <v>1960593.58</v>
      </c>
      <c r="AL453" s="4">
        <v>2347378.9700000002</v>
      </c>
      <c r="AM453" s="4">
        <v>3519046.23</v>
      </c>
      <c r="AN453" s="4">
        <v>8767352.6099999994</v>
      </c>
      <c r="AO453" s="4">
        <v>3115570.09</v>
      </c>
      <c r="AP453" s="4">
        <v>6025244.4400000004</v>
      </c>
      <c r="AQ453" s="4">
        <v>4880715.4400000004</v>
      </c>
      <c r="AR453" s="4">
        <v>781393.88</v>
      </c>
      <c r="AS453" s="4">
        <v>561225.16</v>
      </c>
      <c r="AT453" s="4">
        <v>922089.03</v>
      </c>
      <c r="AU453" s="4">
        <v>3252627.78</v>
      </c>
      <c r="AV453" s="4">
        <v>67618368.799999997</v>
      </c>
      <c r="AW453" s="4">
        <v>2006444.18</v>
      </c>
      <c r="AX453" s="4">
        <v>1078399.48</v>
      </c>
      <c r="AY453" s="4">
        <v>3465796.64</v>
      </c>
      <c r="AZ453" s="4">
        <v>5298536.92</v>
      </c>
      <c r="BA453" s="4">
        <v>3674880.93</v>
      </c>
      <c r="BB453" s="4">
        <v>1248860.72</v>
      </c>
      <c r="BC453" s="4">
        <v>2318696.56</v>
      </c>
      <c r="BD453" s="4">
        <v>24126708.760000002</v>
      </c>
      <c r="BE453" s="4">
        <v>1095568.29</v>
      </c>
      <c r="BF453" s="4">
        <v>602694.47</v>
      </c>
      <c r="BG453" s="4">
        <v>126847.09</v>
      </c>
      <c r="BH453" s="4">
        <f t="shared" si="78"/>
        <v>404369824.06</v>
      </c>
    </row>
    <row r="454" spans="1:60" x14ac:dyDescent="0.2">
      <c r="A454" s="3">
        <v>34243</v>
      </c>
      <c r="B454" s="4">
        <v>10142274.710000001</v>
      </c>
      <c r="C454" s="4">
        <v>703268.52</v>
      </c>
      <c r="D454" s="4">
        <v>4112716.16</v>
      </c>
      <c r="E454" s="4">
        <v>1202222.82</v>
      </c>
      <c r="F454" s="4">
        <v>1362024.26</v>
      </c>
      <c r="G454" s="4">
        <v>1986170</v>
      </c>
      <c r="H454" s="4">
        <v>1687261.5</v>
      </c>
      <c r="I454" s="4">
        <v>513579.2</v>
      </c>
      <c r="J454" s="4">
        <v>1696204.27</v>
      </c>
      <c r="K454" s="4">
        <v>795190.01</v>
      </c>
      <c r="L454" s="4">
        <v>795169.77</v>
      </c>
      <c r="M454" s="4">
        <v>430150.52</v>
      </c>
      <c r="N454" s="4">
        <v>5182538.8</v>
      </c>
      <c r="O454" s="4">
        <v>24415747.239999998</v>
      </c>
      <c r="P454" s="4">
        <v>611056.06999999995</v>
      </c>
      <c r="Q454" s="4">
        <v>620562.14</v>
      </c>
      <c r="R454" s="4">
        <v>524770.26</v>
      </c>
      <c r="S454" s="4">
        <v>686359.28</v>
      </c>
      <c r="T454" s="4">
        <v>884425.13</v>
      </c>
      <c r="U454" s="4">
        <v>80843.58</v>
      </c>
      <c r="V454" s="4">
        <v>709543.12</v>
      </c>
      <c r="W454" s="4">
        <v>1972412.18</v>
      </c>
      <c r="X454" s="4">
        <v>248766.74</v>
      </c>
      <c r="Y454" s="4">
        <v>720818.08</v>
      </c>
      <c r="Z454" s="4">
        <v>662841.9</v>
      </c>
      <c r="AA454" s="4">
        <v>20316137.359999999</v>
      </c>
      <c r="AB454" s="4">
        <v>610361.80000000005</v>
      </c>
      <c r="AC454" s="4">
        <v>41501332.869999997</v>
      </c>
      <c r="AD454" s="4">
        <v>3781414.89</v>
      </c>
      <c r="AE454" s="4">
        <v>4100239.28</v>
      </c>
      <c r="AF454" s="4">
        <v>10693195.68</v>
      </c>
      <c r="AG454" s="4">
        <v>1733662.32</v>
      </c>
      <c r="AH454" s="4">
        <v>5702623.1100000003</v>
      </c>
      <c r="AI454" s="4">
        <v>527945.11</v>
      </c>
      <c r="AJ454" s="4">
        <v>0</v>
      </c>
      <c r="AK454" s="4">
        <v>872363.37</v>
      </c>
      <c r="AL454" s="4">
        <v>1096660.27</v>
      </c>
      <c r="AM454" s="4">
        <v>1961122.73</v>
      </c>
      <c r="AN454" s="4">
        <v>4700763.92</v>
      </c>
      <c r="AO454" s="4">
        <v>1652018.75</v>
      </c>
      <c r="AP454" s="4">
        <v>3145013.89</v>
      </c>
      <c r="AQ454" s="4">
        <v>2935697.44</v>
      </c>
      <c r="AR454" s="4">
        <v>351614.16</v>
      </c>
      <c r="AS454" s="4">
        <v>187968.55</v>
      </c>
      <c r="AT454" s="4">
        <v>400393.86</v>
      </c>
      <c r="AU454" s="4">
        <v>1652404.84</v>
      </c>
      <c r="AV454" s="4">
        <v>37027159.329999998</v>
      </c>
      <c r="AW454" s="4">
        <v>1196334.8799999999</v>
      </c>
      <c r="AX454" s="4">
        <v>543740.84</v>
      </c>
      <c r="AY454" s="4">
        <v>1695148</v>
      </c>
      <c r="AZ454" s="4">
        <v>2848686.09</v>
      </c>
      <c r="BA454" s="4">
        <v>1545880.77</v>
      </c>
      <c r="BB454" s="4">
        <v>570437.88</v>
      </c>
      <c r="BC454" s="4">
        <v>1136849.9199999999</v>
      </c>
      <c r="BD454" s="4">
        <v>15488265.15</v>
      </c>
      <c r="BE454" s="4">
        <v>540459.86</v>
      </c>
      <c r="BF454" s="4">
        <v>229855.53</v>
      </c>
      <c r="BG454" s="4">
        <v>3591.04</v>
      </c>
      <c r="BH454" s="4">
        <f t="shared" si="78"/>
        <v>233496259.75000003</v>
      </c>
    </row>
    <row r="455" spans="1:60" x14ac:dyDescent="0.2">
      <c r="A455" s="3">
        <v>34274</v>
      </c>
      <c r="B455" s="4">
        <v>10524787.41</v>
      </c>
      <c r="C455" s="4">
        <v>734422</v>
      </c>
      <c r="D455" s="4">
        <v>4114242.59</v>
      </c>
      <c r="E455" s="4">
        <v>1227229.32</v>
      </c>
      <c r="F455" s="4">
        <v>1390694.39</v>
      </c>
      <c r="G455" s="4">
        <v>1984854.97</v>
      </c>
      <c r="H455" s="4">
        <v>1755618</v>
      </c>
      <c r="I455" s="4">
        <v>549963.06999999995</v>
      </c>
      <c r="J455" s="4">
        <v>1706111.09</v>
      </c>
      <c r="K455" s="4">
        <v>821306.84</v>
      </c>
      <c r="L455" s="4">
        <v>841565.43</v>
      </c>
      <c r="M455" s="4">
        <v>450097.01</v>
      </c>
      <c r="N455" s="4">
        <v>5112244.51</v>
      </c>
      <c r="O455" s="4">
        <v>25333312.170000002</v>
      </c>
      <c r="P455" s="4">
        <v>634350.47</v>
      </c>
      <c r="Q455" s="4">
        <v>609770.44999999995</v>
      </c>
      <c r="R455" s="4">
        <v>564047.48</v>
      </c>
      <c r="S455" s="4">
        <v>695762.9</v>
      </c>
      <c r="T455" s="4">
        <v>874928.85</v>
      </c>
      <c r="U455" s="4">
        <v>85665.46</v>
      </c>
      <c r="V455" s="4">
        <v>729876.05</v>
      </c>
      <c r="W455" s="4">
        <v>2028893.15</v>
      </c>
      <c r="X455" s="4">
        <v>264941.12</v>
      </c>
      <c r="Y455" s="4">
        <v>762049.29</v>
      </c>
      <c r="Z455" s="4">
        <v>705214.24</v>
      </c>
      <c r="AA455" s="4">
        <v>20552357.890000001</v>
      </c>
      <c r="AB455" s="4">
        <v>578361.1</v>
      </c>
      <c r="AC455" s="4">
        <v>42789382.640000001</v>
      </c>
      <c r="AD455" s="4">
        <v>3921221.86</v>
      </c>
      <c r="AE455" s="4">
        <v>4251901.33</v>
      </c>
      <c r="AF455" s="4">
        <v>10916002.67</v>
      </c>
      <c r="AG455" s="4">
        <v>1794754.68</v>
      </c>
      <c r="AH455" s="4">
        <v>5765865.7599999998</v>
      </c>
      <c r="AI455" s="4">
        <v>536526.9</v>
      </c>
      <c r="AJ455" s="4">
        <v>0</v>
      </c>
      <c r="AK455" s="4">
        <v>917698.25</v>
      </c>
      <c r="AL455" s="4">
        <v>1111992.3999999999</v>
      </c>
      <c r="AM455" s="4">
        <v>1962851.55</v>
      </c>
      <c r="AN455" s="4">
        <v>4586269.76</v>
      </c>
      <c r="AO455" s="4">
        <v>1736744.68</v>
      </c>
      <c r="AP455" s="4">
        <v>3300935.84</v>
      </c>
      <c r="AQ455" s="4">
        <v>3020505.01</v>
      </c>
      <c r="AR455" s="4">
        <v>362042.26</v>
      </c>
      <c r="AS455" s="4">
        <v>215634.68</v>
      </c>
      <c r="AT455" s="4">
        <v>418785.25</v>
      </c>
      <c r="AU455" s="4">
        <v>1707904.81</v>
      </c>
      <c r="AV455" s="4">
        <v>37521026.469999999</v>
      </c>
      <c r="AW455" s="4">
        <v>1230625.94</v>
      </c>
      <c r="AX455" s="4">
        <v>545633.39</v>
      </c>
      <c r="AY455" s="4">
        <v>1794398.06</v>
      </c>
      <c r="AZ455" s="4">
        <v>2929786.74</v>
      </c>
      <c r="BA455" s="4">
        <v>1631801.79</v>
      </c>
      <c r="BB455" s="4">
        <v>608201.17000000004</v>
      </c>
      <c r="BC455" s="4">
        <v>1181160.04</v>
      </c>
      <c r="BD455" s="4">
        <v>15315601.92</v>
      </c>
      <c r="BE455" s="4">
        <v>559868.48</v>
      </c>
      <c r="BF455" s="4">
        <v>225266.41</v>
      </c>
      <c r="BG455" s="4">
        <v>1579.59</v>
      </c>
      <c r="BH455" s="4">
        <f t="shared" si="78"/>
        <v>238494637.57999995</v>
      </c>
    </row>
    <row r="456" spans="1:60" x14ac:dyDescent="0.2">
      <c r="A456" s="3">
        <v>34304</v>
      </c>
      <c r="B456" s="4">
        <v>18221465.390000001</v>
      </c>
      <c r="C456" s="4">
        <v>1350446.46</v>
      </c>
      <c r="D456" s="4">
        <v>6733436.2599999998</v>
      </c>
      <c r="E456" s="4">
        <v>2232294.7200000002</v>
      </c>
      <c r="F456" s="4">
        <v>2865959.62</v>
      </c>
      <c r="G456" s="4">
        <v>3928631.97</v>
      </c>
      <c r="H456" s="4">
        <v>3107924.85</v>
      </c>
      <c r="I456" s="4">
        <v>1130445.56</v>
      </c>
      <c r="J456" s="4">
        <v>2838918.51</v>
      </c>
      <c r="K456" s="4">
        <v>1586759.9</v>
      </c>
      <c r="L456" s="4">
        <v>1766197.2</v>
      </c>
      <c r="M456" s="4">
        <v>857720.54</v>
      </c>
      <c r="N456" s="4">
        <v>7360081.2599999998</v>
      </c>
      <c r="O456" s="4">
        <v>35997419.640000001</v>
      </c>
      <c r="P456" s="4">
        <v>1440186.4</v>
      </c>
      <c r="Q456" s="4">
        <v>981790.58</v>
      </c>
      <c r="R456" s="4">
        <v>1046272.63</v>
      </c>
      <c r="S456" s="4">
        <v>1201998.47</v>
      </c>
      <c r="T456" s="4">
        <v>1566829.53</v>
      </c>
      <c r="U456" s="4">
        <v>212507.6</v>
      </c>
      <c r="V456" s="4">
        <v>1480844.14</v>
      </c>
      <c r="W456" s="4">
        <v>2943451.41</v>
      </c>
      <c r="X456" s="4">
        <v>539861.15</v>
      </c>
      <c r="Y456" s="4">
        <v>1690387.94</v>
      </c>
      <c r="Z456" s="4">
        <v>1265094.9099999999</v>
      </c>
      <c r="AA456" s="4">
        <v>32070390.34</v>
      </c>
      <c r="AB456" s="4">
        <v>992398.21</v>
      </c>
      <c r="AC456" s="4">
        <v>68217562.849999994</v>
      </c>
      <c r="AD456" s="4">
        <v>5659666.0599999996</v>
      </c>
      <c r="AE456" s="4">
        <v>7408277.25</v>
      </c>
      <c r="AF456" s="4">
        <v>15912668.970000001</v>
      </c>
      <c r="AG456" s="4">
        <v>2727647.96</v>
      </c>
      <c r="AH456" s="4">
        <v>9491540.7200000007</v>
      </c>
      <c r="AI456" s="4">
        <v>990556.27</v>
      </c>
      <c r="AJ456" s="4">
        <v>0</v>
      </c>
      <c r="AK456" s="4">
        <v>1460170.8</v>
      </c>
      <c r="AL456" s="4">
        <v>2160700.7200000002</v>
      </c>
      <c r="AM456" s="4">
        <v>3904202.08</v>
      </c>
      <c r="AN456" s="4">
        <v>7761410.5599999996</v>
      </c>
      <c r="AO456" s="4">
        <v>2424775.9</v>
      </c>
      <c r="AP456" s="4">
        <v>5693677.8899999997</v>
      </c>
      <c r="AQ456" s="4">
        <v>4759352.3899999997</v>
      </c>
      <c r="AR456" s="4">
        <v>795707.01</v>
      </c>
      <c r="AS456" s="4">
        <v>335758.85</v>
      </c>
      <c r="AT456" s="4">
        <v>718776.99</v>
      </c>
      <c r="AU456" s="4">
        <v>2908457.65</v>
      </c>
      <c r="AV456" s="4">
        <v>63128646.039999999</v>
      </c>
      <c r="AW456" s="4">
        <v>1801704.38</v>
      </c>
      <c r="AX456" s="4">
        <v>1194474.52</v>
      </c>
      <c r="AY456" s="4">
        <v>3620881.25</v>
      </c>
      <c r="AZ456" s="4">
        <v>5218383.93</v>
      </c>
      <c r="BA456" s="4">
        <v>2699105.76</v>
      </c>
      <c r="BB456" s="4">
        <v>1083810.23</v>
      </c>
      <c r="BC456" s="4">
        <v>2137443.09</v>
      </c>
      <c r="BD456" s="4">
        <v>24936564.719999999</v>
      </c>
      <c r="BE456" s="4">
        <v>1014185.78</v>
      </c>
      <c r="BF456" s="4">
        <v>555459.01</v>
      </c>
      <c r="BG456" s="4">
        <v>109496.58</v>
      </c>
      <c r="BH456" s="4">
        <f t="shared" si="78"/>
        <v>388240781.39999992</v>
      </c>
    </row>
    <row r="457" spans="1:60" ht="15.75" thickBot="1" x14ac:dyDescent="0.25">
      <c r="A457" s="3" t="s">
        <v>12</v>
      </c>
      <c r="B457" s="5">
        <f t="shared" ref="B457:AG457" si="79">SUM(B445:B456)</f>
        <v>143784427.49000001</v>
      </c>
      <c r="C457" s="5">
        <f t="shared" si="79"/>
        <v>10809279.02</v>
      </c>
      <c r="D457" s="5">
        <f t="shared" si="79"/>
        <v>56805877.880000003</v>
      </c>
      <c r="E457" s="5">
        <f t="shared" si="79"/>
        <v>19030199.649999999</v>
      </c>
      <c r="F457" s="5">
        <f t="shared" si="79"/>
        <v>22371294.050000001</v>
      </c>
      <c r="G457" s="5">
        <f t="shared" si="79"/>
        <v>31507780.43</v>
      </c>
      <c r="H457" s="5">
        <f t="shared" si="79"/>
        <v>24061634.43</v>
      </c>
      <c r="I457" s="5">
        <f t="shared" si="79"/>
        <v>8457050.7100000009</v>
      </c>
      <c r="J457" s="5">
        <f t="shared" si="79"/>
        <v>22996360.210000001</v>
      </c>
      <c r="K457" s="5">
        <f t="shared" si="79"/>
        <v>12321645.449999999</v>
      </c>
      <c r="L457" s="5">
        <f t="shared" si="79"/>
        <v>13006159.349999998</v>
      </c>
      <c r="M457" s="5">
        <f t="shared" si="79"/>
        <v>6515054.3199999994</v>
      </c>
      <c r="N457" s="5">
        <f t="shared" si="79"/>
        <v>67444352.889999986</v>
      </c>
      <c r="O457" s="5">
        <f t="shared" si="79"/>
        <v>344251112.89000005</v>
      </c>
      <c r="P457" s="5">
        <f t="shared" si="79"/>
        <v>10019037.470000001</v>
      </c>
      <c r="Q457" s="5">
        <f t="shared" si="79"/>
        <v>8839307.879999999</v>
      </c>
      <c r="R457" s="5">
        <f t="shared" si="79"/>
        <v>8158461.9300000006</v>
      </c>
      <c r="S457" s="5">
        <f t="shared" si="79"/>
        <v>10891955.050000001</v>
      </c>
      <c r="T457" s="5">
        <f t="shared" si="79"/>
        <v>12742413.029999999</v>
      </c>
      <c r="U457" s="5">
        <f t="shared" si="79"/>
        <v>1567396.73</v>
      </c>
      <c r="V457" s="5">
        <f t="shared" si="79"/>
        <v>11181563.220000001</v>
      </c>
      <c r="W457" s="5">
        <f t="shared" si="79"/>
        <v>27412982.599999998</v>
      </c>
      <c r="X457" s="5">
        <f t="shared" si="79"/>
        <v>3879005.3000000003</v>
      </c>
      <c r="Y457" s="5">
        <f t="shared" si="79"/>
        <v>11887191.410000002</v>
      </c>
      <c r="Z457" s="5">
        <f t="shared" si="79"/>
        <v>9960864.5199999996</v>
      </c>
      <c r="AA457" s="5">
        <f t="shared" si="79"/>
        <v>270906356.66999996</v>
      </c>
      <c r="AB457" s="5">
        <f t="shared" si="79"/>
        <v>8351739.0699999994</v>
      </c>
      <c r="AC457" s="5">
        <f t="shared" si="79"/>
        <v>587899791.86000001</v>
      </c>
      <c r="AD457" s="5">
        <f t="shared" si="79"/>
        <v>52828886.480000004</v>
      </c>
      <c r="AE457" s="5">
        <f t="shared" si="79"/>
        <v>61327309.75</v>
      </c>
      <c r="AF457" s="5">
        <f t="shared" si="79"/>
        <v>143537873.81999999</v>
      </c>
      <c r="AG457" s="5">
        <f t="shared" si="79"/>
        <v>24248480.16</v>
      </c>
      <c r="AH457" s="5">
        <f t="shared" ref="AH457:BG457" si="80">SUM(AH445:AH456)</f>
        <v>79952146.270000011</v>
      </c>
      <c r="AI457" s="5">
        <f t="shared" si="80"/>
        <v>7464734.6400000006</v>
      </c>
      <c r="AJ457" s="5">
        <f t="shared" si="80"/>
        <v>0</v>
      </c>
      <c r="AK457" s="5">
        <f t="shared" si="80"/>
        <v>13248587.5</v>
      </c>
      <c r="AL457" s="5">
        <f t="shared" si="80"/>
        <v>16354795.440000001</v>
      </c>
      <c r="AM457" s="5">
        <f t="shared" si="80"/>
        <v>28880954.200000003</v>
      </c>
      <c r="AN457" s="5">
        <f t="shared" si="80"/>
        <v>66596215.380000003</v>
      </c>
      <c r="AO457" s="5">
        <f t="shared" si="80"/>
        <v>23748944.34</v>
      </c>
      <c r="AP457" s="5">
        <f t="shared" si="80"/>
        <v>45475798.150000006</v>
      </c>
      <c r="AQ457" s="5">
        <f t="shared" si="80"/>
        <v>41614450.420000002</v>
      </c>
      <c r="AR457" s="5">
        <f t="shared" si="80"/>
        <v>5375608.5099999998</v>
      </c>
      <c r="AS457" s="5">
        <f t="shared" si="80"/>
        <v>3097576.23</v>
      </c>
      <c r="AT457" s="5">
        <f t="shared" si="80"/>
        <v>6077841.8900000006</v>
      </c>
      <c r="AU457" s="5">
        <f t="shared" si="80"/>
        <v>24458464.349999998</v>
      </c>
      <c r="AV457" s="5">
        <f t="shared" si="80"/>
        <v>541143147.16999996</v>
      </c>
      <c r="AW457" s="5">
        <f t="shared" si="80"/>
        <v>17055647.039999999</v>
      </c>
      <c r="AX457" s="5">
        <f t="shared" si="80"/>
        <v>8916764.0700000003</v>
      </c>
      <c r="AY457" s="5">
        <f t="shared" si="80"/>
        <v>26265970</v>
      </c>
      <c r="AZ457" s="5">
        <f t="shared" si="80"/>
        <v>41451670.599999994</v>
      </c>
      <c r="BA457" s="5">
        <f t="shared" si="80"/>
        <v>23682569.810000002</v>
      </c>
      <c r="BB457" s="5">
        <f t="shared" si="80"/>
        <v>8867764.879999999</v>
      </c>
      <c r="BC457" s="5">
        <f t="shared" si="80"/>
        <v>17573539.52</v>
      </c>
      <c r="BD457" s="5">
        <f t="shared" si="80"/>
        <v>219651934.16999999</v>
      </c>
      <c r="BE457" s="5">
        <f t="shared" si="80"/>
        <v>8173562.8700000001</v>
      </c>
      <c r="BF457" s="5">
        <f t="shared" si="80"/>
        <v>3831003.9400000004</v>
      </c>
      <c r="BG457" s="5">
        <f t="shared" si="80"/>
        <v>406827.03</v>
      </c>
      <c r="BH457" s="5">
        <f t="shared" si="78"/>
        <v>3328369364.1400008</v>
      </c>
    </row>
    <row r="458" spans="1:60" ht="15.75" thickTop="1" x14ac:dyDescent="0.2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</row>
    <row r="459" spans="1:60" x14ac:dyDescent="0.2">
      <c r="A459" s="3">
        <v>33604</v>
      </c>
      <c r="B459" s="4">
        <v>8579725.7699999996</v>
      </c>
      <c r="C459" s="4">
        <v>680292.05</v>
      </c>
      <c r="D459" s="4">
        <v>5868071.2400000002</v>
      </c>
      <c r="E459" s="4">
        <v>1310967.57</v>
      </c>
      <c r="F459" s="4">
        <v>1118273.6100000001</v>
      </c>
      <c r="G459" s="4">
        <v>2052473.38</v>
      </c>
      <c r="H459" s="4">
        <v>1563933.94</v>
      </c>
      <c r="I459" s="4">
        <v>481959.69</v>
      </c>
      <c r="J459" s="4">
        <v>1388467.86</v>
      </c>
      <c r="K459" s="4">
        <v>838598.82</v>
      </c>
      <c r="L459" s="4">
        <v>659744.61</v>
      </c>
      <c r="M459" s="4">
        <v>367962.68</v>
      </c>
      <c r="N459" s="4">
        <v>6157402.54</v>
      </c>
      <c r="O459" s="4">
        <v>26312639.530000001</v>
      </c>
      <c r="P459" s="4">
        <v>616422.78</v>
      </c>
      <c r="Q459" s="4">
        <v>540724.35</v>
      </c>
      <c r="R459" s="4">
        <v>438726.46</v>
      </c>
      <c r="S459" s="4">
        <v>653220.09</v>
      </c>
      <c r="T459" s="4">
        <v>669391.39</v>
      </c>
      <c r="U459" s="4">
        <v>58375.53</v>
      </c>
      <c r="V459" s="4">
        <v>633919.86</v>
      </c>
      <c r="W459" s="4">
        <v>1790479.32</v>
      </c>
      <c r="X459" s="4">
        <v>218158.68</v>
      </c>
      <c r="Y459" s="4">
        <v>650034.30000000005</v>
      </c>
      <c r="Z459" s="4">
        <v>590658.28</v>
      </c>
      <c r="AA459" s="4">
        <v>17565166.899999999</v>
      </c>
      <c r="AB459" s="4">
        <v>582887.31999999995</v>
      </c>
      <c r="AC459" s="4">
        <v>45052044.600000001</v>
      </c>
      <c r="AD459" s="4">
        <v>4195027.67</v>
      </c>
      <c r="AE459" s="4">
        <v>3114186.05</v>
      </c>
      <c r="AF459" s="4">
        <v>11033588.67</v>
      </c>
      <c r="AG459" s="4">
        <v>1674211.73</v>
      </c>
      <c r="AH459" s="4">
        <v>3856906.64</v>
      </c>
      <c r="AI459" s="4">
        <v>399642.98</v>
      </c>
      <c r="AJ459" s="4">
        <v>0</v>
      </c>
      <c r="AK459" s="4">
        <v>700972.53</v>
      </c>
      <c r="AL459" s="4">
        <v>1110716.45</v>
      </c>
      <c r="AM459" s="4">
        <v>1812303.66</v>
      </c>
      <c r="AN459" s="4">
        <v>4904554.1500000004</v>
      </c>
      <c r="AO459" s="4">
        <v>1594481.98</v>
      </c>
      <c r="AP459" s="4">
        <v>2979507.2</v>
      </c>
      <c r="AQ459" s="4">
        <v>2893575.54</v>
      </c>
      <c r="AR459" s="4">
        <v>209622.12</v>
      </c>
      <c r="AS459" s="4">
        <v>141136.82999999999</v>
      </c>
      <c r="AT459" s="4">
        <v>386778.9</v>
      </c>
      <c r="AU459" s="4">
        <v>1127303.53</v>
      </c>
      <c r="AV459" s="4">
        <v>34882973.280000001</v>
      </c>
      <c r="AW459" s="4">
        <v>1070290.3999999999</v>
      </c>
      <c r="AX459" s="4">
        <v>688022.79</v>
      </c>
      <c r="AY459" s="4">
        <v>1316470.9099999999</v>
      </c>
      <c r="AZ459" s="4">
        <v>3012054.82</v>
      </c>
      <c r="BA459" s="4">
        <v>1490929.2</v>
      </c>
      <c r="BB459" s="4">
        <v>541907.01</v>
      </c>
      <c r="BC459" s="4">
        <v>996056.54</v>
      </c>
      <c r="BD459" s="4">
        <v>17809385.829999998</v>
      </c>
      <c r="BE459" s="4">
        <v>374689.07</v>
      </c>
      <c r="BF459" s="4">
        <v>238773.97</v>
      </c>
      <c r="BG459" s="4">
        <v>0</v>
      </c>
      <c r="BH459" s="4">
        <f t="shared" ref="BH459:BH471" si="81">SUM(B459:BG459)</f>
        <v>231996793.59999987</v>
      </c>
    </row>
    <row r="460" spans="1:60" x14ac:dyDescent="0.2">
      <c r="A460" s="3">
        <v>33635</v>
      </c>
      <c r="B460" s="4">
        <v>6447187.6200000001</v>
      </c>
      <c r="C460" s="4">
        <v>495959.1</v>
      </c>
      <c r="D460" s="4">
        <v>3287920.68</v>
      </c>
      <c r="E460" s="4">
        <v>935907.71</v>
      </c>
      <c r="F460" s="4">
        <v>825149.59</v>
      </c>
      <c r="G460" s="4">
        <v>1479126.01</v>
      </c>
      <c r="H460" s="4">
        <v>1143729.79</v>
      </c>
      <c r="I460" s="4">
        <v>349343.63</v>
      </c>
      <c r="J460" s="4">
        <v>1012296.66</v>
      </c>
      <c r="K460" s="4">
        <v>582786.42000000004</v>
      </c>
      <c r="L460" s="4">
        <v>494962.7</v>
      </c>
      <c r="M460" s="4">
        <v>268312</v>
      </c>
      <c r="N460" s="4">
        <v>3978978.13</v>
      </c>
      <c r="O460" s="4">
        <v>19659065.41</v>
      </c>
      <c r="P460" s="4">
        <v>464890.32</v>
      </c>
      <c r="Q460" s="4">
        <v>403721.54</v>
      </c>
      <c r="R460" s="4">
        <v>326513.06</v>
      </c>
      <c r="S460" s="4">
        <v>484141.47</v>
      </c>
      <c r="T460" s="4">
        <v>496157.74</v>
      </c>
      <c r="U460" s="4">
        <v>40124.269999999997</v>
      </c>
      <c r="V460" s="4">
        <v>474379.01</v>
      </c>
      <c r="W460" s="4">
        <v>1416398.8</v>
      </c>
      <c r="X460" s="4">
        <v>160889.38</v>
      </c>
      <c r="Y460" s="4">
        <v>490468.84</v>
      </c>
      <c r="Z460" s="4">
        <v>436036.75</v>
      </c>
      <c r="AA460" s="4">
        <v>12308433.99</v>
      </c>
      <c r="AB460" s="4">
        <v>417178.22</v>
      </c>
      <c r="AC460" s="4">
        <v>33503331.52</v>
      </c>
      <c r="AD460" s="4">
        <v>3172311.59</v>
      </c>
      <c r="AE460" s="4">
        <v>2241066.1</v>
      </c>
      <c r="AF460" s="4">
        <v>8223500.0800000001</v>
      </c>
      <c r="AG460" s="4">
        <v>1261265.31</v>
      </c>
      <c r="AH460" s="4">
        <v>2746035.31</v>
      </c>
      <c r="AI460" s="4">
        <v>295654.33</v>
      </c>
      <c r="AJ460" s="4">
        <v>0</v>
      </c>
      <c r="AK460" s="4">
        <v>527104.18999999994</v>
      </c>
      <c r="AL460" s="4">
        <v>792320.34</v>
      </c>
      <c r="AM460" s="4">
        <v>1357377.41</v>
      </c>
      <c r="AN460" s="4">
        <v>3567840.81</v>
      </c>
      <c r="AO460" s="4">
        <v>1211023.99</v>
      </c>
      <c r="AP460" s="4">
        <v>2159873.98</v>
      </c>
      <c r="AQ460" s="4">
        <v>2188754.94</v>
      </c>
      <c r="AR460" s="4">
        <v>153800.85</v>
      </c>
      <c r="AS460" s="4">
        <v>104063.5</v>
      </c>
      <c r="AT460" s="4">
        <v>269700.71000000002</v>
      </c>
      <c r="AU460" s="4">
        <v>859569.12</v>
      </c>
      <c r="AV460" s="4">
        <v>25894699.41</v>
      </c>
      <c r="AW460" s="4">
        <v>762314.61</v>
      </c>
      <c r="AX460" s="4">
        <v>695022.15</v>
      </c>
      <c r="AY460" s="4">
        <v>957045.42</v>
      </c>
      <c r="AZ460" s="4">
        <v>2210218.19</v>
      </c>
      <c r="BA460" s="4">
        <v>1084651.45</v>
      </c>
      <c r="BB460" s="4">
        <v>400065.06</v>
      </c>
      <c r="BC460" s="4">
        <v>731109.93</v>
      </c>
      <c r="BD460" s="4">
        <v>13034237</v>
      </c>
      <c r="BE460" s="4">
        <v>289947.08</v>
      </c>
      <c r="BF460" s="4">
        <v>171634.05</v>
      </c>
      <c r="BG460" s="4">
        <v>0</v>
      </c>
      <c r="BH460" s="4">
        <f t="shared" si="81"/>
        <v>169745597.27000004</v>
      </c>
    </row>
    <row r="461" spans="1:60" x14ac:dyDescent="0.2">
      <c r="A461" s="3">
        <v>33664</v>
      </c>
      <c r="B461" s="4">
        <v>11900797.039999999</v>
      </c>
      <c r="C461" s="4">
        <v>1279174.77</v>
      </c>
      <c r="D461" s="4">
        <v>4910028.49</v>
      </c>
      <c r="E461" s="4">
        <v>2385602.63</v>
      </c>
      <c r="F461" s="4">
        <v>1790854.43</v>
      </c>
      <c r="G461" s="4">
        <v>3513552.17</v>
      </c>
      <c r="H461" s="4">
        <v>2171220.79</v>
      </c>
      <c r="I461" s="4">
        <v>902576.24</v>
      </c>
      <c r="J461" s="4">
        <v>2542003.46</v>
      </c>
      <c r="K461" s="4">
        <v>1385840.15</v>
      </c>
      <c r="L461" s="4">
        <v>1011922.58</v>
      </c>
      <c r="M461" s="4">
        <v>707119.29</v>
      </c>
      <c r="N461" s="4">
        <v>8818111.1300000008</v>
      </c>
      <c r="O461" s="4">
        <v>37139010.829999998</v>
      </c>
      <c r="P461" s="4">
        <v>840500.75</v>
      </c>
      <c r="Q461" s="4">
        <v>1118437.29</v>
      </c>
      <c r="R461" s="4">
        <v>772116.87</v>
      </c>
      <c r="S461" s="4">
        <v>1001108.06</v>
      </c>
      <c r="T461" s="4">
        <v>1002917.81</v>
      </c>
      <c r="U461" s="4">
        <v>165563.49</v>
      </c>
      <c r="V461" s="4">
        <v>1128247.43</v>
      </c>
      <c r="W461" s="4">
        <v>3001288.11</v>
      </c>
      <c r="X461" s="4">
        <v>914175.21</v>
      </c>
      <c r="Y461" s="4">
        <v>1334322.69</v>
      </c>
      <c r="Z461" s="4">
        <v>1031122.68</v>
      </c>
      <c r="AA461" s="4">
        <v>23682057.460000001</v>
      </c>
      <c r="AB461" s="4">
        <v>1138288.67</v>
      </c>
      <c r="AC461" s="4">
        <v>55587972.149999999</v>
      </c>
      <c r="AD461" s="4">
        <v>5357153.05</v>
      </c>
      <c r="AE461" s="4">
        <v>4160527.55</v>
      </c>
      <c r="AF461" s="4">
        <v>14982091.08</v>
      </c>
      <c r="AG461" s="4">
        <v>2328680.83</v>
      </c>
      <c r="AH461" s="4">
        <v>5949092.1600000001</v>
      </c>
      <c r="AI461" s="4">
        <v>766048.26</v>
      </c>
      <c r="AJ461" s="4">
        <v>0</v>
      </c>
      <c r="AK461" s="4">
        <v>1509672.41</v>
      </c>
      <c r="AL461" s="4">
        <v>1472150.84</v>
      </c>
      <c r="AM461" s="4">
        <v>2768444.48</v>
      </c>
      <c r="AN461" s="4">
        <v>7689537.4100000001</v>
      </c>
      <c r="AO461" s="4">
        <v>3257303.55</v>
      </c>
      <c r="AP461" s="4">
        <v>4350323.3499999996</v>
      </c>
      <c r="AQ461" s="4">
        <v>4145994.54</v>
      </c>
      <c r="AR461" s="4">
        <v>354642</v>
      </c>
      <c r="AS461" s="4">
        <v>314175.65000000002</v>
      </c>
      <c r="AT461" s="4">
        <v>782617.78</v>
      </c>
      <c r="AU461" s="4">
        <v>1819048.18</v>
      </c>
      <c r="AV461" s="4">
        <v>45913783.32</v>
      </c>
      <c r="AW461" s="4">
        <v>1693576.29</v>
      </c>
      <c r="AX461" s="4">
        <v>764248.36</v>
      </c>
      <c r="AY461" s="4">
        <v>1843494.12</v>
      </c>
      <c r="AZ461" s="4">
        <v>4949652.43</v>
      </c>
      <c r="BA461" s="4">
        <v>1743087.8</v>
      </c>
      <c r="BB461" s="4">
        <v>750474.61</v>
      </c>
      <c r="BC461" s="4">
        <v>1734696.3</v>
      </c>
      <c r="BD461" s="4">
        <v>20502919</v>
      </c>
      <c r="BE461" s="4">
        <v>707892.99</v>
      </c>
      <c r="BF461" s="4">
        <v>421841.4</v>
      </c>
      <c r="BG461" s="4">
        <v>0</v>
      </c>
      <c r="BH461" s="4">
        <f t="shared" si="81"/>
        <v>316209102.41000015</v>
      </c>
    </row>
    <row r="462" spans="1:60" x14ac:dyDescent="0.2">
      <c r="A462" s="3">
        <v>33695</v>
      </c>
      <c r="B462" s="4">
        <v>6760913.0199999996</v>
      </c>
      <c r="C462" s="4">
        <v>554039.13</v>
      </c>
      <c r="D462" s="4">
        <v>3500221.59</v>
      </c>
      <c r="E462" s="4">
        <v>1023904.21</v>
      </c>
      <c r="F462" s="4">
        <v>1036901.96</v>
      </c>
      <c r="G462" s="4">
        <v>1761602.8</v>
      </c>
      <c r="H462" s="4">
        <v>1240255.8600000001</v>
      </c>
      <c r="I462" s="4">
        <v>497379.16</v>
      </c>
      <c r="J462" s="4">
        <v>1223843.1599999999</v>
      </c>
      <c r="K462" s="4">
        <v>682407.42</v>
      </c>
      <c r="L462" s="4">
        <v>537307.94999999995</v>
      </c>
      <c r="M462" s="4">
        <v>393882.09</v>
      </c>
      <c r="N462" s="4">
        <v>4361221.66</v>
      </c>
      <c r="O462" s="4">
        <v>22698154.780000001</v>
      </c>
      <c r="P462" s="4">
        <v>546588.62</v>
      </c>
      <c r="Q462" s="4">
        <v>476976.73</v>
      </c>
      <c r="R462" s="4">
        <v>414845.63</v>
      </c>
      <c r="S462" s="4">
        <v>676604.19</v>
      </c>
      <c r="T462" s="4">
        <v>540187.65</v>
      </c>
      <c r="U462" s="4">
        <v>53915.4</v>
      </c>
      <c r="V462" s="4">
        <v>565181.75</v>
      </c>
      <c r="W462" s="4">
        <v>1668420.37</v>
      </c>
      <c r="X462" s="4">
        <v>201232.26</v>
      </c>
      <c r="Y462" s="4">
        <v>625689.85</v>
      </c>
      <c r="Z462" s="4">
        <v>577511.19999999995</v>
      </c>
      <c r="AA462" s="4">
        <v>14958415.99</v>
      </c>
      <c r="AB462" s="4">
        <v>486398.46</v>
      </c>
      <c r="AC462" s="4">
        <v>36694487.07</v>
      </c>
      <c r="AD462" s="4">
        <v>4900380.6900000004</v>
      </c>
      <c r="AE462" s="4">
        <v>2699467.54</v>
      </c>
      <c r="AF462" s="4">
        <v>9466627.0500000007</v>
      </c>
      <c r="AG462" s="4">
        <v>1381673.94</v>
      </c>
      <c r="AH462" s="4">
        <v>4799725.32</v>
      </c>
      <c r="AI462" s="4">
        <v>369399.59</v>
      </c>
      <c r="AJ462" s="4">
        <v>0</v>
      </c>
      <c r="AK462" s="4">
        <v>692687.07</v>
      </c>
      <c r="AL462" s="4">
        <v>1005309.56</v>
      </c>
      <c r="AM462" s="4">
        <v>1662889.94</v>
      </c>
      <c r="AN462" s="4">
        <v>4801376.74</v>
      </c>
      <c r="AO462" s="4">
        <v>1365899.53</v>
      </c>
      <c r="AP462" s="4">
        <v>2652773.64</v>
      </c>
      <c r="AQ462" s="4">
        <v>2447906.66</v>
      </c>
      <c r="AR462" s="4">
        <v>303032.3</v>
      </c>
      <c r="AS462" s="4">
        <v>182845.94</v>
      </c>
      <c r="AT462" s="4">
        <v>363381.85</v>
      </c>
      <c r="AU462" s="4">
        <v>1037816.56</v>
      </c>
      <c r="AV462" s="4">
        <v>29385122.449999999</v>
      </c>
      <c r="AW462" s="4">
        <v>1031938.42</v>
      </c>
      <c r="AX462" s="4">
        <v>553111.76</v>
      </c>
      <c r="AY462" s="4">
        <v>1128106.82</v>
      </c>
      <c r="AZ462" s="4">
        <v>2501458.04</v>
      </c>
      <c r="BA462" s="4">
        <v>1339961.8400000001</v>
      </c>
      <c r="BB462" s="4">
        <v>498740.76</v>
      </c>
      <c r="BC462" s="4">
        <v>1045950.81</v>
      </c>
      <c r="BD462" s="4">
        <v>14240049.960000001</v>
      </c>
      <c r="BE462" s="4">
        <v>384206.3</v>
      </c>
      <c r="BF462" s="4">
        <v>201128.08</v>
      </c>
      <c r="BG462" s="4">
        <v>0</v>
      </c>
      <c r="BH462" s="4">
        <f t="shared" si="81"/>
        <v>197201459.11999995</v>
      </c>
    </row>
    <row r="463" spans="1:60" x14ac:dyDescent="0.2">
      <c r="A463" s="3">
        <v>33725</v>
      </c>
      <c r="B463" s="4">
        <v>6958709.7300000004</v>
      </c>
      <c r="C463" s="4">
        <v>583319.94999999995</v>
      </c>
      <c r="D463" s="4">
        <v>3664716.2</v>
      </c>
      <c r="E463" s="4">
        <v>1105422.3799999999</v>
      </c>
      <c r="F463" s="4">
        <v>1030278.28</v>
      </c>
      <c r="G463" s="4">
        <v>1787827.39</v>
      </c>
      <c r="H463" s="4">
        <v>1297503.51</v>
      </c>
      <c r="I463" s="4">
        <v>496610.98</v>
      </c>
      <c r="J463" s="4">
        <v>1281173.29</v>
      </c>
      <c r="K463" s="4">
        <v>704426.62</v>
      </c>
      <c r="L463" s="4">
        <v>563880.68999999994</v>
      </c>
      <c r="M463" s="4">
        <v>400348.1</v>
      </c>
      <c r="N463" s="4">
        <v>4504396.5999999996</v>
      </c>
      <c r="O463" s="4">
        <v>23243888.449999999</v>
      </c>
      <c r="P463" s="4">
        <v>527714.55000000005</v>
      </c>
      <c r="Q463" s="4">
        <v>509460.58</v>
      </c>
      <c r="R463" s="4">
        <v>428041</v>
      </c>
      <c r="S463" s="4">
        <v>682855.17</v>
      </c>
      <c r="T463" s="4">
        <v>554751.42000000004</v>
      </c>
      <c r="U463" s="4">
        <v>57027.82</v>
      </c>
      <c r="V463" s="4">
        <v>578951.72</v>
      </c>
      <c r="W463" s="4">
        <v>1762999.52</v>
      </c>
      <c r="X463" s="4">
        <v>218558.82</v>
      </c>
      <c r="Y463" s="4">
        <v>644350.14</v>
      </c>
      <c r="Z463" s="4">
        <v>602786.11</v>
      </c>
      <c r="AA463" s="4">
        <v>15360321.279999999</v>
      </c>
      <c r="AB463" s="4">
        <v>533381.73</v>
      </c>
      <c r="AC463" s="4">
        <v>37517496.909999996</v>
      </c>
      <c r="AD463" s="4">
        <v>3763556.08</v>
      </c>
      <c r="AE463" s="4">
        <v>2882307.85</v>
      </c>
      <c r="AF463" s="4">
        <v>9644443.6899999995</v>
      </c>
      <c r="AG463" s="4">
        <v>1434699.61</v>
      </c>
      <c r="AH463" s="4">
        <v>4725944.3099999996</v>
      </c>
      <c r="AI463" s="4">
        <v>424577.09</v>
      </c>
      <c r="AJ463" s="4">
        <v>0</v>
      </c>
      <c r="AK463" s="4">
        <v>704542.73</v>
      </c>
      <c r="AL463" s="4">
        <v>1013631.64</v>
      </c>
      <c r="AM463" s="4">
        <v>1680056.56</v>
      </c>
      <c r="AN463" s="4">
        <v>4221942.99</v>
      </c>
      <c r="AO463" s="4">
        <v>1425063.37</v>
      </c>
      <c r="AP463" s="4">
        <v>2730394.4</v>
      </c>
      <c r="AQ463" s="4">
        <v>2565775.91</v>
      </c>
      <c r="AR463" s="4">
        <v>314308.88</v>
      </c>
      <c r="AS463" s="4">
        <v>163615.35999999999</v>
      </c>
      <c r="AT463" s="4">
        <v>380402.63</v>
      </c>
      <c r="AU463" s="4">
        <v>1096228.42</v>
      </c>
      <c r="AV463" s="4">
        <v>29815237.309999999</v>
      </c>
      <c r="AW463" s="4">
        <v>1050391.1599999999</v>
      </c>
      <c r="AX463" s="4">
        <v>568515.69999999995</v>
      </c>
      <c r="AY463" s="4">
        <v>1137967.1000000001</v>
      </c>
      <c r="AZ463" s="4">
        <v>2481062.11</v>
      </c>
      <c r="BA463" s="4">
        <v>1330378.1299999999</v>
      </c>
      <c r="BB463" s="4">
        <v>514617</v>
      </c>
      <c r="BC463" s="4">
        <v>1082143.81</v>
      </c>
      <c r="BD463" s="4">
        <v>14311433.09</v>
      </c>
      <c r="BE463" s="4">
        <v>380260.95</v>
      </c>
      <c r="BF463" s="4">
        <v>204364.16</v>
      </c>
      <c r="BG463" s="4">
        <v>0</v>
      </c>
      <c r="BH463" s="4">
        <f t="shared" si="81"/>
        <v>199649060.97999999</v>
      </c>
    </row>
    <row r="464" spans="1:60" x14ac:dyDescent="0.2">
      <c r="A464" s="3">
        <v>33756</v>
      </c>
      <c r="B464" s="4">
        <v>12124639.57</v>
      </c>
      <c r="C464" s="4">
        <v>1453694.81</v>
      </c>
      <c r="D464" s="4">
        <v>6705415.75</v>
      </c>
      <c r="E464" s="4">
        <v>2578490.04</v>
      </c>
      <c r="F464" s="4">
        <v>1799819.7</v>
      </c>
      <c r="G464" s="4">
        <v>3614574.77</v>
      </c>
      <c r="H464" s="4">
        <v>2147735.5</v>
      </c>
      <c r="I464" s="4">
        <v>955877.36</v>
      </c>
      <c r="J464" s="4">
        <v>2161948.25</v>
      </c>
      <c r="K464" s="4">
        <v>1406871.27</v>
      </c>
      <c r="L464" s="4">
        <v>1328593.02</v>
      </c>
      <c r="M464" s="4">
        <v>699357.26</v>
      </c>
      <c r="N464" s="4">
        <v>8312216.4500000002</v>
      </c>
      <c r="O464" s="4">
        <v>40339996.710000001</v>
      </c>
      <c r="P464" s="4">
        <v>1159728.01</v>
      </c>
      <c r="Q464" s="4">
        <v>976936.39</v>
      </c>
      <c r="R464" s="4">
        <v>901144.76</v>
      </c>
      <c r="S464" s="4">
        <v>1376974.79</v>
      </c>
      <c r="T464" s="4">
        <v>1181063.8700000001</v>
      </c>
      <c r="U464" s="4">
        <v>139002.31</v>
      </c>
      <c r="V464" s="4">
        <v>1804651.94</v>
      </c>
      <c r="W464" s="4">
        <v>2768185.15</v>
      </c>
      <c r="X464" s="4">
        <v>546900.5</v>
      </c>
      <c r="Y464" s="4">
        <v>1305294.3899999999</v>
      </c>
      <c r="Z464" s="4">
        <v>1185467.6399999999</v>
      </c>
      <c r="AA464" s="4">
        <v>19622221.120000001</v>
      </c>
      <c r="AB464" s="4">
        <v>1136561.76</v>
      </c>
      <c r="AC464" s="4">
        <v>61000023.899999999</v>
      </c>
      <c r="AD464" s="4">
        <v>5861143.2999999998</v>
      </c>
      <c r="AE464" s="4">
        <v>4735867.62</v>
      </c>
      <c r="AF464" s="4">
        <v>16674598.439999999</v>
      </c>
      <c r="AG464" s="4">
        <v>3312680.55</v>
      </c>
      <c r="AH464" s="4">
        <v>8336312.4699999997</v>
      </c>
      <c r="AI464" s="4">
        <v>884433.64</v>
      </c>
      <c r="AJ464" s="4">
        <v>0</v>
      </c>
      <c r="AK464" s="4">
        <v>1530496.37</v>
      </c>
      <c r="AL464" s="4">
        <v>1950663.27</v>
      </c>
      <c r="AM464" s="4">
        <v>3416342.08</v>
      </c>
      <c r="AN464" s="4">
        <v>7295600.8499999996</v>
      </c>
      <c r="AO464" s="4">
        <v>2479494.75</v>
      </c>
      <c r="AP464" s="4">
        <v>5330713.74</v>
      </c>
      <c r="AQ464" s="4">
        <v>4667057.8600000003</v>
      </c>
      <c r="AR464" s="4">
        <v>620458.21</v>
      </c>
      <c r="AS464" s="4">
        <v>363779.52</v>
      </c>
      <c r="AT464" s="4">
        <v>739161.34</v>
      </c>
      <c r="AU464" s="4">
        <v>2030383.99</v>
      </c>
      <c r="AV464" s="4">
        <v>51386088.759999998</v>
      </c>
      <c r="AW464" s="4">
        <v>1785488.48</v>
      </c>
      <c r="AX464" s="4">
        <v>956019.34</v>
      </c>
      <c r="AY464" s="4">
        <v>1944090.98</v>
      </c>
      <c r="AZ464" s="4">
        <v>5198526.03</v>
      </c>
      <c r="BA464" s="4">
        <v>2476623.91</v>
      </c>
      <c r="BB464" s="4">
        <v>1137058.26</v>
      </c>
      <c r="BC464" s="4">
        <v>2326802.71</v>
      </c>
      <c r="BD464" s="4">
        <v>20884802.57</v>
      </c>
      <c r="BE464" s="4">
        <v>834657.17</v>
      </c>
      <c r="BF464" s="4">
        <v>390802.82</v>
      </c>
      <c r="BG464" s="4">
        <v>239256.66</v>
      </c>
      <c r="BH464" s="4">
        <f t="shared" si="81"/>
        <v>340522792.68000013</v>
      </c>
    </row>
    <row r="465" spans="1:60" x14ac:dyDescent="0.2">
      <c r="A465" s="3">
        <v>33786</v>
      </c>
      <c r="B465" s="4">
        <v>7423705.5700000003</v>
      </c>
      <c r="C465" s="4">
        <v>625849.16</v>
      </c>
      <c r="D465" s="4">
        <v>4119912.72</v>
      </c>
      <c r="E465" s="4">
        <v>1175511.6499999999</v>
      </c>
      <c r="F465" s="4">
        <v>1084409.3700000001</v>
      </c>
      <c r="G465" s="4">
        <v>2025572.85</v>
      </c>
      <c r="H465" s="4">
        <v>1425693.38</v>
      </c>
      <c r="I465" s="4">
        <v>580901.01</v>
      </c>
      <c r="J465" s="4">
        <v>1532041.3</v>
      </c>
      <c r="K465" s="4">
        <v>799051.97</v>
      </c>
      <c r="L465" s="4">
        <v>602612.4</v>
      </c>
      <c r="M465" s="4">
        <v>211112.6</v>
      </c>
      <c r="N465" s="4">
        <v>5127758.0199999996</v>
      </c>
      <c r="O465" s="4">
        <v>24544161.559999999</v>
      </c>
      <c r="P465" s="4">
        <v>747775.28</v>
      </c>
      <c r="Q465" s="4">
        <v>607118.12</v>
      </c>
      <c r="R465" s="4">
        <v>469847.85</v>
      </c>
      <c r="S465" s="4">
        <v>892605.32</v>
      </c>
      <c r="T465" s="4">
        <v>722655.01</v>
      </c>
      <c r="U465" s="4">
        <v>108595.67</v>
      </c>
      <c r="V465" s="4">
        <v>751836.48</v>
      </c>
      <c r="W465" s="4">
        <v>2104873.7400000002</v>
      </c>
      <c r="X465" s="4">
        <v>269251.03000000003</v>
      </c>
      <c r="Y465" s="4">
        <v>710549.51</v>
      </c>
      <c r="Z465" s="4">
        <v>637526.87</v>
      </c>
      <c r="AA465" s="4">
        <v>16007638.93</v>
      </c>
      <c r="AB465" s="4">
        <v>576643.52</v>
      </c>
      <c r="AC465" s="4">
        <v>41085302.700000003</v>
      </c>
      <c r="AD465" s="4">
        <v>7580396.9199999999</v>
      </c>
      <c r="AE465" s="4">
        <v>2988554.25</v>
      </c>
      <c r="AF465" s="4">
        <v>10230248.01</v>
      </c>
      <c r="AG465" s="4">
        <v>1567645.46</v>
      </c>
      <c r="AH465" s="4">
        <v>5139829.47</v>
      </c>
      <c r="AI465" s="4">
        <v>397002.49</v>
      </c>
      <c r="AJ465" s="4">
        <v>0</v>
      </c>
      <c r="AK465" s="4">
        <v>912431.28</v>
      </c>
      <c r="AL465" s="4">
        <v>1094850.55</v>
      </c>
      <c r="AM465" s="4">
        <v>1925839.19</v>
      </c>
      <c r="AN465" s="4">
        <v>4665130.25</v>
      </c>
      <c r="AO465" s="4">
        <v>1524045.51</v>
      </c>
      <c r="AP465" s="4">
        <v>3376979.1</v>
      </c>
      <c r="AQ465" s="4">
        <v>2796237.69</v>
      </c>
      <c r="AR465" s="4">
        <v>398396.39</v>
      </c>
      <c r="AS465" s="4">
        <v>230222.52</v>
      </c>
      <c r="AT465" s="4">
        <v>419386.34</v>
      </c>
      <c r="AU465" s="4">
        <v>1221713.8700000001</v>
      </c>
      <c r="AV465" s="4">
        <v>34021826.18</v>
      </c>
      <c r="AW465" s="4">
        <v>1478282.08</v>
      </c>
      <c r="AX465" s="4">
        <v>566166.19999999995</v>
      </c>
      <c r="AY465" s="4">
        <v>1207029.9099999999</v>
      </c>
      <c r="AZ465" s="4">
        <v>2795704.73</v>
      </c>
      <c r="BA465" s="4">
        <v>1981702.45</v>
      </c>
      <c r="BB465" s="4">
        <v>530735.34</v>
      </c>
      <c r="BC465" s="4">
        <v>1148306.1299999999</v>
      </c>
      <c r="BD465" s="4">
        <v>14908687.4</v>
      </c>
      <c r="BE465" s="4">
        <v>421225.11</v>
      </c>
      <c r="BF465" s="4">
        <v>244841.72</v>
      </c>
      <c r="BG465" s="4">
        <v>38381.15</v>
      </c>
      <c r="BH465" s="4">
        <f t="shared" si="81"/>
        <v>222782311.28000003</v>
      </c>
    </row>
    <row r="466" spans="1:60" x14ac:dyDescent="0.2">
      <c r="A466" s="3">
        <v>33817</v>
      </c>
      <c r="B466" s="4">
        <v>7129556.5899999999</v>
      </c>
      <c r="C466" s="4">
        <v>606673.41</v>
      </c>
      <c r="D466" s="4">
        <v>3931242.91</v>
      </c>
      <c r="E466" s="4">
        <v>1153041.07</v>
      </c>
      <c r="F466" s="4">
        <v>1060754.8700000001</v>
      </c>
      <c r="G466" s="4">
        <v>1949489.87</v>
      </c>
      <c r="H466" s="4">
        <v>1325028.6299999999</v>
      </c>
      <c r="I466" s="4">
        <v>568129.64</v>
      </c>
      <c r="J466" s="4">
        <v>1490675.94</v>
      </c>
      <c r="K466" s="4">
        <v>754926.94</v>
      </c>
      <c r="L466" s="4">
        <v>580631.02</v>
      </c>
      <c r="M466" s="4">
        <v>220598.18</v>
      </c>
      <c r="N466" s="4">
        <v>4955582.0599999996</v>
      </c>
      <c r="O466" s="4">
        <v>23339881.969999999</v>
      </c>
      <c r="P466" s="4">
        <v>693189.37</v>
      </c>
      <c r="Q466" s="4">
        <v>600047.48</v>
      </c>
      <c r="R466" s="4">
        <v>444935.72</v>
      </c>
      <c r="S466" s="4">
        <v>784682.54</v>
      </c>
      <c r="T466" s="4">
        <v>678645.46</v>
      </c>
      <c r="U466" s="4">
        <v>101040.36</v>
      </c>
      <c r="V466" s="4">
        <v>705994.34</v>
      </c>
      <c r="W466" s="4">
        <v>1993374.64</v>
      </c>
      <c r="X466" s="4">
        <v>252654.99</v>
      </c>
      <c r="Y466" s="4">
        <v>711127.24</v>
      </c>
      <c r="Z466" s="4">
        <v>592375.67000000004</v>
      </c>
      <c r="AA466" s="4">
        <v>15050850.02</v>
      </c>
      <c r="AB466" s="4">
        <v>552603.71</v>
      </c>
      <c r="AC466" s="4">
        <v>38971354.719999999</v>
      </c>
      <c r="AD466" s="4">
        <v>3908823.25</v>
      </c>
      <c r="AE466" s="4">
        <v>2840172.78</v>
      </c>
      <c r="AF466" s="4">
        <v>9826107.2899999991</v>
      </c>
      <c r="AG466" s="4">
        <v>1506015.41</v>
      </c>
      <c r="AH466" s="4">
        <v>5005895.0199999996</v>
      </c>
      <c r="AI466" s="4">
        <v>389723.38</v>
      </c>
      <c r="AJ466" s="4">
        <v>0</v>
      </c>
      <c r="AK466" s="4">
        <v>871052.99</v>
      </c>
      <c r="AL466" s="4">
        <v>1030262.15</v>
      </c>
      <c r="AM466" s="4">
        <v>1757851.22</v>
      </c>
      <c r="AN466" s="4">
        <v>4440107.0999999996</v>
      </c>
      <c r="AO466" s="4">
        <v>1521127.81</v>
      </c>
      <c r="AP466" s="4">
        <v>3078577.12</v>
      </c>
      <c r="AQ466" s="4">
        <v>2470290.4300000002</v>
      </c>
      <c r="AR466" s="4">
        <v>376122.53</v>
      </c>
      <c r="AS466" s="4">
        <v>198823.58</v>
      </c>
      <c r="AT466" s="4">
        <v>431077.71</v>
      </c>
      <c r="AU466" s="4">
        <v>1162860.93</v>
      </c>
      <c r="AV466" s="4">
        <v>32328605.960000001</v>
      </c>
      <c r="AW466" s="4">
        <v>1440085.78</v>
      </c>
      <c r="AX466" s="4">
        <v>532914.97</v>
      </c>
      <c r="AY466" s="4">
        <v>1168823.92</v>
      </c>
      <c r="AZ466" s="4">
        <v>2658754.6</v>
      </c>
      <c r="BA466" s="4">
        <v>1920336.55</v>
      </c>
      <c r="BB466" s="4">
        <v>511736.41</v>
      </c>
      <c r="BC466" s="4">
        <v>1127001.8500000001</v>
      </c>
      <c r="BD466" s="4">
        <v>14162131.42</v>
      </c>
      <c r="BE466" s="4">
        <v>410454.46</v>
      </c>
      <c r="BF466" s="4">
        <v>230503.39</v>
      </c>
      <c r="BG466" s="4">
        <v>0</v>
      </c>
      <c r="BH466" s="4">
        <f t="shared" si="81"/>
        <v>208505329.37000003</v>
      </c>
    </row>
    <row r="467" spans="1:60" x14ac:dyDescent="0.2">
      <c r="A467" s="3">
        <v>33848</v>
      </c>
      <c r="B467" s="4">
        <v>12277720.49</v>
      </c>
      <c r="C467" s="4">
        <v>1486072.86</v>
      </c>
      <c r="D467" s="4">
        <v>5586863.2400000002</v>
      </c>
      <c r="E467" s="4">
        <v>2622854.12</v>
      </c>
      <c r="F467" s="4">
        <v>2261611.9700000002</v>
      </c>
      <c r="G467" s="4">
        <v>3792500.93</v>
      </c>
      <c r="H467" s="4">
        <v>2377198.92</v>
      </c>
      <c r="I467" s="4">
        <v>1059467.6200000001</v>
      </c>
      <c r="J467" s="4">
        <v>2464114.0699999998</v>
      </c>
      <c r="K467" s="4">
        <v>1681155.93</v>
      </c>
      <c r="L467" s="4">
        <v>1422429.77</v>
      </c>
      <c r="M467" s="4">
        <v>1313406.75</v>
      </c>
      <c r="N467" s="4">
        <v>7493385.5700000003</v>
      </c>
      <c r="O467" s="4">
        <v>38964703.289999999</v>
      </c>
      <c r="P467" s="4">
        <v>1796775.23</v>
      </c>
      <c r="Q467" s="4">
        <v>1393871.69</v>
      </c>
      <c r="R467" s="4">
        <v>1065688.6399999999</v>
      </c>
      <c r="S467" s="4">
        <v>1426377.36</v>
      </c>
      <c r="T467" s="4">
        <v>1439417.38</v>
      </c>
      <c r="U467" s="4">
        <v>354290.53</v>
      </c>
      <c r="V467" s="4">
        <v>1500066.84</v>
      </c>
      <c r="W467" s="4">
        <v>3743631.54</v>
      </c>
      <c r="X467" s="4">
        <v>809920.25</v>
      </c>
      <c r="Y467" s="4">
        <v>1284597.28</v>
      </c>
      <c r="Z467" s="4">
        <v>1387045.61</v>
      </c>
      <c r="AA467" s="4">
        <v>22991607.09</v>
      </c>
      <c r="AB467" s="4">
        <v>999863.04</v>
      </c>
      <c r="AC467" s="4">
        <v>60531646.700000003</v>
      </c>
      <c r="AD467" s="4">
        <v>6141946.4500000002</v>
      </c>
      <c r="AE467" s="4">
        <v>5685779.2300000004</v>
      </c>
      <c r="AF467" s="4">
        <v>15702130.09</v>
      </c>
      <c r="AG467" s="4">
        <v>3058796.08</v>
      </c>
      <c r="AH467" s="4">
        <v>9313839.6600000001</v>
      </c>
      <c r="AI467" s="4">
        <v>811841.42</v>
      </c>
      <c r="AJ467" s="4">
        <v>0</v>
      </c>
      <c r="AK467" s="4">
        <v>1757573.15</v>
      </c>
      <c r="AL467" s="4">
        <v>1991185.47</v>
      </c>
      <c r="AM467" s="4">
        <v>3344849.11</v>
      </c>
      <c r="AN467" s="4">
        <v>7259877.4000000004</v>
      </c>
      <c r="AO467" s="4">
        <v>3265965.73</v>
      </c>
      <c r="AP467" s="4">
        <v>5338074.58</v>
      </c>
      <c r="AQ467" s="4">
        <v>4395192.78</v>
      </c>
      <c r="AR467" s="4">
        <v>594802.91</v>
      </c>
      <c r="AS467" s="4">
        <v>552961.31999999995</v>
      </c>
      <c r="AT467" s="4">
        <v>899965.14</v>
      </c>
      <c r="AU467" s="4">
        <v>2314390.58</v>
      </c>
      <c r="AV467" s="4">
        <v>57565996.390000001</v>
      </c>
      <c r="AW467" s="4">
        <v>2921380.77</v>
      </c>
      <c r="AX467" s="4">
        <v>1062382.5900000001</v>
      </c>
      <c r="AY467" s="4">
        <v>2208339.92</v>
      </c>
      <c r="AZ467" s="4">
        <v>5377294.6100000003</v>
      </c>
      <c r="BA467" s="4">
        <v>3764435.66</v>
      </c>
      <c r="BB467" s="4">
        <v>1305370</v>
      </c>
      <c r="BC467" s="4">
        <v>2313081.2799999998</v>
      </c>
      <c r="BD467" s="4">
        <v>23234976.34</v>
      </c>
      <c r="BE467" s="4">
        <v>885238.5</v>
      </c>
      <c r="BF467" s="4">
        <v>630275.11</v>
      </c>
      <c r="BG467" s="4">
        <v>131622.69</v>
      </c>
      <c r="BH467" s="4">
        <f t="shared" si="81"/>
        <v>359357849.67000002</v>
      </c>
    </row>
    <row r="468" spans="1:60" x14ac:dyDescent="0.2">
      <c r="A468" s="3">
        <v>33878</v>
      </c>
      <c r="B468" s="4">
        <v>9873689.8900000006</v>
      </c>
      <c r="C468" s="4">
        <v>621303.81999999995</v>
      </c>
      <c r="D468" s="4">
        <v>3952305.75</v>
      </c>
      <c r="E468" s="4">
        <v>1186256.5</v>
      </c>
      <c r="F468" s="4">
        <v>1304410.23</v>
      </c>
      <c r="G468" s="4">
        <v>1870643.27</v>
      </c>
      <c r="H468" s="4">
        <v>1422233.72</v>
      </c>
      <c r="I468" s="4">
        <v>537864.93000000005</v>
      </c>
      <c r="J468" s="4">
        <v>1374318.47</v>
      </c>
      <c r="K468" s="4">
        <v>726432.09</v>
      </c>
      <c r="L468" s="4">
        <v>821904.51</v>
      </c>
      <c r="M468" s="4">
        <v>441819.4</v>
      </c>
      <c r="N468" s="4">
        <v>5220908.43</v>
      </c>
      <c r="O468" s="4">
        <v>23156034.870000001</v>
      </c>
      <c r="P468" s="4">
        <v>574789.81000000006</v>
      </c>
      <c r="Q468" s="4">
        <v>542650.06000000006</v>
      </c>
      <c r="R468" s="4">
        <v>452035.71</v>
      </c>
      <c r="S468" s="4">
        <v>671001.06000000006</v>
      </c>
      <c r="T468" s="4">
        <v>605748.99</v>
      </c>
      <c r="U468" s="4">
        <v>79042.41</v>
      </c>
      <c r="V468" s="4">
        <v>677559.19</v>
      </c>
      <c r="W468" s="4">
        <v>1850803.21</v>
      </c>
      <c r="X468" s="4">
        <v>232370.13</v>
      </c>
      <c r="Y468" s="4">
        <v>664135.48</v>
      </c>
      <c r="Z468" s="4">
        <v>577258.94999999995</v>
      </c>
      <c r="AA468" s="4">
        <v>18507426.949999999</v>
      </c>
      <c r="AB468" s="4">
        <v>580688.43000000005</v>
      </c>
      <c r="AC468" s="4">
        <v>39776396.439999998</v>
      </c>
      <c r="AD468" s="4">
        <v>3875495.03</v>
      </c>
      <c r="AE468" s="4">
        <v>3727519.67</v>
      </c>
      <c r="AF468" s="4">
        <v>10145923.5</v>
      </c>
      <c r="AG468" s="4">
        <v>1564197.21</v>
      </c>
      <c r="AH468" s="4">
        <v>5067892.54</v>
      </c>
      <c r="AI468" s="4">
        <v>353452.83</v>
      </c>
      <c r="AJ468" s="4">
        <v>0</v>
      </c>
      <c r="AK468" s="4">
        <v>866371.83</v>
      </c>
      <c r="AL468" s="4">
        <v>1056860.6399999999</v>
      </c>
      <c r="AM468" s="4">
        <v>1735743.45</v>
      </c>
      <c r="AN468" s="4">
        <v>4639926.2300000004</v>
      </c>
      <c r="AO468" s="4">
        <v>1595177.68</v>
      </c>
      <c r="AP468" s="4">
        <v>2913541.2</v>
      </c>
      <c r="AQ468" s="4">
        <v>2534152.98</v>
      </c>
      <c r="AR468" s="4">
        <v>384238.06</v>
      </c>
      <c r="AS468" s="4">
        <v>164902.16</v>
      </c>
      <c r="AT468" s="4">
        <v>405031.99</v>
      </c>
      <c r="AU468" s="4">
        <v>1248850.53</v>
      </c>
      <c r="AV468" s="4">
        <v>36259007.18</v>
      </c>
      <c r="AW468" s="4">
        <v>1168100.44</v>
      </c>
      <c r="AX468" s="4">
        <v>552402.85</v>
      </c>
      <c r="AY468" s="4">
        <v>1148971.93</v>
      </c>
      <c r="AZ468" s="4">
        <v>2830222.95</v>
      </c>
      <c r="BA468" s="4">
        <v>1507612</v>
      </c>
      <c r="BB468" s="4">
        <v>504174.83</v>
      </c>
      <c r="BC468" s="4">
        <v>1014655.93</v>
      </c>
      <c r="BD468" s="4">
        <v>15132823.109999999</v>
      </c>
      <c r="BE468" s="4">
        <v>380336.14</v>
      </c>
      <c r="BF468" s="4">
        <v>214354.95</v>
      </c>
      <c r="BG468" s="4">
        <v>1686.36</v>
      </c>
      <c r="BH468" s="4">
        <f t="shared" si="81"/>
        <v>221295658.89999998</v>
      </c>
    </row>
    <row r="469" spans="1:60" x14ac:dyDescent="0.2">
      <c r="A469" s="3">
        <v>33909</v>
      </c>
      <c r="B469" s="4">
        <v>9477779.6300000008</v>
      </c>
      <c r="C469" s="4">
        <v>606688.62</v>
      </c>
      <c r="D469" s="4">
        <v>3819862.3</v>
      </c>
      <c r="E469" s="4">
        <v>1115476.46</v>
      </c>
      <c r="F469" s="4">
        <v>1261867.58</v>
      </c>
      <c r="G469" s="4">
        <v>1783423.93</v>
      </c>
      <c r="H469" s="4">
        <v>1362739.25</v>
      </c>
      <c r="I469" s="4">
        <v>476382.22</v>
      </c>
      <c r="J469" s="4">
        <v>1357262.24</v>
      </c>
      <c r="K469" s="4">
        <v>715066.47</v>
      </c>
      <c r="L469" s="4">
        <v>773529.94</v>
      </c>
      <c r="M469" s="4">
        <v>399122.74</v>
      </c>
      <c r="N469" s="4">
        <v>4989566.22</v>
      </c>
      <c r="O469" s="4">
        <v>22450240.010000002</v>
      </c>
      <c r="P469" s="4">
        <v>563839.43000000005</v>
      </c>
      <c r="Q469" s="4">
        <v>523694.54</v>
      </c>
      <c r="R469" s="4">
        <v>431382.91</v>
      </c>
      <c r="S469" s="4">
        <v>708937.61</v>
      </c>
      <c r="T469" s="4">
        <v>583869.96</v>
      </c>
      <c r="U469" s="4">
        <v>74141.11</v>
      </c>
      <c r="V469" s="4">
        <v>640454.79</v>
      </c>
      <c r="W469" s="4">
        <v>1794516.53</v>
      </c>
      <c r="X469" s="4">
        <v>233428.4</v>
      </c>
      <c r="Y469" s="4">
        <v>651517.87</v>
      </c>
      <c r="Z469" s="4">
        <v>563611.5</v>
      </c>
      <c r="AA469" s="4">
        <v>17032059.91</v>
      </c>
      <c r="AB469" s="4">
        <v>567890.77</v>
      </c>
      <c r="AC469" s="4">
        <v>38088965.75</v>
      </c>
      <c r="AD469" s="4">
        <v>3829522.37</v>
      </c>
      <c r="AE469" s="4">
        <v>3595613.25</v>
      </c>
      <c r="AF469" s="4">
        <v>10119758.57</v>
      </c>
      <c r="AG469" s="4">
        <v>1496617.95</v>
      </c>
      <c r="AH469" s="4">
        <v>4835118.6100000003</v>
      </c>
      <c r="AI469" s="4">
        <v>343649.28000000003</v>
      </c>
      <c r="AJ469" s="4">
        <v>0</v>
      </c>
      <c r="AK469" s="4">
        <v>839935.86</v>
      </c>
      <c r="AL469" s="4">
        <v>996669.52</v>
      </c>
      <c r="AM469" s="4">
        <v>1663371.08</v>
      </c>
      <c r="AN469" s="4">
        <v>4476577.63</v>
      </c>
      <c r="AO469" s="4">
        <v>1540197.67</v>
      </c>
      <c r="AP469" s="4">
        <v>2853247.79</v>
      </c>
      <c r="AQ469" s="4">
        <v>2442975.5299999998</v>
      </c>
      <c r="AR469" s="4">
        <v>370220.48</v>
      </c>
      <c r="AS469" s="4">
        <v>154484.03</v>
      </c>
      <c r="AT469" s="4">
        <v>381486.68</v>
      </c>
      <c r="AU469" s="4">
        <v>1122018.44</v>
      </c>
      <c r="AV469" s="4">
        <v>34608213.810000002</v>
      </c>
      <c r="AW469" s="4">
        <v>1176502.57</v>
      </c>
      <c r="AX469" s="4">
        <v>536674.36</v>
      </c>
      <c r="AY469" s="4">
        <v>1100133.3899999999</v>
      </c>
      <c r="AZ469" s="4">
        <v>2772826.2</v>
      </c>
      <c r="BA469" s="4">
        <v>1445518.89</v>
      </c>
      <c r="BB469" s="4">
        <v>491862.92</v>
      </c>
      <c r="BC469" s="4">
        <v>1011659.66</v>
      </c>
      <c r="BD469" s="4">
        <v>14371922.1</v>
      </c>
      <c r="BE469" s="4">
        <v>367006.42</v>
      </c>
      <c r="BF469" s="4">
        <v>210449.03</v>
      </c>
      <c r="BG469" s="4">
        <v>233.56</v>
      </c>
      <c r="BH469" s="4">
        <f t="shared" si="81"/>
        <v>212201786.33999994</v>
      </c>
    </row>
    <row r="470" spans="1:60" x14ac:dyDescent="0.2">
      <c r="A470" s="3">
        <v>33939</v>
      </c>
      <c r="B470" s="4">
        <f>14819679.48+3519271.98</f>
        <v>18338951.460000001</v>
      </c>
      <c r="C470" s="4">
        <f>1506788.31+230021.1</f>
        <v>1736809.4100000001</v>
      </c>
      <c r="D470" s="4">
        <f>5965533.98+1350943.94</f>
        <v>7316477.9199999999</v>
      </c>
      <c r="E470" s="4">
        <f>2258719.98+437651.31</f>
        <v>2696371.29</v>
      </c>
      <c r="F470" s="4">
        <f>2562366.77+483978.06</f>
        <v>3046344.83</v>
      </c>
      <c r="G470" s="4">
        <f>3753448.16+665526.15</f>
        <v>4418974.3100000005</v>
      </c>
      <c r="H470" s="4">
        <f>2351958.83+505413.96</f>
        <v>2857372.79</v>
      </c>
      <c r="I470" s="4">
        <f>972686.87+164107.01</f>
        <v>1136793.8799999999</v>
      </c>
      <c r="J470" s="4">
        <f>2643918.57+472279.88</f>
        <v>3116198.4499999997</v>
      </c>
      <c r="K470" s="4">
        <f>1563857.7+256383.67</f>
        <v>1820241.3699999999</v>
      </c>
      <c r="L470" s="4">
        <f>1383723.97+298317.68</f>
        <v>1682041.65</v>
      </c>
      <c r="M470" s="4">
        <f>843183.91+128803.48</f>
        <v>971987.39</v>
      </c>
      <c r="N470" s="4">
        <f>7311553.59+1878974.47</f>
        <v>9190528.0600000005</v>
      </c>
      <c r="O470" s="4">
        <f>38266133.31+8643619.64</f>
        <v>46909752.950000003</v>
      </c>
      <c r="P470" s="4">
        <f>1302199.22+178921.06</f>
        <v>1481120.28</v>
      </c>
      <c r="Q470" s="4">
        <f>1235211.06+189470.43</f>
        <v>1424681.49</v>
      </c>
      <c r="R470" s="4">
        <f>996251.01+147454.71</f>
        <v>1143705.72</v>
      </c>
      <c r="S470" s="4">
        <f>1180767.46+221025.71</f>
        <v>1401793.17</v>
      </c>
      <c r="T470" s="4">
        <f>1354134.65+201692.54</f>
        <v>1555827.19</v>
      </c>
      <c r="U470" s="4">
        <f>201734.74+20827.48</f>
        <v>222562.22</v>
      </c>
      <c r="V470" s="4">
        <f>1528177.15+231077.81</f>
        <v>1759254.96</v>
      </c>
      <c r="W470" s="4">
        <f>3183837.43+608159.37</f>
        <v>3791996.8000000003</v>
      </c>
      <c r="X470" s="4">
        <f>602138.06+75851.9</f>
        <v>677989.96000000008</v>
      </c>
      <c r="Y470" s="4">
        <f>1399467.75+223140.27</f>
        <v>1622608.02</v>
      </c>
      <c r="Z470" s="4">
        <f>1547025.04+200261.77</f>
        <v>1747286.81</v>
      </c>
      <c r="AA470" s="4">
        <f>25544745.72+6099574.11</f>
        <v>31644319.829999998</v>
      </c>
      <c r="AB470" s="4">
        <f>1129983.26+194975.06</f>
        <v>1324958.32</v>
      </c>
      <c r="AC470" s="4">
        <f>62352367.61+14169942.41</f>
        <v>76522310.019999996</v>
      </c>
      <c r="AD470" s="4">
        <f>5055172.78+1327873.1</f>
        <v>6383045.8800000008</v>
      </c>
      <c r="AE470" s="4">
        <f>7256551.99+1258698.8</f>
        <v>8515250.790000001</v>
      </c>
      <c r="AF470" s="4">
        <f>15497358.93+3514806.55</f>
        <v>19012165.48</v>
      </c>
      <c r="AG470" s="4">
        <f>2793670.53+566882.49</f>
        <v>3360553.0199999996</v>
      </c>
      <c r="AH470" s="4">
        <f>9869663.79+1773788.18</f>
        <v>11643451.969999999</v>
      </c>
      <c r="AI470" s="4">
        <f>867461.34+138860.76</f>
        <v>1006322.1</v>
      </c>
      <c r="AJ470" s="4">
        <v>0</v>
      </c>
      <c r="AK470" s="4">
        <f>1609125.31+268329.05</f>
        <v>1877454.36</v>
      </c>
      <c r="AL470" s="4">
        <f>2059693.95+343370.06</f>
        <v>2403064.0099999998</v>
      </c>
      <c r="AM470" s="4">
        <f>3372862.09+604998.29</f>
        <v>3977860.38</v>
      </c>
      <c r="AN470" s="4">
        <f>7333818.47+1631014.4</f>
        <v>8964832.8699999992</v>
      </c>
      <c r="AO470" s="4">
        <f>2946086.36+545070.77</f>
        <v>3491157.13</v>
      </c>
      <c r="AP470" s="4">
        <f>5275416.57+973417.73</f>
        <v>6248834.3000000007</v>
      </c>
      <c r="AQ470" s="4">
        <f>6636458.65+965185.85</f>
        <v>7601644.5</v>
      </c>
      <c r="AR470" s="4">
        <f>569105.87+110850.46</f>
        <v>679956.33</v>
      </c>
      <c r="AS470" s="4">
        <f>434634.68+50192.8</f>
        <v>484827.48</v>
      </c>
      <c r="AT470" s="4">
        <f>840911.67+134531.68</f>
        <v>975443.35000000009</v>
      </c>
      <c r="AU470" s="4">
        <f>2126791.73+532305.11</f>
        <v>2659096.84</v>
      </c>
      <c r="AV470" s="4">
        <f>57322262.16+12503395.08</f>
        <v>69825657.239999995</v>
      </c>
      <c r="AW470" s="4">
        <f>1988416.07+339154.53</f>
        <v>2327570.6</v>
      </c>
      <c r="AX470" s="4">
        <f>772597.87+188999.68</f>
        <v>961597.55</v>
      </c>
      <c r="AY470" s="4">
        <f>2165745.1+611671.77</f>
        <v>2777416.87</v>
      </c>
      <c r="AZ470" s="4">
        <f>4643591.94+1003211.92</f>
        <v>5646803.8600000003</v>
      </c>
      <c r="BA470" s="4">
        <f>2516939.92+458822.38</f>
        <v>2975762.3</v>
      </c>
      <c r="BB470" s="4">
        <f>1231578.62+170363.69</f>
        <v>1401942.31</v>
      </c>
      <c r="BC470" s="4">
        <f>1897536.43+353525.59</f>
        <v>2251062.02</v>
      </c>
      <c r="BD470" s="4">
        <f>22533315.95+5310505.32</f>
        <v>27843821.27</v>
      </c>
      <c r="BE470" s="4">
        <f>827175.66+158313.34</f>
        <v>985489</v>
      </c>
      <c r="BF470" s="4">
        <f>480172.11+65682.65</f>
        <v>545854.76</v>
      </c>
      <c r="BG470" s="4">
        <v>116414.39999999999</v>
      </c>
      <c r="BH470" s="4">
        <f t="shared" si="81"/>
        <v>438503613.51999998</v>
      </c>
    </row>
    <row r="471" spans="1:60" ht="15.75" thickBot="1" x14ac:dyDescent="0.25">
      <c r="A471" s="3" t="s">
        <v>13</v>
      </c>
      <c r="B471" s="5">
        <f t="shared" ref="B471:AG471" si="82">SUM(B459:B470)</f>
        <v>117293376.38</v>
      </c>
      <c r="C471" s="5">
        <f t="shared" si="82"/>
        <v>10729877.090000002</v>
      </c>
      <c r="D471" s="5">
        <f t="shared" si="82"/>
        <v>56663038.789999999</v>
      </c>
      <c r="E471" s="5">
        <f t="shared" si="82"/>
        <v>19289805.629999999</v>
      </c>
      <c r="F471" s="5">
        <f t="shared" si="82"/>
        <v>17620676.420000002</v>
      </c>
      <c r="G471" s="5">
        <f t="shared" si="82"/>
        <v>30049761.68</v>
      </c>
      <c r="H471" s="5">
        <f t="shared" si="82"/>
        <v>20334646.079999998</v>
      </c>
      <c r="I471" s="5">
        <f t="shared" si="82"/>
        <v>8043286.3599999994</v>
      </c>
      <c r="J471" s="5">
        <f t="shared" si="82"/>
        <v>20944343.149999999</v>
      </c>
      <c r="K471" s="5">
        <f t="shared" si="82"/>
        <v>12097805.469999999</v>
      </c>
      <c r="L471" s="5">
        <f t="shared" si="82"/>
        <v>10479560.84</v>
      </c>
      <c r="M471" s="5">
        <f t="shared" si="82"/>
        <v>6395028.4800000004</v>
      </c>
      <c r="N471" s="5">
        <f t="shared" si="82"/>
        <v>73110054.870000005</v>
      </c>
      <c r="O471" s="5">
        <f t="shared" si="82"/>
        <v>348757530.35999995</v>
      </c>
      <c r="P471" s="5">
        <f t="shared" si="82"/>
        <v>10013334.43</v>
      </c>
      <c r="Q471" s="5">
        <f t="shared" si="82"/>
        <v>9118320.2599999998</v>
      </c>
      <c r="R471" s="5">
        <f t="shared" si="82"/>
        <v>7288984.3300000001</v>
      </c>
      <c r="S471" s="5">
        <f t="shared" si="82"/>
        <v>10760300.83</v>
      </c>
      <c r="T471" s="5">
        <f t="shared" si="82"/>
        <v>10030633.869999999</v>
      </c>
      <c r="U471" s="5">
        <f t="shared" si="82"/>
        <v>1453681.1199999999</v>
      </c>
      <c r="V471" s="5">
        <f t="shared" si="82"/>
        <v>11220498.309999999</v>
      </c>
      <c r="W471" s="5">
        <f t="shared" si="82"/>
        <v>27686967.730000004</v>
      </c>
      <c r="X471" s="5">
        <f t="shared" si="82"/>
        <v>4735529.6100000003</v>
      </c>
      <c r="Y471" s="5">
        <f t="shared" si="82"/>
        <v>10694695.609999999</v>
      </c>
      <c r="Z471" s="5">
        <f t="shared" si="82"/>
        <v>9928688.0700000003</v>
      </c>
      <c r="AA471" s="5">
        <f t="shared" si="82"/>
        <v>224730519.47000003</v>
      </c>
      <c r="AB471" s="5">
        <f t="shared" si="82"/>
        <v>8897343.9499999993</v>
      </c>
      <c r="AC471" s="5">
        <f t="shared" si="82"/>
        <v>564331332.4799999</v>
      </c>
      <c r="AD471" s="5">
        <f t="shared" si="82"/>
        <v>58968802.280000001</v>
      </c>
      <c r="AE471" s="5">
        <f t="shared" si="82"/>
        <v>47186312.68</v>
      </c>
      <c r="AF471" s="5">
        <f t="shared" si="82"/>
        <v>145061181.94999999</v>
      </c>
      <c r="AG471" s="5">
        <f t="shared" si="82"/>
        <v>23947037.100000001</v>
      </c>
      <c r="AH471" s="5">
        <f t="shared" ref="AH471:BG471" si="83">SUM(AH459:AH470)</f>
        <v>71420043.479999989</v>
      </c>
      <c r="AI471" s="5">
        <f t="shared" si="83"/>
        <v>6441747.3899999997</v>
      </c>
      <c r="AJ471" s="5">
        <f t="shared" si="83"/>
        <v>0</v>
      </c>
      <c r="AK471" s="5">
        <f t="shared" si="83"/>
        <v>12790294.77</v>
      </c>
      <c r="AL471" s="5">
        <f t="shared" si="83"/>
        <v>15917684.440000001</v>
      </c>
      <c r="AM471" s="5">
        <f t="shared" si="83"/>
        <v>27102928.559999999</v>
      </c>
      <c r="AN471" s="5">
        <f t="shared" si="83"/>
        <v>66927304.430000007</v>
      </c>
      <c r="AO471" s="5">
        <f t="shared" si="83"/>
        <v>24270938.699999999</v>
      </c>
      <c r="AP471" s="5">
        <f t="shared" si="83"/>
        <v>44012840.400000006</v>
      </c>
      <c r="AQ471" s="5">
        <f t="shared" si="83"/>
        <v>41149559.359999999</v>
      </c>
      <c r="AR471" s="5">
        <f t="shared" si="83"/>
        <v>4759601.0600000005</v>
      </c>
      <c r="AS471" s="5">
        <f t="shared" si="83"/>
        <v>3055837.8899999997</v>
      </c>
      <c r="AT471" s="5">
        <f t="shared" si="83"/>
        <v>6434434.4199999999</v>
      </c>
      <c r="AU471" s="5">
        <f t="shared" si="83"/>
        <v>17699280.990000002</v>
      </c>
      <c r="AV471" s="5">
        <f t="shared" si="83"/>
        <v>481887211.28999996</v>
      </c>
      <c r="AW471" s="5">
        <f t="shared" si="83"/>
        <v>17905921.599999998</v>
      </c>
      <c r="AX471" s="5">
        <f t="shared" si="83"/>
        <v>8437078.6199999992</v>
      </c>
      <c r="AY471" s="5">
        <f t="shared" si="83"/>
        <v>17937891.290000003</v>
      </c>
      <c r="AZ471" s="5">
        <f t="shared" si="83"/>
        <v>42434578.570000008</v>
      </c>
      <c r="BA471" s="5">
        <f t="shared" si="83"/>
        <v>23061000.180000003</v>
      </c>
      <c r="BB471" s="5">
        <f t="shared" si="83"/>
        <v>8588684.5099999998</v>
      </c>
      <c r="BC471" s="5">
        <f t="shared" si="83"/>
        <v>16782526.969999999</v>
      </c>
      <c r="BD471" s="5">
        <f t="shared" si="83"/>
        <v>210437189.08999997</v>
      </c>
      <c r="BE471" s="5">
        <f t="shared" si="83"/>
        <v>6421403.1899999995</v>
      </c>
      <c r="BF471" s="5">
        <f t="shared" si="83"/>
        <v>3704823.4399999995</v>
      </c>
      <c r="BG471" s="5">
        <f t="shared" si="83"/>
        <v>527594.81999999995</v>
      </c>
      <c r="BH471" s="5">
        <f t="shared" si="81"/>
        <v>3117971355.1400003</v>
      </c>
    </row>
    <row r="472" spans="1:60" ht="15.75" thickTop="1" x14ac:dyDescent="0.2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</row>
    <row r="473" spans="1:60" x14ac:dyDescent="0.2">
      <c r="A473" s="3">
        <v>33239</v>
      </c>
      <c r="B473" s="4">
        <v>8135382.9199999999</v>
      </c>
      <c r="C473" s="4">
        <v>751064.64</v>
      </c>
      <c r="D473" s="4">
        <v>4012763.9</v>
      </c>
      <c r="E473" s="4">
        <v>1317179.53</v>
      </c>
      <c r="F473" s="4">
        <v>1119217.69</v>
      </c>
      <c r="G473" s="4">
        <v>2149479.59</v>
      </c>
      <c r="H473" s="4">
        <v>1634427.1</v>
      </c>
      <c r="I473" s="4">
        <v>338050.98</v>
      </c>
      <c r="J473" s="4">
        <v>1462633.87</v>
      </c>
      <c r="K473" s="4">
        <v>780796.44</v>
      </c>
      <c r="L473" s="4">
        <v>817308.81</v>
      </c>
      <c r="M473" s="4">
        <v>258002.08</v>
      </c>
      <c r="N473" s="4">
        <v>5310202.8499999996</v>
      </c>
      <c r="O473" s="4">
        <v>26096419.710000001</v>
      </c>
      <c r="P473" s="4">
        <v>657173.68999999994</v>
      </c>
      <c r="Q473" s="4">
        <v>570060.41</v>
      </c>
      <c r="R473" s="4">
        <v>429963.38</v>
      </c>
      <c r="S473" s="4">
        <v>679888.55</v>
      </c>
      <c r="T473" s="4">
        <v>704914.31</v>
      </c>
      <c r="U473" s="4">
        <v>61196.959999999999</v>
      </c>
      <c r="V473" s="4">
        <v>673468.05</v>
      </c>
      <c r="W473" s="4">
        <v>1949636.48</v>
      </c>
      <c r="X473" s="4">
        <v>210766.24</v>
      </c>
      <c r="Y473" s="4">
        <v>685241.02</v>
      </c>
      <c r="Z473" s="4">
        <v>636553.18999999994</v>
      </c>
      <c r="AA473" s="4">
        <v>16078535.74</v>
      </c>
      <c r="AB473" s="4">
        <v>603584.09</v>
      </c>
      <c r="AC473" s="4">
        <v>39538440.189999998</v>
      </c>
      <c r="AD473" s="4">
        <v>4618062.5599999996</v>
      </c>
      <c r="AE473" s="4">
        <v>2924131.85</v>
      </c>
      <c r="AF473" s="4">
        <v>10672710.17</v>
      </c>
      <c r="AG473" s="4">
        <v>1785665</v>
      </c>
      <c r="AH473" s="4">
        <v>3615310.04</v>
      </c>
      <c r="AI473" s="4">
        <v>434588.93</v>
      </c>
      <c r="AJ473" s="4">
        <v>0</v>
      </c>
      <c r="AK473" s="4">
        <v>517509.29</v>
      </c>
      <c r="AL473" s="4">
        <v>1045603.09</v>
      </c>
      <c r="AM473" s="4">
        <v>1830585.35</v>
      </c>
      <c r="AN473" s="4">
        <v>3255307.31</v>
      </c>
      <c r="AO473" s="4">
        <v>1581604.72</v>
      </c>
      <c r="AP473" s="4">
        <v>2824822.99</v>
      </c>
      <c r="AQ473" s="4">
        <v>3010418.25</v>
      </c>
      <c r="AR473" s="4">
        <v>209752.33</v>
      </c>
      <c r="AS473" s="4">
        <v>158036.34</v>
      </c>
      <c r="AT473" s="4">
        <v>368643.89</v>
      </c>
      <c r="AU473" s="4">
        <v>1132432.6100000001</v>
      </c>
      <c r="AV473" s="4">
        <v>30521812.969999999</v>
      </c>
      <c r="AW473" s="4">
        <v>1160192.74</v>
      </c>
      <c r="AX473" s="4">
        <v>719814.85</v>
      </c>
      <c r="AY473" s="4">
        <v>1346437.58</v>
      </c>
      <c r="AZ473" s="4">
        <v>2687337.16</v>
      </c>
      <c r="BA473" s="4">
        <v>1457134.76</v>
      </c>
      <c r="BB473" s="4">
        <v>571139.75</v>
      </c>
      <c r="BC473" s="4">
        <v>1013693.52</v>
      </c>
      <c r="BD473" s="4">
        <v>12264042.92</v>
      </c>
      <c r="BE473" s="4">
        <v>369976.78</v>
      </c>
      <c r="BF473" s="4">
        <v>191870.4</v>
      </c>
      <c r="BG473" s="4">
        <v>0</v>
      </c>
      <c r="BH473" s="4">
        <f t="shared" ref="BH473:BH485" si="84">SUM(B473:BG473)</f>
        <v>209950990.56</v>
      </c>
    </row>
    <row r="474" spans="1:60" x14ac:dyDescent="0.2">
      <c r="A474" s="3">
        <v>33270</v>
      </c>
      <c r="B474" s="4">
        <v>6496289.71</v>
      </c>
      <c r="C474" s="4">
        <v>581916.88</v>
      </c>
      <c r="D474" s="4">
        <v>3208201.46</v>
      </c>
      <c r="E474" s="4">
        <v>990748.65</v>
      </c>
      <c r="F474" s="4">
        <v>904630.63</v>
      </c>
      <c r="G474" s="4">
        <v>1655817.01</v>
      </c>
      <c r="H474" s="4">
        <v>1262348.1000000001</v>
      </c>
      <c r="I474" s="4">
        <v>266596.18</v>
      </c>
      <c r="J474" s="4">
        <v>1110674.97</v>
      </c>
      <c r="K474" s="4">
        <v>613882.93999999994</v>
      </c>
      <c r="L474" s="4">
        <v>657748.17000000004</v>
      </c>
      <c r="M474" s="4">
        <v>204941.93</v>
      </c>
      <c r="N474" s="4">
        <v>4273853.01</v>
      </c>
      <c r="O474" s="4">
        <v>20784296.5</v>
      </c>
      <c r="P474" s="4">
        <v>502570.05</v>
      </c>
      <c r="Q474" s="4">
        <v>458032.87</v>
      </c>
      <c r="R474" s="4">
        <v>349174.03</v>
      </c>
      <c r="S474" s="4">
        <v>522451.98</v>
      </c>
      <c r="T474" s="4">
        <v>554653.26</v>
      </c>
      <c r="U474" s="4">
        <v>44741.8</v>
      </c>
      <c r="V474" s="4">
        <v>525811.98</v>
      </c>
      <c r="W474" s="4">
        <v>1527401.58</v>
      </c>
      <c r="X474" s="4">
        <v>171171.22</v>
      </c>
      <c r="Y474" s="4">
        <v>532645.6</v>
      </c>
      <c r="Z474" s="4">
        <v>502061.18</v>
      </c>
      <c r="AA474" s="4">
        <v>12795842.609999999</v>
      </c>
      <c r="AB474" s="4">
        <v>473601.32</v>
      </c>
      <c r="AC474" s="4">
        <v>31262103.789999999</v>
      </c>
      <c r="AD474" s="4">
        <v>3588865.19</v>
      </c>
      <c r="AE474" s="4">
        <v>2336076.08</v>
      </c>
      <c r="AF474" s="4">
        <v>8463994.1699999999</v>
      </c>
      <c r="AG474" s="4">
        <v>1419234.76</v>
      </c>
      <c r="AH474" s="4">
        <v>2909703.84</v>
      </c>
      <c r="AI474" s="4">
        <v>342299.21</v>
      </c>
      <c r="AJ474" s="4">
        <v>0</v>
      </c>
      <c r="AK474" s="4">
        <v>421275.52</v>
      </c>
      <c r="AL474" s="4">
        <v>805336.43</v>
      </c>
      <c r="AM474" s="4">
        <v>1472823.02</v>
      </c>
      <c r="AN474" s="4">
        <v>2476506.42</v>
      </c>
      <c r="AO474" s="4">
        <v>1203064.77</v>
      </c>
      <c r="AP474" s="4">
        <v>2260987.62</v>
      </c>
      <c r="AQ474" s="4">
        <v>2446793.2200000002</v>
      </c>
      <c r="AR474" s="4">
        <v>183467.05</v>
      </c>
      <c r="AS474" s="4">
        <v>124815.56</v>
      </c>
      <c r="AT474" s="4">
        <v>276540.79999999999</v>
      </c>
      <c r="AU474" s="4">
        <v>898710.12</v>
      </c>
      <c r="AV474" s="4">
        <v>23742151.16</v>
      </c>
      <c r="AW474" s="4">
        <v>935494.19</v>
      </c>
      <c r="AX474" s="4">
        <v>583354.15</v>
      </c>
      <c r="AY474" s="4">
        <v>1047807.35</v>
      </c>
      <c r="AZ474" s="4">
        <v>2128267.0499999998</v>
      </c>
      <c r="BA474" s="4">
        <v>1191815.8899999999</v>
      </c>
      <c r="BB474" s="4">
        <v>477454.63</v>
      </c>
      <c r="BC474" s="4">
        <v>798870.31</v>
      </c>
      <c r="BD474" s="4">
        <v>9631388.0199999996</v>
      </c>
      <c r="BE474" s="4">
        <v>295467.49</v>
      </c>
      <c r="BF474" s="4">
        <v>154278.82999999999</v>
      </c>
      <c r="BG474" s="4">
        <v>0</v>
      </c>
      <c r="BH474" s="4">
        <f t="shared" si="84"/>
        <v>165851052.26000002</v>
      </c>
    </row>
    <row r="475" spans="1:60" x14ac:dyDescent="0.2">
      <c r="A475" s="3">
        <v>33298</v>
      </c>
      <c r="B475" s="4">
        <v>11507600.5</v>
      </c>
      <c r="C475" s="4">
        <v>1058948.29</v>
      </c>
      <c r="D475" s="4">
        <v>6549897.7400000002</v>
      </c>
      <c r="E475" s="4">
        <v>2116007.5299999998</v>
      </c>
      <c r="F475" s="4">
        <v>1530220.49</v>
      </c>
      <c r="G475" s="4">
        <v>3172020.73</v>
      </c>
      <c r="H475" s="4">
        <v>1902595.12</v>
      </c>
      <c r="I475" s="4">
        <v>565676.76</v>
      </c>
      <c r="J475" s="4">
        <v>1980965.54</v>
      </c>
      <c r="K475" s="4">
        <v>1256074.22</v>
      </c>
      <c r="L475" s="4">
        <v>1120105.19</v>
      </c>
      <c r="M475" s="4">
        <v>652328.48</v>
      </c>
      <c r="N475" s="4">
        <v>6774675.7400000002</v>
      </c>
      <c r="O475" s="4">
        <v>33249997.100000001</v>
      </c>
      <c r="P475" s="4">
        <v>900189.57</v>
      </c>
      <c r="Q475" s="4">
        <v>973881.12</v>
      </c>
      <c r="R475" s="4">
        <v>614846.27</v>
      </c>
      <c r="S475" s="4">
        <v>1141164.57</v>
      </c>
      <c r="T475" s="4">
        <v>1168058.01</v>
      </c>
      <c r="U475" s="4">
        <v>119670.01</v>
      </c>
      <c r="V475" s="4">
        <v>1079986.6399999999</v>
      </c>
      <c r="W475" s="4">
        <v>2464129.66</v>
      </c>
      <c r="X475" s="4">
        <v>466419.8</v>
      </c>
      <c r="Y475" s="4">
        <v>1116673.1399999999</v>
      </c>
      <c r="Z475" s="4">
        <v>1003133.18</v>
      </c>
      <c r="AA475" s="4">
        <v>20243208.670000002</v>
      </c>
      <c r="AB475" s="4">
        <v>852765.81</v>
      </c>
      <c r="AC475" s="4">
        <v>48455010.200000003</v>
      </c>
      <c r="AD475" s="4">
        <v>5601564.5800000001</v>
      </c>
      <c r="AE475" s="4">
        <v>4644807.63</v>
      </c>
      <c r="AF475" s="4">
        <v>14987897.49</v>
      </c>
      <c r="AG475" s="4">
        <v>2246068.0299999998</v>
      </c>
      <c r="AH475" s="4">
        <v>5471690.5700000003</v>
      </c>
      <c r="AI475" s="4">
        <v>524552.68999999994</v>
      </c>
      <c r="AJ475" s="4">
        <v>0</v>
      </c>
      <c r="AK475" s="4">
        <v>916137.18</v>
      </c>
      <c r="AL475" s="4">
        <v>1872807.93</v>
      </c>
      <c r="AM475" s="4">
        <v>2627944.2000000002</v>
      </c>
      <c r="AN475" s="4">
        <v>5325020.28</v>
      </c>
      <c r="AO475" s="4">
        <v>2164776.9700000002</v>
      </c>
      <c r="AP475" s="4">
        <v>4101718.56</v>
      </c>
      <c r="AQ475" s="4">
        <v>3777201.61</v>
      </c>
      <c r="AR475" s="4">
        <v>311521.65000000002</v>
      </c>
      <c r="AS475" s="4">
        <v>284459.27</v>
      </c>
      <c r="AT475" s="4">
        <v>594757.01</v>
      </c>
      <c r="AU475" s="4">
        <v>1340530.53</v>
      </c>
      <c r="AV475" s="4">
        <v>38380387.119999997</v>
      </c>
      <c r="AW475" s="4">
        <v>1430841.75</v>
      </c>
      <c r="AX475" s="4">
        <v>728479.43</v>
      </c>
      <c r="AY475" s="4">
        <v>2119225.44</v>
      </c>
      <c r="AZ475" s="4">
        <v>3757605.64</v>
      </c>
      <c r="BA475" s="4">
        <v>1785393.7</v>
      </c>
      <c r="BB475" s="4">
        <v>894354.77</v>
      </c>
      <c r="BC475" s="4">
        <v>1583737.37</v>
      </c>
      <c r="BD475" s="4">
        <v>17351452.59</v>
      </c>
      <c r="BE475" s="4">
        <v>547189.34</v>
      </c>
      <c r="BF475" s="4">
        <v>429048.25</v>
      </c>
      <c r="BG475" s="4">
        <v>0</v>
      </c>
      <c r="BH475" s="4">
        <f t="shared" si="84"/>
        <v>279837421.66000003</v>
      </c>
    </row>
    <row r="476" spans="1:60" x14ac:dyDescent="0.2">
      <c r="A476" s="3">
        <v>33329</v>
      </c>
      <c r="B476" s="4">
        <v>6873091.6500000004</v>
      </c>
      <c r="C476" s="4">
        <v>531675.75</v>
      </c>
      <c r="D476" s="4">
        <v>3475345.18</v>
      </c>
      <c r="E476" s="4">
        <v>1004806.76</v>
      </c>
      <c r="F476" s="4">
        <v>954597.58</v>
      </c>
      <c r="G476" s="4">
        <v>1648968.78</v>
      </c>
      <c r="H476" s="4">
        <v>1282400.58</v>
      </c>
      <c r="I476" s="4">
        <v>337713.3</v>
      </c>
      <c r="J476" s="4">
        <v>1137939.1299999999</v>
      </c>
      <c r="K476" s="4">
        <v>696756.94</v>
      </c>
      <c r="L476" s="4">
        <v>465184.5</v>
      </c>
      <c r="M476" s="4">
        <v>218463.09</v>
      </c>
      <c r="N476" s="4">
        <v>4515428.1100000003</v>
      </c>
      <c r="O476" s="4">
        <v>21170159.609999999</v>
      </c>
      <c r="P476" s="4">
        <v>533840.68000000005</v>
      </c>
      <c r="Q476" s="4">
        <v>460228.04</v>
      </c>
      <c r="R476" s="4">
        <v>419714.78</v>
      </c>
      <c r="S476" s="4">
        <v>662744.89</v>
      </c>
      <c r="T476" s="4">
        <v>539824.35</v>
      </c>
      <c r="U476" s="4">
        <v>63585.68</v>
      </c>
      <c r="V476" s="4">
        <v>599344.07999999996</v>
      </c>
      <c r="W476" s="4">
        <v>1614876.81</v>
      </c>
      <c r="X476" s="4">
        <v>205573.16</v>
      </c>
      <c r="Y476" s="4">
        <v>603970.79</v>
      </c>
      <c r="Z476" s="4">
        <v>588985.56999999995</v>
      </c>
      <c r="AA476" s="4">
        <v>13318623.75</v>
      </c>
      <c r="AB476" s="4">
        <v>513229.76</v>
      </c>
      <c r="AC476" s="4">
        <v>31979317.77</v>
      </c>
      <c r="AD476" s="4">
        <v>3539852.71</v>
      </c>
      <c r="AE476" s="4">
        <v>2562635.8199999998</v>
      </c>
      <c r="AF476" s="4">
        <v>9292822.3599999994</v>
      </c>
      <c r="AG476" s="4">
        <v>1371758.77</v>
      </c>
      <c r="AH476" s="4">
        <v>3137407.07</v>
      </c>
      <c r="AI476" s="4">
        <v>378240</v>
      </c>
      <c r="AJ476" s="4">
        <v>0</v>
      </c>
      <c r="AK476" s="4">
        <v>437146.33</v>
      </c>
      <c r="AL476" s="4">
        <v>982969.64</v>
      </c>
      <c r="AM476" s="4">
        <v>1729443.67</v>
      </c>
      <c r="AN476" s="4">
        <v>3383658.06</v>
      </c>
      <c r="AO476" s="4">
        <v>1242935.46</v>
      </c>
      <c r="AP476" s="4">
        <v>2556527.12</v>
      </c>
      <c r="AQ476" s="4">
        <v>2584066.59</v>
      </c>
      <c r="AR476" s="4">
        <v>200153.74</v>
      </c>
      <c r="AS476" s="4">
        <v>139274.20000000001</v>
      </c>
      <c r="AT476" s="4">
        <v>325780.02</v>
      </c>
      <c r="AU476" s="4">
        <v>992282.66</v>
      </c>
      <c r="AV476" s="4">
        <v>25963120.370000001</v>
      </c>
      <c r="AW476" s="4">
        <v>1078343.6200000001</v>
      </c>
      <c r="AX476" s="4">
        <v>544122.66</v>
      </c>
      <c r="AY476" s="4">
        <v>1044061.53</v>
      </c>
      <c r="AZ476" s="4">
        <v>2584756.2200000002</v>
      </c>
      <c r="BA476" s="4">
        <v>1301108.1499999999</v>
      </c>
      <c r="BB476" s="4">
        <v>500168.81</v>
      </c>
      <c r="BC476" s="4">
        <v>972667.27</v>
      </c>
      <c r="BD476" s="4">
        <v>10012396.76</v>
      </c>
      <c r="BE476" s="4">
        <v>346152.64</v>
      </c>
      <c r="BF476" s="4">
        <v>177334.51</v>
      </c>
      <c r="BG476" s="4">
        <v>0</v>
      </c>
      <c r="BH476" s="4">
        <f t="shared" si="84"/>
        <v>175797577.82999995</v>
      </c>
    </row>
    <row r="477" spans="1:60" x14ac:dyDescent="0.2">
      <c r="A477" s="3">
        <v>33359</v>
      </c>
      <c r="B477" s="4">
        <v>7073238.1500000004</v>
      </c>
      <c r="C477" s="4">
        <v>538230.81000000006</v>
      </c>
      <c r="D477" s="4">
        <v>3556009.86</v>
      </c>
      <c r="E477" s="4">
        <v>1028005.25</v>
      </c>
      <c r="F477" s="4">
        <v>984570.41</v>
      </c>
      <c r="G477" s="4">
        <v>1696861.51</v>
      </c>
      <c r="H477" s="4">
        <v>1282074.8500000001</v>
      </c>
      <c r="I477" s="4">
        <v>348427.42</v>
      </c>
      <c r="J477" s="4">
        <v>1179919.76</v>
      </c>
      <c r="K477" s="4">
        <v>686113</v>
      </c>
      <c r="L477" s="4">
        <v>482867.64</v>
      </c>
      <c r="M477" s="4">
        <v>217321.02</v>
      </c>
      <c r="N477" s="4">
        <v>4600570.2699999996</v>
      </c>
      <c r="O477" s="4">
        <v>21761429.75</v>
      </c>
      <c r="P477" s="4">
        <v>543086.54</v>
      </c>
      <c r="Q477" s="4">
        <v>487032.32000000001</v>
      </c>
      <c r="R477" s="4">
        <v>433240.27</v>
      </c>
      <c r="S477" s="4">
        <v>675506.84</v>
      </c>
      <c r="T477" s="4">
        <v>551895.30000000005</v>
      </c>
      <c r="U477" s="4">
        <v>63975.08</v>
      </c>
      <c r="V477" s="4">
        <v>629843.32999999996</v>
      </c>
      <c r="W477" s="4">
        <v>1678302.87</v>
      </c>
      <c r="X477" s="4">
        <v>208920.05</v>
      </c>
      <c r="Y477" s="4">
        <v>618078.89</v>
      </c>
      <c r="Z477" s="4">
        <v>580580.6</v>
      </c>
      <c r="AA477" s="4">
        <v>13743502.93</v>
      </c>
      <c r="AB477" s="4">
        <v>521683.99</v>
      </c>
      <c r="AC477" s="4">
        <v>32522414.260000002</v>
      </c>
      <c r="AD477" s="4">
        <v>3637450.49</v>
      </c>
      <c r="AE477" s="4">
        <v>2650380.36</v>
      </c>
      <c r="AF477" s="4">
        <v>9344531.3200000003</v>
      </c>
      <c r="AG477" s="4">
        <v>1425604.78</v>
      </c>
      <c r="AH477" s="4">
        <v>3232747.81</v>
      </c>
      <c r="AI477" s="4">
        <v>388323.25</v>
      </c>
      <c r="AJ477" s="4">
        <v>0</v>
      </c>
      <c r="AK477" s="4">
        <v>460293.14</v>
      </c>
      <c r="AL477" s="4">
        <v>983772.67</v>
      </c>
      <c r="AM477" s="4">
        <v>1748958.14</v>
      </c>
      <c r="AN477" s="4">
        <v>3297819.76</v>
      </c>
      <c r="AO477" s="4">
        <v>1292771.06</v>
      </c>
      <c r="AP477" s="4">
        <v>2555644.85</v>
      </c>
      <c r="AQ477" s="4">
        <v>2631286.69</v>
      </c>
      <c r="AR477" s="4">
        <v>209005.94</v>
      </c>
      <c r="AS477" s="4">
        <v>142498.75</v>
      </c>
      <c r="AT477" s="4">
        <v>331905.11</v>
      </c>
      <c r="AU477" s="4">
        <v>1018704.25</v>
      </c>
      <c r="AV477" s="4">
        <v>25878851.739999998</v>
      </c>
      <c r="AW477" s="4">
        <v>1114560.17</v>
      </c>
      <c r="AX477" s="4">
        <v>543792.86</v>
      </c>
      <c r="AY477" s="4">
        <v>1074902.0900000001</v>
      </c>
      <c r="AZ477" s="4">
        <v>2616692.69</v>
      </c>
      <c r="BA477" s="4">
        <v>1323934.5</v>
      </c>
      <c r="BB477" s="4">
        <v>476783.65</v>
      </c>
      <c r="BC477" s="4">
        <v>1017614.47</v>
      </c>
      <c r="BD477" s="4">
        <v>10131683.73</v>
      </c>
      <c r="BE477" s="4">
        <v>353636.75</v>
      </c>
      <c r="BF477" s="4">
        <v>187793.22</v>
      </c>
      <c r="BG477" s="4">
        <v>0</v>
      </c>
      <c r="BH477" s="4">
        <f t="shared" si="84"/>
        <v>178765647.20999998</v>
      </c>
    </row>
    <row r="478" spans="1:60" x14ac:dyDescent="0.2">
      <c r="A478" s="3">
        <v>33390</v>
      </c>
      <c r="B478" s="4">
        <v>10916816.640000001</v>
      </c>
      <c r="C478" s="4">
        <v>1338059.18</v>
      </c>
      <c r="D478" s="4">
        <v>5996341.6200000001</v>
      </c>
      <c r="E478" s="4">
        <v>2494299.2400000002</v>
      </c>
      <c r="F478" s="4">
        <v>1944911.09</v>
      </c>
      <c r="G478" s="4">
        <v>3324121.63</v>
      </c>
      <c r="H478" s="4">
        <v>2324642.35</v>
      </c>
      <c r="I478" s="4">
        <v>889996.65</v>
      </c>
      <c r="J478" s="4">
        <v>2359107.13</v>
      </c>
      <c r="K478" s="4">
        <v>1556290.71</v>
      </c>
      <c r="L478" s="4">
        <v>848138.73</v>
      </c>
      <c r="M478" s="4">
        <v>1152604.71</v>
      </c>
      <c r="N478" s="4">
        <v>7207107.5</v>
      </c>
      <c r="O478" s="4">
        <v>37045287.200000003</v>
      </c>
      <c r="P478" s="4">
        <v>969900.35</v>
      </c>
      <c r="Q478" s="4">
        <v>1176653.32</v>
      </c>
      <c r="R478" s="4">
        <v>747493.57</v>
      </c>
      <c r="S478" s="4">
        <v>1269029.0900000001</v>
      </c>
      <c r="T478" s="4">
        <v>1266324.71</v>
      </c>
      <c r="U478" s="4">
        <v>140507.28</v>
      </c>
      <c r="V478" s="4">
        <v>1094675</v>
      </c>
      <c r="W478" s="4">
        <v>3542877.94</v>
      </c>
      <c r="X478" s="4">
        <v>467138.41</v>
      </c>
      <c r="Y478" s="4">
        <v>1387478.74</v>
      </c>
      <c r="Z478" s="4">
        <v>1264429.77</v>
      </c>
      <c r="AA478" s="4">
        <v>24178481.390000001</v>
      </c>
      <c r="AB478" s="4">
        <v>1121125.0900000001</v>
      </c>
      <c r="AC478" s="4">
        <v>55484912.5</v>
      </c>
      <c r="AD478" s="4">
        <v>6684611.4500000002</v>
      </c>
      <c r="AE478" s="4">
        <v>5391079.5700000003</v>
      </c>
      <c r="AF478" s="4">
        <v>15782114.85</v>
      </c>
      <c r="AG478" s="4">
        <v>2873743.77</v>
      </c>
      <c r="AH478" s="4">
        <v>6092381.8799999999</v>
      </c>
      <c r="AI478" s="4">
        <v>728210.98</v>
      </c>
      <c r="AJ478" s="4">
        <v>0</v>
      </c>
      <c r="AK478" s="4">
        <v>1000691.52</v>
      </c>
      <c r="AL478" s="4">
        <v>1708881.37</v>
      </c>
      <c r="AM478" s="4">
        <v>3143043.1</v>
      </c>
      <c r="AN478" s="4">
        <v>6418414.9100000001</v>
      </c>
      <c r="AO478" s="4">
        <v>3464000.71</v>
      </c>
      <c r="AP478" s="4">
        <v>5438538.0599999996</v>
      </c>
      <c r="AQ478" s="4">
        <v>4266331.1100000003</v>
      </c>
      <c r="AR478" s="4">
        <v>415953.36</v>
      </c>
      <c r="AS478" s="4">
        <v>454623.24</v>
      </c>
      <c r="AT478" s="4">
        <v>808405.13</v>
      </c>
      <c r="AU478" s="4">
        <v>2210077.63</v>
      </c>
      <c r="AV478" s="4">
        <v>40604333.509999998</v>
      </c>
      <c r="AW478" s="4">
        <v>1928378.28</v>
      </c>
      <c r="AX478" s="4">
        <v>1043154.79</v>
      </c>
      <c r="AY478" s="4">
        <v>1914856.81</v>
      </c>
      <c r="AZ478" s="4">
        <v>4420897.74</v>
      </c>
      <c r="BA478" s="4">
        <v>2321848.44</v>
      </c>
      <c r="BB478" s="4">
        <v>1184368.48</v>
      </c>
      <c r="BC478" s="4">
        <v>2082220.07</v>
      </c>
      <c r="BD478" s="4">
        <v>17592317.109999999</v>
      </c>
      <c r="BE478" s="4">
        <v>895125.08</v>
      </c>
      <c r="BF478" s="4">
        <v>428692.08</v>
      </c>
      <c r="BG478" s="4">
        <v>0</v>
      </c>
      <c r="BH478" s="4">
        <f t="shared" si="84"/>
        <v>314806046.56999999</v>
      </c>
    </row>
    <row r="479" spans="1:60" x14ac:dyDescent="0.2">
      <c r="A479" s="3">
        <v>33420</v>
      </c>
      <c r="B479" s="4">
        <v>7369826.5700000003</v>
      </c>
      <c r="C479" s="4">
        <v>640544.64</v>
      </c>
      <c r="D479" s="4">
        <v>3898970.55</v>
      </c>
      <c r="E479" s="4">
        <v>1194472.74</v>
      </c>
      <c r="F479" s="4">
        <v>1050028.58</v>
      </c>
      <c r="G479" s="4">
        <v>2083189.57</v>
      </c>
      <c r="H479" s="4">
        <v>1350172.92</v>
      </c>
      <c r="I479" s="4">
        <v>397089.85</v>
      </c>
      <c r="J479" s="4">
        <v>1410352.76</v>
      </c>
      <c r="K479" s="4">
        <v>804341.61</v>
      </c>
      <c r="L479" s="4">
        <v>699625.85</v>
      </c>
      <c r="M479" s="4">
        <v>229237.64</v>
      </c>
      <c r="N479" s="4">
        <v>4833161.34</v>
      </c>
      <c r="O479" s="4">
        <v>24441375.059999999</v>
      </c>
      <c r="P479" s="4">
        <v>770903.08</v>
      </c>
      <c r="Q479" s="4">
        <v>607273.34</v>
      </c>
      <c r="R479" s="4">
        <v>494726.16</v>
      </c>
      <c r="S479" s="4">
        <v>896192.84</v>
      </c>
      <c r="T479" s="4">
        <v>755907.38</v>
      </c>
      <c r="U479" s="4">
        <v>96906.01</v>
      </c>
      <c r="V479" s="4">
        <v>726054.48</v>
      </c>
      <c r="W479" s="4">
        <v>2117089.37</v>
      </c>
      <c r="X479" s="4">
        <v>246350.02</v>
      </c>
      <c r="Y479" s="4">
        <v>695190.21</v>
      </c>
      <c r="Z479" s="4">
        <v>739736.93</v>
      </c>
      <c r="AA479" s="4">
        <v>14710820.560000001</v>
      </c>
      <c r="AB479" s="4">
        <v>549166.64</v>
      </c>
      <c r="AC479" s="4">
        <v>36264153.170000002</v>
      </c>
      <c r="AD479" s="4">
        <v>4344122.26</v>
      </c>
      <c r="AE479" s="4">
        <v>2999200.65</v>
      </c>
      <c r="AF479" s="4">
        <v>10473072.800000001</v>
      </c>
      <c r="AG479" s="4">
        <v>1504743.58</v>
      </c>
      <c r="AH479" s="4">
        <v>3632592.18</v>
      </c>
      <c r="AI479" s="4">
        <v>400572.31</v>
      </c>
      <c r="AJ479" s="4">
        <v>0</v>
      </c>
      <c r="AK479" s="4">
        <v>566488.71</v>
      </c>
      <c r="AL479" s="4">
        <v>1199693.07</v>
      </c>
      <c r="AM479" s="4">
        <v>1945950.89</v>
      </c>
      <c r="AN479" s="4">
        <v>4233494.5</v>
      </c>
      <c r="AO479" s="4">
        <v>1442860.63</v>
      </c>
      <c r="AP479" s="4">
        <v>3078731.86</v>
      </c>
      <c r="AQ479" s="4">
        <v>2560432.4500000002</v>
      </c>
      <c r="AR479" s="4">
        <v>266004.02</v>
      </c>
      <c r="AS479" s="4">
        <v>206454.54</v>
      </c>
      <c r="AT479" s="4">
        <v>412914.95</v>
      </c>
      <c r="AU479" s="4">
        <v>1192466.1599999999</v>
      </c>
      <c r="AV479" s="4">
        <v>30604224.120000001</v>
      </c>
      <c r="AW479" s="4">
        <v>1533826.86</v>
      </c>
      <c r="AX479" s="4">
        <v>576520.73</v>
      </c>
      <c r="AY479" s="4">
        <v>1120010.3600000001</v>
      </c>
      <c r="AZ479" s="4">
        <v>2862434.28</v>
      </c>
      <c r="BA479" s="4">
        <v>2030623.97</v>
      </c>
      <c r="BB479" s="4">
        <v>563721.34</v>
      </c>
      <c r="BC479" s="4">
        <v>1147093.99</v>
      </c>
      <c r="BD479" s="4">
        <v>10564357.949999999</v>
      </c>
      <c r="BE479" s="4">
        <v>460271.5</v>
      </c>
      <c r="BF479" s="4">
        <v>220287.1</v>
      </c>
      <c r="BG479" s="4">
        <v>0</v>
      </c>
      <c r="BH479" s="4">
        <f t="shared" si="84"/>
        <v>202216027.63</v>
      </c>
    </row>
    <row r="480" spans="1:60" x14ac:dyDescent="0.2">
      <c r="A480" s="3">
        <v>33451</v>
      </c>
      <c r="B480" s="4">
        <v>7070443.1900000004</v>
      </c>
      <c r="C480" s="4">
        <v>561499.44999999995</v>
      </c>
      <c r="D480" s="4">
        <v>3749480.53</v>
      </c>
      <c r="E480" s="4">
        <v>1044812.8</v>
      </c>
      <c r="F480" s="4">
        <v>1023279.86</v>
      </c>
      <c r="G480" s="4">
        <v>1868016.58</v>
      </c>
      <c r="H480" s="4">
        <v>1316380.18</v>
      </c>
      <c r="I480" s="4">
        <v>382406.83</v>
      </c>
      <c r="J480" s="4">
        <v>1377454.42</v>
      </c>
      <c r="K480" s="4">
        <v>768029.65</v>
      </c>
      <c r="L480" s="4">
        <v>693339.44</v>
      </c>
      <c r="M480" s="4">
        <v>223018.73</v>
      </c>
      <c r="N480" s="4">
        <v>4580954.95</v>
      </c>
      <c r="O480" s="4">
        <v>22525063.82</v>
      </c>
      <c r="P480" s="4">
        <v>736621.13</v>
      </c>
      <c r="Q480" s="4">
        <v>577111.82999999996</v>
      </c>
      <c r="R480" s="4">
        <v>479118.45</v>
      </c>
      <c r="S480" s="4">
        <v>837425.15</v>
      </c>
      <c r="T480" s="4">
        <v>718635.17</v>
      </c>
      <c r="U480" s="4">
        <v>97226.84</v>
      </c>
      <c r="V480" s="4">
        <v>702935.12</v>
      </c>
      <c r="W480" s="4">
        <v>2098445.56</v>
      </c>
      <c r="X480" s="4">
        <v>241682.69</v>
      </c>
      <c r="Y480" s="4">
        <v>674850.17</v>
      </c>
      <c r="Z480" s="4">
        <v>711036.1</v>
      </c>
      <c r="AA480" s="4">
        <v>14244893.029999999</v>
      </c>
      <c r="AB480" s="4">
        <v>568626.81999999995</v>
      </c>
      <c r="AC480" s="4">
        <v>34557062.960000001</v>
      </c>
      <c r="AD480" s="4">
        <v>3894477.12</v>
      </c>
      <c r="AE480" s="4">
        <v>2859971.38</v>
      </c>
      <c r="AF480" s="4">
        <v>10017996.01</v>
      </c>
      <c r="AG480" s="4">
        <v>1481694.28</v>
      </c>
      <c r="AH480" s="4">
        <v>3456698.6</v>
      </c>
      <c r="AI480" s="4">
        <v>382136.16</v>
      </c>
      <c r="AJ480" s="4">
        <v>0</v>
      </c>
      <c r="AK480" s="4">
        <v>536955.02</v>
      </c>
      <c r="AL480" s="4">
        <v>1144562.6100000001</v>
      </c>
      <c r="AM480" s="4">
        <v>1840345.27</v>
      </c>
      <c r="AN480" s="4">
        <v>3951517.64</v>
      </c>
      <c r="AO480" s="4">
        <v>1402717.53</v>
      </c>
      <c r="AP480" s="4">
        <v>2990368.59</v>
      </c>
      <c r="AQ480" s="4">
        <v>2502591.9700000002</v>
      </c>
      <c r="AR480" s="4">
        <v>251214.96</v>
      </c>
      <c r="AS480" s="4">
        <v>201793.5</v>
      </c>
      <c r="AT480" s="4">
        <v>397160.35</v>
      </c>
      <c r="AU480" s="4">
        <v>1161987</v>
      </c>
      <c r="AV480" s="4">
        <v>28732030.289999999</v>
      </c>
      <c r="AW480" s="4">
        <v>1487191.26</v>
      </c>
      <c r="AX480" s="4">
        <v>560157.99</v>
      </c>
      <c r="AY480" s="4">
        <v>1093598.53</v>
      </c>
      <c r="AZ480" s="4">
        <v>2756403.75</v>
      </c>
      <c r="BA480" s="4">
        <v>1961963.85</v>
      </c>
      <c r="BB480" s="4">
        <v>548328.48</v>
      </c>
      <c r="BC480" s="4">
        <v>1126695.28</v>
      </c>
      <c r="BD480" s="4">
        <v>10050416.27</v>
      </c>
      <c r="BE480" s="4">
        <v>415977.53</v>
      </c>
      <c r="BF480" s="4">
        <v>224328.03</v>
      </c>
      <c r="BG480" s="4">
        <v>0</v>
      </c>
      <c r="BH480" s="4">
        <f t="shared" si="84"/>
        <v>191861130.69999996</v>
      </c>
    </row>
    <row r="481" spans="1:60" x14ac:dyDescent="0.2">
      <c r="A481" s="3">
        <v>33482</v>
      </c>
      <c r="B481" s="4">
        <v>11888873.73</v>
      </c>
      <c r="C481" s="4">
        <v>1248392.33</v>
      </c>
      <c r="D481" s="4">
        <v>6714438.1799999997</v>
      </c>
      <c r="E481" s="4">
        <v>2180077.36</v>
      </c>
      <c r="F481" s="4">
        <v>2009602.91</v>
      </c>
      <c r="G481" s="4">
        <v>4126970.82</v>
      </c>
      <c r="H481" s="4">
        <v>1806077.99</v>
      </c>
      <c r="I481" s="4">
        <v>829831.36</v>
      </c>
      <c r="J481" s="4">
        <v>2915134.46</v>
      </c>
      <c r="K481" s="4">
        <v>1548415.16</v>
      </c>
      <c r="L481" s="4">
        <v>976409.82</v>
      </c>
      <c r="M481" s="4">
        <v>1361459.93</v>
      </c>
      <c r="N481" s="4">
        <v>8263855.3700000001</v>
      </c>
      <c r="O481" s="4">
        <v>37683931.950000003</v>
      </c>
      <c r="P481" s="4">
        <v>1700458.49</v>
      </c>
      <c r="Q481" s="4">
        <v>1093586.43</v>
      </c>
      <c r="R481" s="4">
        <v>799561.74</v>
      </c>
      <c r="S481" s="4">
        <v>1286141.47</v>
      </c>
      <c r="T481" s="4">
        <v>1636987.37</v>
      </c>
      <c r="U481" s="4">
        <v>410130.4</v>
      </c>
      <c r="V481" s="4">
        <v>1545713.09</v>
      </c>
      <c r="W481" s="4">
        <v>3586869.52</v>
      </c>
      <c r="X481" s="4">
        <v>561689.01</v>
      </c>
      <c r="Y481" s="4">
        <v>1364864.53</v>
      </c>
      <c r="Z481" s="4">
        <v>1043969.69</v>
      </c>
      <c r="AA481" s="4">
        <v>22112335.91</v>
      </c>
      <c r="AB481" s="4">
        <v>1024797.37</v>
      </c>
      <c r="AC481" s="4">
        <v>55117404.560000002</v>
      </c>
      <c r="AD481" s="4">
        <v>6522879.8499999996</v>
      </c>
      <c r="AE481" s="4">
        <v>5468391.5899999999</v>
      </c>
      <c r="AF481" s="4">
        <v>14058878.289999999</v>
      </c>
      <c r="AG481" s="4">
        <v>2513072.19</v>
      </c>
      <c r="AH481" s="4">
        <v>5454862.8499999996</v>
      </c>
      <c r="AI481" s="4">
        <v>693440.23</v>
      </c>
      <c r="AJ481" s="4">
        <v>0</v>
      </c>
      <c r="AK481" s="4">
        <v>1235039.06</v>
      </c>
      <c r="AL481" s="4">
        <v>1761266.65</v>
      </c>
      <c r="AM481" s="4">
        <v>2735874.72</v>
      </c>
      <c r="AN481" s="4">
        <v>6157355.0599999996</v>
      </c>
      <c r="AO481" s="4">
        <v>2870519.75</v>
      </c>
      <c r="AP481" s="4">
        <v>5421266.3399999999</v>
      </c>
      <c r="AQ481" s="4">
        <v>4268374.8600000003</v>
      </c>
      <c r="AR481" s="4">
        <v>506479.43</v>
      </c>
      <c r="AS481" s="4">
        <v>539544.63</v>
      </c>
      <c r="AT481" s="4">
        <v>744856.9</v>
      </c>
      <c r="AU481" s="4">
        <v>2225226</v>
      </c>
      <c r="AV481" s="4">
        <v>46868205.109999999</v>
      </c>
      <c r="AW481" s="4">
        <v>2514012.2000000002</v>
      </c>
      <c r="AX481" s="4">
        <v>1015519.68</v>
      </c>
      <c r="AY481" s="4">
        <v>2119628.65</v>
      </c>
      <c r="AZ481" s="4">
        <v>4559507.9800000004</v>
      </c>
      <c r="BA481" s="4">
        <v>3665201.38</v>
      </c>
      <c r="BB481" s="4">
        <v>1132960.42</v>
      </c>
      <c r="BC481" s="4">
        <v>2326377.96</v>
      </c>
      <c r="BD481" s="4">
        <v>16497280.34</v>
      </c>
      <c r="BE481" s="4">
        <v>864765.7</v>
      </c>
      <c r="BF481" s="4">
        <v>695151.87</v>
      </c>
      <c r="BG481" s="4">
        <v>0</v>
      </c>
      <c r="BH481" s="4">
        <f t="shared" si="84"/>
        <v>322273920.63999999</v>
      </c>
    </row>
    <row r="482" spans="1:60" x14ac:dyDescent="0.2">
      <c r="A482" s="3">
        <v>33512</v>
      </c>
      <c r="B482" s="4">
        <v>7337545.0599999996</v>
      </c>
      <c r="C482" s="4">
        <v>604404.14</v>
      </c>
      <c r="D482" s="4">
        <v>3900790.11</v>
      </c>
      <c r="E482" s="4">
        <v>1145851.25</v>
      </c>
      <c r="F482" s="4">
        <v>1006143.7</v>
      </c>
      <c r="G482" s="4">
        <v>1781754.83</v>
      </c>
      <c r="H482" s="4">
        <v>1296011.3899999999</v>
      </c>
      <c r="I482" s="4">
        <v>357618.9</v>
      </c>
      <c r="J482" s="4">
        <v>1284247.74</v>
      </c>
      <c r="K482" s="4">
        <v>709750.4</v>
      </c>
      <c r="L482" s="4">
        <v>648072.98</v>
      </c>
      <c r="M482" s="4">
        <v>355787.06</v>
      </c>
      <c r="N482" s="4">
        <v>5121892.8099999996</v>
      </c>
      <c r="O482" s="4">
        <v>22853476.859999999</v>
      </c>
      <c r="P482" s="4">
        <v>593592.32999999996</v>
      </c>
      <c r="Q482" s="4">
        <v>537943.92000000004</v>
      </c>
      <c r="R482" s="4">
        <v>433620.79</v>
      </c>
      <c r="S482" s="4">
        <v>668004.35</v>
      </c>
      <c r="T482" s="4">
        <v>633651.72</v>
      </c>
      <c r="U482" s="4">
        <v>83815.37</v>
      </c>
      <c r="V482" s="4">
        <v>630660.39</v>
      </c>
      <c r="W482" s="4">
        <v>1820487.15</v>
      </c>
      <c r="X482" s="4">
        <v>261992.25</v>
      </c>
      <c r="Y482" s="4">
        <v>652221.56000000006</v>
      </c>
      <c r="Z482" s="4">
        <v>616850.03</v>
      </c>
      <c r="AA482" s="4">
        <v>14533212.15</v>
      </c>
      <c r="AB482" s="4">
        <v>583964.81000000006</v>
      </c>
      <c r="AC482" s="4">
        <v>38180275.450000003</v>
      </c>
      <c r="AD482" s="4">
        <v>4076795.87</v>
      </c>
      <c r="AE482" s="4">
        <v>2777252.01</v>
      </c>
      <c r="AF482" s="4">
        <v>10528085.710000001</v>
      </c>
      <c r="AG482" s="4">
        <v>1480854.74</v>
      </c>
      <c r="AH482" s="4">
        <v>3506548.3</v>
      </c>
      <c r="AI482" s="4">
        <v>383863.08</v>
      </c>
      <c r="AJ482" s="4">
        <v>0</v>
      </c>
      <c r="AK482" s="4">
        <v>522344.18</v>
      </c>
      <c r="AL482" s="4">
        <v>1106881.3799999999</v>
      </c>
      <c r="AM482" s="4">
        <v>1746121.4</v>
      </c>
      <c r="AN482" s="4">
        <v>4039109.6</v>
      </c>
      <c r="AO482" s="4">
        <v>1464653.06</v>
      </c>
      <c r="AP482" s="4">
        <v>2844557.68</v>
      </c>
      <c r="AQ482" s="4">
        <v>2429996.42</v>
      </c>
      <c r="AR482" s="4">
        <v>236547.88</v>
      </c>
      <c r="AS482" s="4">
        <v>159708.04999999999</v>
      </c>
      <c r="AT482" s="4">
        <v>381114.66</v>
      </c>
      <c r="AU482" s="4">
        <v>1140803.2</v>
      </c>
      <c r="AV482" s="4">
        <v>30765273.559999999</v>
      </c>
      <c r="AW482" s="4">
        <v>1224758.21</v>
      </c>
      <c r="AX482" s="4">
        <v>533855.49</v>
      </c>
      <c r="AY482" s="4">
        <v>1153273.18</v>
      </c>
      <c r="AZ482" s="4">
        <v>2647271.83</v>
      </c>
      <c r="BA482" s="4">
        <v>1443524.95</v>
      </c>
      <c r="BB482" s="4">
        <v>521746.53</v>
      </c>
      <c r="BC482" s="4">
        <v>1001555.84</v>
      </c>
      <c r="BD482" s="4">
        <v>10229703.619999999</v>
      </c>
      <c r="BE482" s="4">
        <v>384469.13</v>
      </c>
      <c r="BF482" s="4">
        <v>210093.12</v>
      </c>
      <c r="BG482" s="4">
        <v>0</v>
      </c>
      <c r="BH482" s="4">
        <f t="shared" si="84"/>
        <v>197574402.18000001</v>
      </c>
    </row>
    <row r="483" spans="1:60" x14ac:dyDescent="0.2">
      <c r="A483" s="3">
        <v>33543</v>
      </c>
      <c r="B483" s="4">
        <v>7422192.5199999996</v>
      </c>
      <c r="C483" s="4">
        <v>589843.22</v>
      </c>
      <c r="D483" s="4">
        <v>4028062.41</v>
      </c>
      <c r="E483" s="4">
        <v>1125788.3500000001</v>
      </c>
      <c r="F483" s="4">
        <v>997626.11</v>
      </c>
      <c r="G483" s="4">
        <v>1786225.88</v>
      </c>
      <c r="H483" s="4">
        <v>1339550.05</v>
      </c>
      <c r="I483" s="4">
        <v>362098.44</v>
      </c>
      <c r="J483" s="4">
        <v>1301147.6399999999</v>
      </c>
      <c r="K483" s="4">
        <v>712781.64</v>
      </c>
      <c r="L483" s="4">
        <v>647885.72</v>
      </c>
      <c r="M483" s="4">
        <v>359471.97</v>
      </c>
      <c r="N483" s="4">
        <v>5112548.92</v>
      </c>
      <c r="O483" s="4">
        <v>22649431.32</v>
      </c>
      <c r="P483" s="4">
        <v>596745.47</v>
      </c>
      <c r="Q483" s="4">
        <v>540286.52</v>
      </c>
      <c r="R483" s="4">
        <v>437100.51</v>
      </c>
      <c r="S483" s="4">
        <v>676319.95</v>
      </c>
      <c r="T483" s="4">
        <v>640656.73</v>
      </c>
      <c r="U483" s="4">
        <v>77483.59</v>
      </c>
      <c r="V483" s="4">
        <v>672560.33</v>
      </c>
      <c r="W483" s="4">
        <v>1859118.29</v>
      </c>
      <c r="X483" s="4">
        <v>218771.83</v>
      </c>
      <c r="Y483" s="4">
        <v>654449.98</v>
      </c>
      <c r="Z483" s="4">
        <v>608847.24</v>
      </c>
      <c r="AA483" s="4">
        <v>14280694.25</v>
      </c>
      <c r="AB483" s="4">
        <v>559300.36</v>
      </c>
      <c r="AC483" s="4">
        <v>39179327.990000002</v>
      </c>
      <c r="AD483" s="4">
        <v>4096493.69</v>
      </c>
      <c r="AE483" s="4">
        <v>2833882.76</v>
      </c>
      <c r="AF483" s="4">
        <v>10745057.91</v>
      </c>
      <c r="AG483" s="4">
        <v>1432982.73</v>
      </c>
      <c r="AH483" s="4">
        <v>3452169.44</v>
      </c>
      <c r="AI483" s="4">
        <v>377430.12</v>
      </c>
      <c r="AJ483" s="4">
        <v>0</v>
      </c>
      <c r="AK483" s="4">
        <v>549730.04</v>
      </c>
      <c r="AL483" s="4">
        <v>1035841.67</v>
      </c>
      <c r="AM483" s="4">
        <v>1741185.31</v>
      </c>
      <c r="AN483" s="4">
        <v>4283198.3600000003</v>
      </c>
      <c r="AO483" s="4">
        <v>1507551.4</v>
      </c>
      <c r="AP483" s="4">
        <v>2872416.69</v>
      </c>
      <c r="AQ483" s="4">
        <v>2442685.7799999998</v>
      </c>
      <c r="AR483" s="4">
        <v>233721.52</v>
      </c>
      <c r="AS483" s="4">
        <v>162956.54999999999</v>
      </c>
      <c r="AT483" s="4">
        <v>368929.32</v>
      </c>
      <c r="AU483" s="4">
        <v>1140312.76</v>
      </c>
      <c r="AV483" s="4">
        <v>31446409.329999998</v>
      </c>
      <c r="AW483" s="4">
        <v>1180266.27</v>
      </c>
      <c r="AX483" s="4">
        <v>543981.16</v>
      </c>
      <c r="AY483" s="4">
        <v>1158953.99</v>
      </c>
      <c r="AZ483" s="4">
        <v>2637534.19</v>
      </c>
      <c r="BA483" s="4">
        <v>1413182.85</v>
      </c>
      <c r="BB483" s="4">
        <v>512324.6</v>
      </c>
      <c r="BC483" s="4">
        <v>1007188.62</v>
      </c>
      <c r="BD483" s="4">
        <v>11387861.1</v>
      </c>
      <c r="BE483" s="4">
        <v>371894.4</v>
      </c>
      <c r="BF483" s="4">
        <v>206007.02</v>
      </c>
      <c r="BG483" s="4">
        <v>0</v>
      </c>
      <c r="BH483" s="4">
        <f t="shared" si="84"/>
        <v>200578466.81000003</v>
      </c>
    </row>
    <row r="484" spans="1:60" x14ac:dyDescent="0.2">
      <c r="A484" s="3">
        <v>33573</v>
      </c>
      <c r="B484" s="4">
        <v>9932089.1699999999</v>
      </c>
      <c r="C484" s="4">
        <v>1407354.92</v>
      </c>
      <c r="D484" s="4">
        <v>5242789.62</v>
      </c>
      <c r="E484" s="4">
        <v>2164734.94</v>
      </c>
      <c r="F484" s="4">
        <v>1696286.86</v>
      </c>
      <c r="G484" s="4">
        <v>3763699.49</v>
      </c>
      <c r="H484" s="4">
        <v>2322643.16</v>
      </c>
      <c r="I484" s="4">
        <v>632852.15</v>
      </c>
      <c r="J484" s="4">
        <v>2237174.2000000002</v>
      </c>
      <c r="K484" s="4">
        <v>1438591.39</v>
      </c>
      <c r="L484" s="4">
        <v>1111192.53</v>
      </c>
      <c r="M484" s="4">
        <v>1139884.8400000001</v>
      </c>
      <c r="N484" s="4">
        <v>7900072.2800000003</v>
      </c>
      <c r="O484" s="4">
        <v>35901578.509999998</v>
      </c>
      <c r="P484" s="4">
        <v>1113675.75</v>
      </c>
      <c r="Q484" s="4">
        <v>1014269.38</v>
      </c>
      <c r="R484" s="4">
        <v>833694.14</v>
      </c>
      <c r="S484" s="4">
        <v>1085032.8700000001</v>
      </c>
      <c r="T484" s="4">
        <v>1247874.8999999999</v>
      </c>
      <c r="U484" s="4">
        <v>237342.24</v>
      </c>
      <c r="V484" s="4">
        <v>1463778.47</v>
      </c>
      <c r="W484" s="4">
        <v>2823839.21</v>
      </c>
      <c r="X484" s="4">
        <v>504752.14</v>
      </c>
      <c r="Y484" s="4">
        <v>1265765.1200000001</v>
      </c>
      <c r="Z484" s="4">
        <v>1082966.24</v>
      </c>
      <c r="AA484" s="4">
        <v>19902554.989999998</v>
      </c>
      <c r="AB484" s="4">
        <v>848123.14</v>
      </c>
      <c r="AC484" s="4">
        <v>56204220.549999997</v>
      </c>
      <c r="AD484" s="4">
        <v>5640662.8200000003</v>
      </c>
      <c r="AE484" s="4">
        <v>4275276.4000000004</v>
      </c>
      <c r="AF484" s="4">
        <v>12961348.92</v>
      </c>
      <c r="AG484" s="4">
        <v>2288108.98</v>
      </c>
      <c r="AH484" s="4">
        <v>5460357.4699999997</v>
      </c>
      <c r="AI484" s="4">
        <v>617385.62</v>
      </c>
      <c r="AJ484" s="4">
        <v>0</v>
      </c>
      <c r="AK484" s="4">
        <v>968563.67</v>
      </c>
      <c r="AL484" s="4">
        <v>1818824.31</v>
      </c>
      <c r="AM484" s="4">
        <v>2747609.04</v>
      </c>
      <c r="AN484" s="4">
        <v>7340451.6299999999</v>
      </c>
      <c r="AO484" s="4">
        <v>2967954.52</v>
      </c>
      <c r="AP484" s="4">
        <v>4099489.84</v>
      </c>
      <c r="AQ484" s="4">
        <v>3943781.63</v>
      </c>
      <c r="AR484" s="4">
        <v>406242.4</v>
      </c>
      <c r="AS484" s="4">
        <v>415349.66</v>
      </c>
      <c r="AT484" s="4">
        <v>730051.38</v>
      </c>
      <c r="AU484" s="4">
        <v>1978340.09</v>
      </c>
      <c r="AV484" s="4">
        <v>49252967.799999997</v>
      </c>
      <c r="AW484" s="4">
        <v>1945524.13</v>
      </c>
      <c r="AX484" s="4">
        <v>853054.72</v>
      </c>
      <c r="AY484" s="4">
        <v>1672996.65</v>
      </c>
      <c r="AZ484" s="4">
        <v>4989706.38</v>
      </c>
      <c r="BA484" s="4">
        <v>2093715.76</v>
      </c>
      <c r="BB484" s="4">
        <v>840982.82</v>
      </c>
      <c r="BC484" s="4">
        <v>1754850.6</v>
      </c>
      <c r="BD484" s="4">
        <v>22078645.690000001</v>
      </c>
      <c r="BE484" s="4">
        <v>730696.04</v>
      </c>
      <c r="BF484" s="4">
        <v>509702.65</v>
      </c>
      <c r="BG484" s="4">
        <v>0</v>
      </c>
      <c r="BH484" s="4">
        <f t="shared" si="84"/>
        <v>311901474.81999993</v>
      </c>
    </row>
    <row r="485" spans="1:60" ht="15.75" thickBot="1" x14ac:dyDescent="0.25">
      <c r="A485" s="3" t="s">
        <v>14</v>
      </c>
      <c r="B485" s="5">
        <f t="shared" ref="B485:AG485" si="85">SUM(B473:B484)</f>
        <v>102023389.81</v>
      </c>
      <c r="C485" s="5">
        <f t="shared" si="85"/>
        <v>9851934.25</v>
      </c>
      <c r="D485" s="5">
        <f t="shared" si="85"/>
        <v>54333091.160000004</v>
      </c>
      <c r="E485" s="5">
        <f t="shared" si="85"/>
        <v>17806784.400000002</v>
      </c>
      <c r="F485" s="5">
        <f t="shared" si="85"/>
        <v>15221115.909999996</v>
      </c>
      <c r="G485" s="5">
        <f t="shared" si="85"/>
        <v>29057126.419999994</v>
      </c>
      <c r="H485" s="5">
        <f t="shared" si="85"/>
        <v>19119323.789999999</v>
      </c>
      <c r="I485" s="5">
        <f t="shared" si="85"/>
        <v>5708358.8200000012</v>
      </c>
      <c r="J485" s="5">
        <f t="shared" si="85"/>
        <v>19756751.619999997</v>
      </c>
      <c r="K485" s="5">
        <f t="shared" si="85"/>
        <v>11571824.100000001</v>
      </c>
      <c r="L485" s="5">
        <f t="shared" si="85"/>
        <v>9167879.3800000008</v>
      </c>
      <c r="M485" s="5">
        <f t="shared" si="85"/>
        <v>6372521.4799999995</v>
      </c>
      <c r="N485" s="5">
        <f t="shared" si="85"/>
        <v>68494323.150000006</v>
      </c>
      <c r="O485" s="5">
        <f t="shared" si="85"/>
        <v>326162447.38999999</v>
      </c>
      <c r="P485" s="5">
        <f t="shared" si="85"/>
        <v>9618757.1300000008</v>
      </c>
      <c r="Q485" s="5">
        <f t="shared" si="85"/>
        <v>8496359.5</v>
      </c>
      <c r="R485" s="5">
        <f t="shared" si="85"/>
        <v>6472254.0899999999</v>
      </c>
      <c r="S485" s="5">
        <f t="shared" si="85"/>
        <v>10399902.550000001</v>
      </c>
      <c r="T485" s="5">
        <f t="shared" si="85"/>
        <v>10419383.210000001</v>
      </c>
      <c r="U485" s="5">
        <f t="shared" si="85"/>
        <v>1496581.2600000002</v>
      </c>
      <c r="V485" s="5">
        <f t="shared" si="85"/>
        <v>10344830.960000001</v>
      </c>
      <c r="W485" s="5">
        <f t="shared" si="85"/>
        <v>27083074.439999998</v>
      </c>
      <c r="X485" s="5">
        <f t="shared" si="85"/>
        <v>3765226.82</v>
      </c>
      <c r="Y485" s="5">
        <f t="shared" si="85"/>
        <v>10251429.75</v>
      </c>
      <c r="Z485" s="5">
        <f t="shared" si="85"/>
        <v>9379149.7199999988</v>
      </c>
      <c r="AA485" s="5">
        <f t="shared" si="85"/>
        <v>200142705.98000002</v>
      </c>
      <c r="AB485" s="5">
        <f t="shared" si="85"/>
        <v>8219969.1999999993</v>
      </c>
      <c r="AC485" s="5">
        <f t="shared" si="85"/>
        <v>498744643.38999999</v>
      </c>
      <c r="AD485" s="5">
        <f t="shared" si="85"/>
        <v>56245838.589999996</v>
      </c>
      <c r="AE485" s="5">
        <f t="shared" si="85"/>
        <v>41723086.099999994</v>
      </c>
      <c r="AF485" s="5">
        <f t="shared" si="85"/>
        <v>137328510</v>
      </c>
      <c r="AG485" s="5">
        <f t="shared" si="85"/>
        <v>21823531.609999999</v>
      </c>
      <c r="AH485" s="5">
        <f t="shared" ref="AH485:BG485" si="86">SUM(AH473:AH484)</f>
        <v>49422470.04999999</v>
      </c>
      <c r="AI485" s="5">
        <f t="shared" si="86"/>
        <v>5651042.5800000001</v>
      </c>
      <c r="AJ485" s="5">
        <f t="shared" si="86"/>
        <v>0</v>
      </c>
      <c r="AK485" s="5">
        <f t="shared" si="86"/>
        <v>8132173.6600000011</v>
      </c>
      <c r="AL485" s="5">
        <f t="shared" si="86"/>
        <v>15466440.82</v>
      </c>
      <c r="AM485" s="5">
        <f t="shared" si="86"/>
        <v>25309884.109999996</v>
      </c>
      <c r="AN485" s="5">
        <f t="shared" si="86"/>
        <v>54161853.530000009</v>
      </c>
      <c r="AO485" s="5">
        <f t="shared" si="86"/>
        <v>22605410.579999998</v>
      </c>
      <c r="AP485" s="5">
        <f t="shared" si="86"/>
        <v>41045070.200000003</v>
      </c>
      <c r="AQ485" s="5">
        <f t="shared" si="86"/>
        <v>36863960.579999998</v>
      </c>
      <c r="AR485" s="5">
        <f t="shared" si="86"/>
        <v>3430064.28</v>
      </c>
      <c r="AS485" s="5">
        <f t="shared" si="86"/>
        <v>2989514.29</v>
      </c>
      <c r="AT485" s="5">
        <f t="shared" si="86"/>
        <v>5741059.5200000005</v>
      </c>
      <c r="AU485" s="5">
        <f t="shared" si="86"/>
        <v>16431873.009999998</v>
      </c>
      <c r="AV485" s="5">
        <f t="shared" si="86"/>
        <v>402759767.07999998</v>
      </c>
      <c r="AW485" s="5">
        <f t="shared" si="86"/>
        <v>17533389.68</v>
      </c>
      <c r="AX485" s="5">
        <f t="shared" si="86"/>
        <v>8245808.5100000007</v>
      </c>
      <c r="AY485" s="5">
        <f t="shared" si="86"/>
        <v>16865752.16</v>
      </c>
      <c r="AZ485" s="5">
        <f t="shared" si="86"/>
        <v>38648414.910000004</v>
      </c>
      <c r="BA485" s="5">
        <f t="shared" si="86"/>
        <v>21989448.200000003</v>
      </c>
      <c r="BB485" s="5">
        <f t="shared" si="86"/>
        <v>8224334.2800000003</v>
      </c>
      <c r="BC485" s="5">
        <f t="shared" si="86"/>
        <v>15832565.299999997</v>
      </c>
      <c r="BD485" s="5">
        <f t="shared" si="86"/>
        <v>157791546.09999999</v>
      </c>
      <c r="BE485" s="5">
        <f t="shared" si="86"/>
        <v>6035622.3800000008</v>
      </c>
      <c r="BF485" s="5">
        <f t="shared" si="86"/>
        <v>3634587.08</v>
      </c>
      <c r="BG485" s="5">
        <f t="shared" si="86"/>
        <v>0</v>
      </c>
      <c r="BH485" s="5">
        <f t="shared" si="84"/>
        <v>2751414158.8699994</v>
      </c>
    </row>
    <row r="486" spans="1:60" ht="15.75" thickTop="1" x14ac:dyDescent="0.2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</row>
    <row r="487" spans="1:60" x14ac:dyDescent="0.2">
      <c r="A487" s="3">
        <v>32874</v>
      </c>
      <c r="B487" s="4">
        <v>9875310.2300000004</v>
      </c>
      <c r="C487" s="4">
        <v>694051.37</v>
      </c>
      <c r="D487" s="4">
        <v>4466293.22</v>
      </c>
      <c r="E487" s="4">
        <v>1232057.6100000001</v>
      </c>
      <c r="F487" s="4">
        <v>1351588.65</v>
      </c>
      <c r="G487" s="4">
        <v>1958082.46</v>
      </c>
      <c r="H487" s="4">
        <v>1546654.88</v>
      </c>
      <c r="I487" s="4">
        <v>402845.01</v>
      </c>
      <c r="J487" s="4">
        <v>1439672.59</v>
      </c>
      <c r="K487" s="4">
        <v>837465.99</v>
      </c>
      <c r="L487" s="4">
        <v>834582.88</v>
      </c>
      <c r="M487" s="4">
        <v>0</v>
      </c>
      <c r="N487" s="4">
        <v>2228865.39</v>
      </c>
      <c r="O487" s="4">
        <v>25451788.77</v>
      </c>
      <c r="P487" s="4">
        <v>633064.68000000005</v>
      </c>
      <c r="Q487" s="4">
        <v>560513.09</v>
      </c>
      <c r="R487" s="4">
        <v>486259.62</v>
      </c>
      <c r="S487" s="4">
        <v>764097.49</v>
      </c>
      <c r="T487" s="4">
        <v>713234.42</v>
      </c>
      <c r="U487" s="4">
        <v>67907.02</v>
      </c>
      <c r="V487" s="4">
        <v>668345.22</v>
      </c>
      <c r="W487" s="4">
        <v>1918709.3</v>
      </c>
      <c r="X487" s="4">
        <v>219766.99</v>
      </c>
      <c r="Y487" s="4">
        <v>691337.28</v>
      </c>
      <c r="Z487" s="4">
        <v>626449.99</v>
      </c>
      <c r="AA487" s="4">
        <v>18037876.059999999</v>
      </c>
      <c r="AB487" s="4">
        <v>649506.03</v>
      </c>
      <c r="AC487" s="4">
        <v>40960498.409999996</v>
      </c>
      <c r="AD487" s="4">
        <v>4423622.6100000003</v>
      </c>
      <c r="AE487" s="4">
        <v>3277814.53</v>
      </c>
      <c r="AF487" s="4">
        <v>11452459.76</v>
      </c>
      <c r="AG487" s="4">
        <v>1793148.51</v>
      </c>
      <c r="AH487" s="4">
        <v>4112041.37</v>
      </c>
      <c r="AI487" s="4">
        <v>420723.05</v>
      </c>
      <c r="AJ487" s="4">
        <v>0</v>
      </c>
      <c r="AK487" s="4">
        <v>578182.34</v>
      </c>
      <c r="AL487" s="4">
        <v>1295517.79</v>
      </c>
      <c r="AM487" s="4">
        <v>1859436.04</v>
      </c>
      <c r="AN487" s="4">
        <v>3403744.02</v>
      </c>
      <c r="AO487" s="4">
        <v>1505907.38</v>
      </c>
      <c r="AP487" s="4">
        <v>3076965.27</v>
      </c>
      <c r="AQ487" s="4">
        <v>1666771.86</v>
      </c>
      <c r="AR487" s="4">
        <v>230766.18</v>
      </c>
      <c r="AS487" s="4">
        <v>138827.73000000001</v>
      </c>
      <c r="AT487" s="4">
        <v>349813.11</v>
      </c>
      <c r="AU487" s="4">
        <v>1259311.31</v>
      </c>
      <c r="AV487" s="4">
        <v>33005841.219999999</v>
      </c>
      <c r="AW487" s="4">
        <v>1267478.06</v>
      </c>
      <c r="AX487" s="4">
        <v>690389.54</v>
      </c>
      <c r="AY487" s="4">
        <v>1360459.55</v>
      </c>
      <c r="AZ487" s="4">
        <v>3167820.18</v>
      </c>
      <c r="BA487" s="4">
        <v>1721735.33</v>
      </c>
      <c r="BB487" s="4">
        <v>602211.88</v>
      </c>
      <c r="BC487" s="4">
        <v>1041092.48</v>
      </c>
      <c r="BD487" s="4">
        <v>12921946.58</v>
      </c>
      <c r="BE487" s="4">
        <v>385621.47</v>
      </c>
      <c r="BF487" s="4">
        <v>200552.33</v>
      </c>
      <c r="BG487" s="4">
        <v>0</v>
      </c>
      <c r="BH487" s="4">
        <f t="shared" ref="BH487:BH499" si="87">SUM(B487:BG487)</f>
        <v>216527026.13000008</v>
      </c>
    </row>
    <row r="488" spans="1:60" x14ac:dyDescent="0.2">
      <c r="A488" s="3">
        <v>32905</v>
      </c>
      <c r="B488" s="4">
        <v>6323819.9800000004</v>
      </c>
      <c r="C488" s="4">
        <v>523425.28000000003</v>
      </c>
      <c r="D488" s="4">
        <v>3304509.03</v>
      </c>
      <c r="E488" s="4">
        <v>951728.89</v>
      </c>
      <c r="F488" s="4">
        <v>1014686.51</v>
      </c>
      <c r="G488" s="4">
        <v>1489631.61</v>
      </c>
      <c r="H488" s="4">
        <v>1221491.1100000001</v>
      </c>
      <c r="I488" s="4">
        <v>303150.14</v>
      </c>
      <c r="J488" s="4">
        <v>1007470.74</v>
      </c>
      <c r="K488" s="4">
        <v>644545.03</v>
      </c>
      <c r="L488" s="4">
        <v>637683.59</v>
      </c>
      <c r="M488" s="4">
        <v>0</v>
      </c>
      <c r="N488" s="4">
        <v>1631156.48</v>
      </c>
      <c r="O488" s="4">
        <v>19131595.02</v>
      </c>
      <c r="P488" s="4">
        <v>471937.29</v>
      </c>
      <c r="Q488" s="4">
        <v>422052.3</v>
      </c>
      <c r="R488" s="4">
        <v>349936.96</v>
      </c>
      <c r="S488" s="4">
        <v>577206.78</v>
      </c>
      <c r="T488" s="4">
        <v>538336.15</v>
      </c>
      <c r="U488" s="4">
        <v>47559.839999999997</v>
      </c>
      <c r="V488" s="4">
        <v>503624.25</v>
      </c>
      <c r="W488" s="4">
        <v>1390357.13</v>
      </c>
      <c r="X488" s="4">
        <v>155321.75</v>
      </c>
      <c r="Y488" s="4">
        <v>539213.35</v>
      </c>
      <c r="Z488" s="4">
        <v>474374.83</v>
      </c>
      <c r="AA488" s="4">
        <v>12590135.84</v>
      </c>
      <c r="AB488" s="4">
        <v>480960.67</v>
      </c>
      <c r="AC488" s="4">
        <v>30740812.969999999</v>
      </c>
      <c r="AD488" s="4">
        <v>3323355.96</v>
      </c>
      <c r="AE488" s="4">
        <v>2349061.19</v>
      </c>
      <c r="AF488" s="4">
        <v>8370350.75</v>
      </c>
      <c r="AG488" s="4">
        <v>1301600.21</v>
      </c>
      <c r="AH488" s="4">
        <v>2959783.32</v>
      </c>
      <c r="AI488" s="4">
        <v>324570.71999999997</v>
      </c>
      <c r="AJ488" s="4">
        <v>0</v>
      </c>
      <c r="AK488" s="4">
        <v>420964.77</v>
      </c>
      <c r="AL488" s="4">
        <v>1027355.93</v>
      </c>
      <c r="AM488" s="4">
        <v>1436075.89</v>
      </c>
      <c r="AN488" s="4">
        <v>2503144.7200000002</v>
      </c>
      <c r="AO488" s="4">
        <v>1107772.99</v>
      </c>
      <c r="AP488" s="4">
        <v>2240731.69</v>
      </c>
      <c r="AQ488" s="4">
        <v>1223329.1299999999</v>
      </c>
      <c r="AR488" s="4">
        <v>171654.92</v>
      </c>
      <c r="AS488" s="4">
        <v>100095.78</v>
      </c>
      <c r="AT488" s="4">
        <v>260351.65</v>
      </c>
      <c r="AU488" s="4">
        <v>863865.54</v>
      </c>
      <c r="AV488" s="4">
        <v>24805176.739999998</v>
      </c>
      <c r="AW488" s="4">
        <v>955647.37</v>
      </c>
      <c r="AX488" s="4">
        <v>523222.58</v>
      </c>
      <c r="AY488" s="4">
        <v>1034766.13</v>
      </c>
      <c r="AZ488" s="4">
        <v>2323637.91</v>
      </c>
      <c r="BA488" s="4">
        <v>1270004.69</v>
      </c>
      <c r="BB488" s="4">
        <v>487718.31</v>
      </c>
      <c r="BC488" s="4">
        <v>775111.87</v>
      </c>
      <c r="BD488" s="4">
        <v>9727653.7100000009</v>
      </c>
      <c r="BE488" s="4">
        <v>291849.36</v>
      </c>
      <c r="BF488" s="4">
        <v>149124.48000000001</v>
      </c>
      <c r="BG488" s="4">
        <v>0</v>
      </c>
      <c r="BH488" s="4">
        <f t="shared" si="87"/>
        <v>159794701.83000001</v>
      </c>
    </row>
    <row r="489" spans="1:60" x14ac:dyDescent="0.2">
      <c r="A489" s="3">
        <v>32933</v>
      </c>
      <c r="B489" s="4">
        <v>12842283.130000001</v>
      </c>
      <c r="C489" s="4">
        <v>1188187.18</v>
      </c>
      <c r="D489" s="4">
        <v>4868125.58</v>
      </c>
      <c r="E489" s="4">
        <v>2219418.7599999998</v>
      </c>
      <c r="F489" s="4">
        <v>1455300.56</v>
      </c>
      <c r="G489" s="4">
        <v>3206207.03</v>
      </c>
      <c r="H489" s="4">
        <v>2223580.31</v>
      </c>
      <c r="I489" s="4">
        <v>586919.85</v>
      </c>
      <c r="J489" s="4">
        <v>2164852.69</v>
      </c>
      <c r="K489" s="4">
        <v>1296299.3400000001</v>
      </c>
      <c r="L489" s="4">
        <v>1288550.72</v>
      </c>
      <c r="M489" s="4">
        <v>0</v>
      </c>
      <c r="N489" s="4">
        <v>1993921.92</v>
      </c>
      <c r="O489" s="4">
        <v>39418428.869999997</v>
      </c>
      <c r="P489" s="4">
        <v>1260593.22</v>
      </c>
      <c r="Q489" s="4">
        <v>914132.16</v>
      </c>
      <c r="R489" s="4">
        <v>817308.25</v>
      </c>
      <c r="S489" s="4">
        <v>881924.31</v>
      </c>
      <c r="T489" s="4">
        <v>1173822.1000000001</v>
      </c>
      <c r="U489" s="4">
        <v>110000</v>
      </c>
      <c r="V489" s="4">
        <v>1342658.77</v>
      </c>
      <c r="W489" s="4">
        <v>2570277.62</v>
      </c>
      <c r="X489" s="4">
        <v>432386.19</v>
      </c>
      <c r="Y489" s="4">
        <v>1224513.95</v>
      </c>
      <c r="Z489" s="4">
        <v>972625.02</v>
      </c>
      <c r="AA489" s="4">
        <v>21154490.780000001</v>
      </c>
      <c r="AB489" s="4">
        <v>782214.64</v>
      </c>
      <c r="AC489" s="4">
        <v>51254816.119999997</v>
      </c>
      <c r="AD489" s="4">
        <v>6320744.7400000002</v>
      </c>
      <c r="AE489" s="4">
        <v>4903753.62</v>
      </c>
      <c r="AF489" s="4">
        <v>13292495.810000001</v>
      </c>
      <c r="AG489" s="4">
        <v>2940987.18</v>
      </c>
      <c r="AH489" s="4">
        <v>4435811.3899999997</v>
      </c>
      <c r="AI489" s="4">
        <v>632353.26</v>
      </c>
      <c r="AJ489" s="4">
        <v>0</v>
      </c>
      <c r="AK489" s="4">
        <v>897977.11</v>
      </c>
      <c r="AL489" s="4">
        <v>1332188.96</v>
      </c>
      <c r="AM489" s="4">
        <v>2884516.72</v>
      </c>
      <c r="AN489" s="4">
        <v>4480302.22</v>
      </c>
      <c r="AO489" s="4">
        <v>2215624.0299999998</v>
      </c>
      <c r="AP489" s="4">
        <v>4026014.37</v>
      </c>
      <c r="AQ489" s="4">
        <v>7151737.3499999996</v>
      </c>
      <c r="AR489" s="4">
        <v>352878.59</v>
      </c>
      <c r="AS489" s="4">
        <v>466897.66</v>
      </c>
      <c r="AT489" s="4">
        <v>646600.09</v>
      </c>
      <c r="AU489" s="4">
        <v>1818703.09</v>
      </c>
      <c r="AV489" s="4">
        <v>37900615.68</v>
      </c>
      <c r="AW489" s="4">
        <v>1433889.02</v>
      </c>
      <c r="AX489" s="4">
        <v>1249401.24</v>
      </c>
      <c r="AY489" s="4">
        <v>1801978.38</v>
      </c>
      <c r="AZ489" s="4">
        <v>4006331.49</v>
      </c>
      <c r="BA489" s="4">
        <v>1932254.84</v>
      </c>
      <c r="BB489" s="4">
        <v>898299.44</v>
      </c>
      <c r="BC489" s="4">
        <v>1510914.4</v>
      </c>
      <c r="BD489" s="4">
        <v>15706036.279999999</v>
      </c>
      <c r="BE489" s="4">
        <v>698114.98</v>
      </c>
      <c r="BF489" s="4">
        <v>321541.84999999998</v>
      </c>
      <c r="BG489" s="4">
        <v>0</v>
      </c>
      <c r="BH489" s="4">
        <f t="shared" si="87"/>
        <v>285902802.86000007</v>
      </c>
    </row>
    <row r="490" spans="1:60" x14ac:dyDescent="0.2">
      <c r="A490" s="3">
        <v>32964</v>
      </c>
      <c r="B490" s="4">
        <v>7079894.3099999996</v>
      </c>
      <c r="C490" s="4">
        <v>636397.75</v>
      </c>
      <c r="D490" s="4">
        <v>3750333.59</v>
      </c>
      <c r="E490" s="4">
        <v>1082811.22</v>
      </c>
      <c r="F490" s="4">
        <v>1061009.6000000001</v>
      </c>
      <c r="G490" s="4">
        <v>1812538.76</v>
      </c>
      <c r="H490" s="4">
        <v>1334462.99</v>
      </c>
      <c r="I490" s="4">
        <v>368133.29</v>
      </c>
      <c r="J490" s="4">
        <v>1154044.8400000001</v>
      </c>
      <c r="K490" s="4">
        <v>740707.22</v>
      </c>
      <c r="L490" s="4">
        <v>768287.78</v>
      </c>
      <c r="M490" s="4">
        <v>0</v>
      </c>
      <c r="N490" s="4">
        <v>5387232.96</v>
      </c>
      <c r="O490" s="4">
        <v>22288131.760000002</v>
      </c>
      <c r="P490" s="4">
        <v>553647.28</v>
      </c>
      <c r="Q490" s="4">
        <v>504753.63</v>
      </c>
      <c r="R490" s="4">
        <v>451182.77</v>
      </c>
      <c r="S490" s="4">
        <v>708864.69</v>
      </c>
      <c r="T490" s="4">
        <v>594632.81000000006</v>
      </c>
      <c r="U490" s="4">
        <v>38122.589999999997</v>
      </c>
      <c r="V490" s="4">
        <v>623631.24</v>
      </c>
      <c r="W490" s="4">
        <v>1736435.53</v>
      </c>
      <c r="X490" s="4">
        <v>206933.97</v>
      </c>
      <c r="Y490" s="4">
        <v>668725.17000000004</v>
      </c>
      <c r="Z490" s="4">
        <v>615898.81999999995</v>
      </c>
      <c r="AA490" s="4">
        <v>14478628.42</v>
      </c>
      <c r="AB490" s="4">
        <v>550239.44999999995</v>
      </c>
      <c r="AC490" s="4">
        <v>33940765.340000004</v>
      </c>
      <c r="AD490" s="4">
        <v>3906526.28</v>
      </c>
      <c r="AE490" s="4">
        <v>2726959.2</v>
      </c>
      <c r="AF490" s="4">
        <v>9594875.1600000001</v>
      </c>
      <c r="AG490" s="4">
        <v>1446950.68</v>
      </c>
      <c r="AH490" s="4">
        <v>3415912.63</v>
      </c>
      <c r="AI490" s="4">
        <v>409044.94</v>
      </c>
      <c r="AJ490" s="4">
        <v>0</v>
      </c>
      <c r="AK490" s="4">
        <v>482317</v>
      </c>
      <c r="AL490" s="4">
        <v>1038294.51</v>
      </c>
      <c r="AM490" s="4">
        <v>1761629.25</v>
      </c>
      <c r="AN490" s="4">
        <v>2975528.76</v>
      </c>
      <c r="AO490" s="4">
        <v>1218669.8799999999</v>
      </c>
      <c r="AP490" s="4">
        <v>2706549.6</v>
      </c>
      <c r="AQ490" s="4">
        <v>2338213.0699999998</v>
      </c>
      <c r="AR490" s="4">
        <v>203326.56</v>
      </c>
      <c r="AS490" s="4">
        <v>147480.15</v>
      </c>
      <c r="AT490" s="4">
        <v>338325.8</v>
      </c>
      <c r="AU490" s="4">
        <v>1082981.73</v>
      </c>
      <c r="AV490" s="4">
        <v>28777745.129999999</v>
      </c>
      <c r="AW490" s="4">
        <v>1189071.55</v>
      </c>
      <c r="AX490" s="4">
        <v>630672.96</v>
      </c>
      <c r="AY490" s="4">
        <v>1155228.9099999999</v>
      </c>
      <c r="AZ490" s="4">
        <v>2642336.6800000002</v>
      </c>
      <c r="BA490" s="4">
        <v>1464003.25</v>
      </c>
      <c r="BB490" s="4">
        <v>556251.65</v>
      </c>
      <c r="BC490" s="4">
        <v>1054768.8799999999</v>
      </c>
      <c r="BD490" s="4">
        <v>10519778.98</v>
      </c>
      <c r="BE490" s="4">
        <v>386924.67</v>
      </c>
      <c r="BF490" s="4">
        <v>210255.12</v>
      </c>
      <c r="BG490" s="4">
        <v>0</v>
      </c>
      <c r="BH490" s="4">
        <f t="shared" si="87"/>
        <v>187517070.76000002</v>
      </c>
    </row>
    <row r="491" spans="1:60" x14ac:dyDescent="0.2">
      <c r="A491" s="3">
        <v>32994</v>
      </c>
      <c r="B491" s="4">
        <v>6739348.3799999999</v>
      </c>
      <c r="C491" s="4">
        <v>577397.71</v>
      </c>
      <c r="D491" s="4">
        <v>3577133.65</v>
      </c>
      <c r="E491" s="4">
        <v>1022447.97</v>
      </c>
      <c r="F491" s="4">
        <v>1000429.99</v>
      </c>
      <c r="G491" s="4">
        <v>1740192.26</v>
      </c>
      <c r="H491" s="4">
        <v>1263499.5900000001</v>
      </c>
      <c r="I491" s="4">
        <v>358178.37</v>
      </c>
      <c r="J491" s="4">
        <v>1105096.51</v>
      </c>
      <c r="K491" s="4">
        <v>705697.66</v>
      </c>
      <c r="L491" s="4">
        <v>706582.75</v>
      </c>
      <c r="M491" s="4">
        <v>0</v>
      </c>
      <c r="N491" s="4">
        <v>5192948.05</v>
      </c>
      <c r="O491" s="4">
        <v>21217392.620000001</v>
      </c>
      <c r="P491" s="4">
        <v>527520.91</v>
      </c>
      <c r="Q491" s="4">
        <v>493102.03</v>
      </c>
      <c r="R491" s="4">
        <v>437310.16</v>
      </c>
      <c r="S491" s="4">
        <v>674587.89</v>
      </c>
      <c r="T491" s="4">
        <v>563649.38</v>
      </c>
      <c r="U491" s="4">
        <v>61510.98</v>
      </c>
      <c r="V491" s="4">
        <v>597934.55000000005</v>
      </c>
      <c r="W491" s="4">
        <v>1696935.01</v>
      </c>
      <c r="X491" s="4">
        <v>201523.99</v>
      </c>
      <c r="Y491" s="4">
        <v>629481.98</v>
      </c>
      <c r="Z491" s="4">
        <v>603747.47</v>
      </c>
      <c r="AA491" s="4">
        <v>13759287.73</v>
      </c>
      <c r="AB491" s="4">
        <v>518357.51</v>
      </c>
      <c r="AC491" s="4">
        <v>31739082.829999998</v>
      </c>
      <c r="AD491" s="4">
        <v>3727566.33</v>
      </c>
      <c r="AE491" s="4">
        <v>2624873.9900000002</v>
      </c>
      <c r="AF491" s="4">
        <v>9123489.25</v>
      </c>
      <c r="AG491" s="4">
        <v>1389527.64</v>
      </c>
      <c r="AH491" s="4">
        <v>3221991.9</v>
      </c>
      <c r="AI491" s="4">
        <v>378516.31</v>
      </c>
      <c r="AJ491" s="4">
        <v>0</v>
      </c>
      <c r="AK491" s="4">
        <v>478290.62</v>
      </c>
      <c r="AL491" s="4">
        <v>979105.94</v>
      </c>
      <c r="AM491" s="4">
        <v>1691255.94</v>
      </c>
      <c r="AN491" s="4">
        <v>2773463.08</v>
      </c>
      <c r="AO491" s="4">
        <v>1164704.76</v>
      </c>
      <c r="AP491" s="4">
        <v>2615700.81</v>
      </c>
      <c r="AQ491" s="4">
        <v>2189707.02</v>
      </c>
      <c r="AR491" s="4">
        <v>203164.46</v>
      </c>
      <c r="AS491" s="4">
        <v>142224.38</v>
      </c>
      <c r="AT491" s="4">
        <v>322719.26</v>
      </c>
      <c r="AU491" s="4">
        <v>1020473.17</v>
      </c>
      <c r="AV491" s="4">
        <v>26022160.739999998</v>
      </c>
      <c r="AW491" s="4">
        <v>1121249.94</v>
      </c>
      <c r="AX491" s="4">
        <v>605339.51</v>
      </c>
      <c r="AY491" s="4">
        <v>1110668.28</v>
      </c>
      <c r="AZ491" s="4">
        <v>2500258.06</v>
      </c>
      <c r="BA491" s="4">
        <v>1399109.81</v>
      </c>
      <c r="BB491" s="4">
        <v>522537.54</v>
      </c>
      <c r="BC491" s="4">
        <v>992034.34</v>
      </c>
      <c r="BD491" s="4">
        <v>9789117.3399999999</v>
      </c>
      <c r="BE491" s="4">
        <v>371900.23</v>
      </c>
      <c r="BF491" s="4">
        <v>194959.83</v>
      </c>
      <c r="BG491" s="4">
        <v>0</v>
      </c>
      <c r="BH491" s="4">
        <f t="shared" si="87"/>
        <v>176386488.40999997</v>
      </c>
    </row>
    <row r="492" spans="1:60" x14ac:dyDescent="0.2">
      <c r="A492" s="3">
        <v>33025</v>
      </c>
      <c r="B492" s="4">
        <v>12308507.27</v>
      </c>
      <c r="C492" s="4">
        <v>1046841.74</v>
      </c>
      <c r="D492" s="4">
        <v>5718441.3399999999</v>
      </c>
      <c r="E492" s="4">
        <v>2065782.68</v>
      </c>
      <c r="F492" s="4">
        <v>1746218.47</v>
      </c>
      <c r="G492" s="4">
        <v>3394491.9</v>
      </c>
      <c r="H492" s="4">
        <v>2588256.4300000002</v>
      </c>
      <c r="I492" s="4">
        <v>735239.03</v>
      </c>
      <c r="J492" s="4">
        <v>2441684.0299999998</v>
      </c>
      <c r="K492" s="4">
        <v>1424563.42</v>
      </c>
      <c r="L492" s="4">
        <v>1251933.77</v>
      </c>
      <c r="M492" s="4">
        <v>0</v>
      </c>
      <c r="N492" s="4">
        <v>5968405.04</v>
      </c>
      <c r="O492" s="4">
        <v>34965218.189999998</v>
      </c>
      <c r="P492" s="4">
        <v>1186138.48</v>
      </c>
      <c r="Q492" s="4">
        <v>817141.75</v>
      </c>
      <c r="R492" s="4">
        <v>985979.04</v>
      </c>
      <c r="S492" s="4">
        <v>1171073.78</v>
      </c>
      <c r="T492" s="4">
        <v>1187582.4099999999</v>
      </c>
      <c r="U492" s="4">
        <v>167363.59</v>
      </c>
      <c r="V492" s="4">
        <v>1399378.29</v>
      </c>
      <c r="W492" s="4">
        <v>2743018.42</v>
      </c>
      <c r="X492" s="4">
        <v>488355.81</v>
      </c>
      <c r="Y492" s="4">
        <v>1315811.21</v>
      </c>
      <c r="Z492" s="4">
        <v>1225089.8400000001</v>
      </c>
      <c r="AA492" s="4">
        <v>20769043.02</v>
      </c>
      <c r="AB492" s="4">
        <v>942398.57</v>
      </c>
      <c r="AC492" s="4">
        <v>50010865.280000001</v>
      </c>
      <c r="AD492" s="4">
        <v>6144721.0300000003</v>
      </c>
      <c r="AE492" s="4">
        <v>5121841.16</v>
      </c>
      <c r="AF492" s="4">
        <v>14938740.27</v>
      </c>
      <c r="AG492" s="4">
        <v>2512594.17</v>
      </c>
      <c r="AH492" s="4">
        <v>5958036.6100000003</v>
      </c>
      <c r="AI492" s="4">
        <v>607604.01</v>
      </c>
      <c r="AJ492" s="4">
        <v>0</v>
      </c>
      <c r="AK492" s="4">
        <v>965515.47</v>
      </c>
      <c r="AL492" s="4">
        <v>1960542.29</v>
      </c>
      <c r="AM492" s="4">
        <v>2977013.97</v>
      </c>
      <c r="AN492" s="4">
        <v>4942457.08</v>
      </c>
      <c r="AO492" s="4">
        <v>2642703.3599999999</v>
      </c>
      <c r="AP492" s="4">
        <v>4170288.69</v>
      </c>
      <c r="AQ492" s="4">
        <v>5044854.71</v>
      </c>
      <c r="AR492" s="4">
        <v>415608.61</v>
      </c>
      <c r="AS492" s="4">
        <v>383958.35</v>
      </c>
      <c r="AT492" s="4">
        <v>600304.36</v>
      </c>
      <c r="AU492" s="4">
        <v>1893646.01</v>
      </c>
      <c r="AV492" s="4">
        <v>42684966.840000004</v>
      </c>
      <c r="AW492" s="4">
        <v>1596483.62</v>
      </c>
      <c r="AX492" s="4">
        <v>717000</v>
      </c>
      <c r="AY492" s="4">
        <v>1900434.66</v>
      </c>
      <c r="AZ492" s="4">
        <v>4508355.04</v>
      </c>
      <c r="BA492" s="4">
        <v>1833879.76</v>
      </c>
      <c r="BB492" s="4">
        <v>870005.45</v>
      </c>
      <c r="BC492" s="4">
        <v>1728098.07</v>
      </c>
      <c r="BD492" s="4">
        <v>17624109.280000001</v>
      </c>
      <c r="BE492" s="4">
        <v>760009.26</v>
      </c>
      <c r="BF492" s="4">
        <v>408231.13</v>
      </c>
      <c r="BG492" s="4">
        <v>0</v>
      </c>
      <c r="BH492" s="4">
        <f t="shared" si="87"/>
        <v>295976826.06000006</v>
      </c>
    </row>
    <row r="493" spans="1:60" x14ac:dyDescent="0.2">
      <c r="A493" s="3">
        <v>33055</v>
      </c>
      <c r="B493" s="4">
        <v>6952078.1500000004</v>
      </c>
      <c r="C493" s="4">
        <v>579680.89</v>
      </c>
      <c r="D493" s="4">
        <v>3754417.36</v>
      </c>
      <c r="E493" s="4">
        <v>1045899.54</v>
      </c>
      <c r="F493" s="4">
        <v>1040061.88</v>
      </c>
      <c r="G493" s="4">
        <v>1853939.19</v>
      </c>
      <c r="H493" s="4">
        <v>1322601.8999999999</v>
      </c>
      <c r="I493" s="4">
        <v>363754.76</v>
      </c>
      <c r="J493" s="4">
        <v>1338769.3400000001</v>
      </c>
      <c r="K493" s="4">
        <v>785861.91</v>
      </c>
      <c r="L493" s="4">
        <v>686795.16</v>
      </c>
      <c r="M493" s="4">
        <v>0</v>
      </c>
      <c r="N493" s="4">
        <v>5154919.12</v>
      </c>
      <c r="O493" s="4">
        <v>21757527.050000001</v>
      </c>
      <c r="P493" s="4">
        <v>732323.83</v>
      </c>
      <c r="Q493" s="4">
        <v>562032.31999999995</v>
      </c>
      <c r="R493" s="4">
        <v>500765.8</v>
      </c>
      <c r="S493" s="4">
        <v>786366.46</v>
      </c>
      <c r="T493" s="4">
        <v>750536.41</v>
      </c>
      <c r="U493" s="4">
        <v>101781.44</v>
      </c>
      <c r="V493" s="4">
        <v>699823.22</v>
      </c>
      <c r="W493" s="4">
        <v>2012995.19</v>
      </c>
      <c r="X493" s="4">
        <v>227315.78</v>
      </c>
      <c r="Y493" s="4">
        <v>680228.52</v>
      </c>
      <c r="Z493" s="4">
        <v>675328.84</v>
      </c>
      <c r="AA493" s="4">
        <v>14673195.26</v>
      </c>
      <c r="AB493" s="4">
        <v>566067.77</v>
      </c>
      <c r="AC493" s="4">
        <v>33338356.77</v>
      </c>
      <c r="AD493" s="4">
        <v>4082300.5</v>
      </c>
      <c r="AE493" s="4">
        <v>2893641.69</v>
      </c>
      <c r="AF493" s="4">
        <v>9891823.6300000008</v>
      </c>
      <c r="AG493" s="4">
        <v>1496701.17</v>
      </c>
      <c r="AH493" s="4">
        <v>3526933.87</v>
      </c>
      <c r="AI493" s="4">
        <v>384487.91</v>
      </c>
      <c r="AJ493" s="4">
        <v>0</v>
      </c>
      <c r="AK493" s="4">
        <v>582961.15</v>
      </c>
      <c r="AL493" s="4">
        <v>1116282.6399999999</v>
      </c>
      <c r="AM493" s="4">
        <v>1786168.98</v>
      </c>
      <c r="AN493" s="4">
        <v>3090649.27</v>
      </c>
      <c r="AO493" s="4">
        <v>1310742.1200000001</v>
      </c>
      <c r="AP493" s="4">
        <v>2978664.93</v>
      </c>
      <c r="AQ493" s="4">
        <v>2362931.7799999998</v>
      </c>
      <c r="AR493" s="4">
        <v>247490.8</v>
      </c>
      <c r="AS493" s="4">
        <v>175110.2</v>
      </c>
      <c r="AT493" s="4">
        <v>410661.14</v>
      </c>
      <c r="AU493" s="4">
        <v>1138349.6100000001</v>
      </c>
      <c r="AV493" s="4">
        <v>28521914.300000001</v>
      </c>
      <c r="AW493" s="4">
        <v>1638283.47</v>
      </c>
      <c r="AX493" s="4">
        <v>531275.38</v>
      </c>
      <c r="AY493" s="4">
        <v>1150026.8500000001</v>
      </c>
      <c r="AZ493" s="4">
        <v>3041836.05</v>
      </c>
      <c r="BA493" s="4">
        <v>1986904.68</v>
      </c>
      <c r="BB493" s="4">
        <v>568285.01</v>
      </c>
      <c r="BC493" s="4">
        <v>1138235.5</v>
      </c>
      <c r="BD493" s="4">
        <v>10084580.73</v>
      </c>
      <c r="BE493" s="4">
        <v>432189.19</v>
      </c>
      <c r="BF493" s="4">
        <v>235438.9</v>
      </c>
      <c r="BG493" s="4">
        <v>0</v>
      </c>
      <c r="BH493" s="4">
        <f t="shared" si="87"/>
        <v>189748295.31</v>
      </c>
    </row>
    <row r="494" spans="1:60" x14ac:dyDescent="0.2">
      <c r="A494" s="3">
        <v>33086</v>
      </c>
      <c r="B494" s="4">
        <v>6912060.9000000004</v>
      </c>
      <c r="C494" s="4">
        <v>584208.13</v>
      </c>
      <c r="D494" s="4">
        <v>3726778.78</v>
      </c>
      <c r="E494" s="4">
        <v>1071881.83</v>
      </c>
      <c r="F494" s="4">
        <v>1039913.26</v>
      </c>
      <c r="G494" s="4">
        <v>1846026.73</v>
      </c>
      <c r="H494" s="4">
        <v>1324419.76</v>
      </c>
      <c r="I494" s="4">
        <v>344005.69</v>
      </c>
      <c r="J494" s="4">
        <v>1322206.7</v>
      </c>
      <c r="K494" s="4">
        <v>773057.81</v>
      </c>
      <c r="L494" s="4">
        <v>681196.51</v>
      </c>
      <c r="M494" s="4">
        <v>0</v>
      </c>
      <c r="N494" s="4">
        <v>5088342.91</v>
      </c>
      <c r="O494" s="4">
        <v>21811003.25</v>
      </c>
      <c r="P494" s="4">
        <v>720370.51</v>
      </c>
      <c r="Q494" s="4">
        <v>548460.18999999994</v>
      </c>
      <c r="R494" s="4">
        <v>497572.91</v>
      </c>
      <c r="S494" s="4">
        <v>781419.04</v>
      </c>
      <c r="T494" s="4">
        <v>740701.49</v>
      </c>
      <c r="U494" s="4">
        <v>95349.31</v>
      </c>
      <c r="V494" s="4">
        <v>702456.27</v>
      </c>
      <c r="W494" s="4">
        <v>2034282.87</v>
      </c>
      <c r="X494" s="4">
        <v>240663.67</v>
      </c>
      <c r="Y494" s="4">
        <v>686859.96</v>
      </c>
      <c r="Z494" s="4">
        <v>663239.54</v>
      </c>
      <c r="AA494" s="4">
        <v>14865142.02</v>
      </c>
      <c r="AB494" s="4">
        <v>563258.57999999996</v>
      </c>
      <c r="AC494" s="4">
        <v>33433236.920000002</v>
      </c>
      <c r="AD494" s="4">
        <v>4070385.49</v>
      </c>
      <c r="AE494" s="4">
        <v>2873074.37</v>
      </c>
      <c r="AF494" s="4">
        <v>9727704.8699999992</v>
      </c>
      <c r="AG494" s="4">
        <v>1482676.41</v>
      </c>
      <c r="AH494" s="4">
        <v>3497740.46</v>
      </c>
      <c r="AI494" s="4">
        <v>361741.7</v>
      </c>
      <c r="AJ494" s="4">
        <v>0</v>
      </c>
      <c r="AK494" s="4">
        <v>578780.59</v>
      </c>
      <c r="AL494" s="4">
        <v>1010080.53</v>
      </c>
      <c r="AM494" s="4">
        <v>1730002.51</v>
      </c>
      <c r="AN494" s="4">
        <v>3039312.34</v>
      </c>
      <c r="AO494" s="4">
        <v>1295361.73</v>
      </c>
      <c r="AP494" s="4">
        <v>2938274.37</v>
      </c>
      <c r="AQ494" s="4">
        <v>2318806.9500000002</v>
      </c>
      <c r="AR494" s="4">
        <v>243682.22</v>
      </c>
      <c r="AS494" s="4">
        <v>174947.76</v>
      </c>
      <c r="AT494" s="4">
        <v>391988.31</v>
      </c>
      <c r="AU494" s="4">
        <v>1115263.08</v>
      </c>
      <c r="AV494" s="4">
        <v>27992478.699999999</v>
      </c>
      <c r="AW494" s="4">
        <v>1554259.88</v>
      </c>
      <c r="AX494" s="4">
        <v>561122.41</v>
      </c>
      <c r="AY494" s="4">
        <v>1151486.19</v>
      </c>
      <c r="AZ494" s="4">
        <v>3032836.29</v>
      </c>
      <c r="BA494" s="4">
        <v>1954073.26</v>
      </c>
      <c r="BB494" s="4">
        <v>569908.13</v>
      </c>
      <c r="BC494" s="4">
        <v>1115489.74</v>
      </c>
      <c r="BD494" s="4">
        <v>9868642.6099999994</v>
      </c>
      <c r="BE494" s="4">
        <v>423379.26</v>
      </c>
      <c r="BF494" s="4">
        <v>239801.67</v>
      </c>
      <c r="BG494" s="4">
        <v>0</v>
      </c>
      <c r="BH494" s="4">
        <f t="shared" si="87"/>
        <v>188411417.36999997</v>
      </c>
    </row>
    <row r="495" spans="1:60" x14ac:dyDescent="0.2">
      <c r="A495" s="3">
        <v>33117</v>
      </c>
      <c r="B495" s="4">
        <v>11270922.59</v>
      </c>
      <c r="C495" s="4">
        <v>1293634.25</v>
      </c>
      <c r="D495" s="4">
        <v>6034011.9500000002</v>
      </c>
      <c r="E495" s="4">
        <v>2349008.12</v>
      </c>
      <c r="F495" s="4">
        <v>1971847.18</v>
      </c>
      <c r="G495" s="4">
        <v>4548464.7699999996</v>
      </c>
      <c r="H495" s="4">
        <v>2177670.33</v>
      </c>
      <c r="I495" s="4">
        <v>886548.25</v>
      </c>
      <c r="J495" s="4">
        <v>2479540.92</v>
      </c>
      <c r="K495" s="4">
        <v>1591225.94</v>
      </c>
      <c r="L495" s="4">
        <v>1546152.36</v>
      </c>
      <c r="M495" s="4">
        <v>0</v>
      </c>
      <c r="N495" s="4">
        <v>6784474.9400000004</v>
      </c>
      <c r="O495" s="4">
        <v>37609372.710000001</v>
      </c>
      <c r="P495" s="4">
        <v>1764689.01</v>
      </c>
      <c r="Q495" s="4">
        <v>1292488.5</v>
      </c>
      <c r="R495" s="4">
        <v>1370505.44</v>
      </c>
      <c r="S495" s="4">
        <v>1537325.29</v>
      </c>
      <c r="T495" s="4">
        <v>1599683.66</v>
      </c>
      <c r="U495" s="4">
        <v>391791.67</v>
      </c>
      <c r="V495" s="4">
        <v>1602799.8</v>
      </c>
      <c r="W495" s="4">
        <v>3771993.21</v>
      </c>
      <c r="X495" s="4">
        <v>498050.74</v>
      </c>
      <c r="Y495" s="4">
        <v>1552879.62</v>
      </c>
      <c r="Z495" s="4">
        <v>1384355.17</v>
      </c>
      <c r="AA495" s="4">
        <v>19779062.879999999</v>
      </c>
      <c r="AB495" s="4">
        <v>1091082.02</v>
      </c>
      <c r="AC495" s="4">
        <v>59901897.899999999</v>
      </c>
      <c r="AD495" s="4">
        <v>6801098.2400000002</v>
      </c>
      <c r="AE495" s="4">
        <v>4950087.57</v>
      </c>
      <c r="AF495" s="4">
        <v>15925814</v>
      </c>
      <c r="AG495" s="4">
        <v>2501380.39</v>
      </c>
      <c r="AH495" s="4">
        <v>5415138.0300000003</v>
      </c>
      <c r="AI495" s="4">
        <v>879404.25</v>
      </c>
      <c r="AJ495" s="4">
        <v>0</v>
      </c>
      <c r="AK495" s="4">
        <v>1147193.43</v>
      </c>
      <c r="AL495" s="4">
        <v>2424213.87</v>
      </c>
      <c r="AM495" s="4">
        <v>3434671.96</v>
      </c>
      <c r="AN495" s="4">
        <v>5177507.1100000003</v>
      </c>
      <c r="AO495" s="4">
        <v>2807261.79</v>
      </c>
      <c r="AP495" s="4">
        <v>5797690.3200000003</v>
      </c>
      <c r="AQ495" s="4">
        <v>3865985.12</v>
      </c>
      <c r="AR495" s="4">
        <v>456358.02</v>
      </c>
      <c r="AS495" s="4">
        <v>578264.39</v>
      </c>
      <c r="AT495" s="4">
        <v>799269.23</v>
      </c>
      <c r="AU495" s="4">
        <v>2499232.31</v>
      </c>
      <c r="AV495" s="4">
        <v>50897549.75</v>
      </c>
      <c r="AW495" s="4">
        <v>2829699.01</v>
      </c>
      <c r="AX495" s="4">
        <v>1118739.47</v>
      </c>
      <c r="AY495" s="4">
        <v>2083199.13</v>
      </c>
      <c r="AZ495" s="4">
        <v>4543268.76</v>
      </c>
      <c r="BA495" s="4">
        <v>2988697.4</v>
      </c>
      <c r="BB495" s="4">
        <v>1145649.1299999999</v>
      </c>
      <c r="BC495" s="4">
        <v>2357712.0099999998</v>
      </c>
      <c r="BD495" s="4">
        <v>16626907.68</v>
      </c>
      <c r="BE495" s="4">
        <v>939976.55</v>
      </c>
      <c r="BF495" s="4">
        <v>542308.21</v>
      </c>
      <c r="BG495" s="4">
        <v>0</v>
      </c>
      <c r="BH495" s="4">
        <f t="shared" si="87"/>
        <v>329615756.34999996</v>
      </c>
    </row>
    <row r="496" spans="1:60" x14ac:dyDescent="0.2">
      <c r="A496" s="3">
        <v>33147</v>
      </c>
      <c r="B496" s="4">
        <v>8065216.4400000004</v>
      </c>
      <c r="C496" s="4">
        <v>575521.47</v>
      </c>
      <c r="D496" s="4">
        <v>3934325.03</v>
      </c>
      <c r="E496" s="4">
        <v>1126878.3999999999</v>
      </c>
      <c r="F496" s="4">
        <v>1030282.54</v>
      </c>
      <c r="G496" s="4">
        <v>1806425.15</v>
      </c>
      <c r="H496" s="4">
        <v>1398753.48</v>
      </c>
      <c r="I496" s="4">
        <v>247000</v>
      </c>
      <c r="J496" s="4">
        <v>1369224.22</v>
      </c>
      <c r="K496" s="4">
        <v>823713.29</v>
      </c>
      <c r="L496" s="4">
        <v>699598.47</v>
      </c>
      <c r="M496" s="4">
        <v>216139.88</v>
      </c>
      <c r="N496" s="4">
        <v>3647000</v>
      </c>
      <c r="O496" s="4">
        <v>22424496.120000001</v>
      </c>
      <c r="P496" s="4">
        <v>662648.67000000004</v>
      </c>
      <c r="Q496" s="4">
        <v>563771.67000000004</v>
      </c>
      <c r="R496" s="4">
        <v>445200.52</v>
      </c>
      <c r="S496" s="4">
        <v>724156.82</v>
      </c>
      <c r="T496" s="4">
        <v>662189.91</v>
      </c>
      <c r="U496" s="4">
        <v>89633.64</v>
      </c>
      <c r="V496" s="4">
        <v>655980.76</v>
      </c>
      <c r="W496" s="4">
        <v>1979194.5</v>
      </c>
      <c r="X496" s="4">
        <v>241682.35</v>
      </c>
      <c r="Y496" s="4">
        <v>662462.87</v>
      </c>
      <c r="Z496" s="4">
        <v>671275.89</v>
      </c>
      <c r="AA496" s="4">
        <v>14372116.890000001</v>
      </c>
      <c r="AB496" s="4">
        <v>555509.56999999995</v>
      </c>
      <c r="AC496" s="4">
        <v>34922238.409999996</v>
      </c>
      <c r="AD496" s="4">
        <v>4185746.57</v>
      </c>
      <c r="AE496" s="4">
        <v>2968486.91</v>
      </c>
      <c r="AF496" s="4">
        <v>10378625.17</v>
      </c>
      <c r="AG496" s="4">
        <v>1555991.37</v>
      </c>
      <c r="AH496" s="4">
        <v>3912236.38</v>
      </c>
      <c r="AI496" s="4">
        <v>373531.45</v>
      </c>
      <c r="AJ496" s="4">
        <v>0</v>
      </c>
      <c r="AK496" s="4">
        <v>557238.48</v>
      </c>
      <c r="AL496" s="4">
        <v>1131501.3799999999</v>
      </c>
      <c r="AM496" s="4">
        <v>1956101.37</v>
      </c>
      <c r="AN496" s="4">
        <v>3191296.75</v>
      </c>
      <c r="AO496" s="4">
        <v>1345998.83</v>
      </c>
      <c r="AP496" s="4">
        <v>2956852.59</v>
      </c>
      <c r="AQ496" s="4">
        <v>2560878.09</v>
      </c>
      <c r="AR496" s="4">
        <v>271577.45</v>
      </c>
      <c r="AS496" s="4">
        <v>184849</v>
      </c>
      <c r="AT496" s="4">
        <v>366826.2</v>
      </c>
      <c r="AU496" s="4">
        <v>1119932.8700000001</v>
      </c>
      <c r="AV496" s="4">
        <v>28221642.32</v>
      </c>
      <c r="AW496" s="4">
        <v>1283451.8600000001</v>
      </c>
      <c r="AX496" s="4">
        <v>576925.65</v>
      </c>
      <c r="AY496" s="4">
        <v>1223605.3600000001</v>
      </c>
      <c r="AZ496" s="4">
        <v>2768654.25</v>
      </c>
      <c r="BA496" s="4">
        <v>1639237.17</v>
      </c>
      <c r="BB496" s="4">
        <v>581151.32999999996</v>
      </c>
      <c r="BC496" s="4">
        <v>1027679.21</v>
      </c>
      <c r="BD496" s="4">
        <v>10653558.210000001</v>
      </c>
      <c r="BE496" s="4">
        <v>382764.18</v>
      </c>
      <c r="BF496" s="4">
        <v>203597.79</v>
      </c>
      <c r="BG496" s="4">
        <v>0</v>
      </c>
      <c r="BH496" s="4">
        <f t="shared" si="87"/>
        <v>192152575.15000001</v>
      </c>
    </row>
    <row r="497" spans="1:60" x14ac:dyDescent="0.2">
      <c r="A497" s="3">
        <v>33178</v>
      </c>
      <c r="B497" s="4">
        <v>7795155.46</v>
      </c>
      <c r="C497" s="4">
        <v>564492.82999999996</v>
      </c>
      <c r="D497" s="4">
        <v>3796641.41</v>
      </c>
      <c r="E497" s="4">
        <v>1099865.8799999999</v>
      </c>
      <c r="F497" s="4">
        <v>993711.25</v>
      </c>
      <c r="G497" s="4">
        <v>1732635.88</v>
      </c>
      <c r="H497" s="4">
        <v>1376827.79</v>
      </c>
      <c r="I497" s="4">
        <v>336915.77</v>
      </c>
      <c r="J497" s="4">
        <v>1268263.3899999999</v>
      </c>
      <c r="K497" s="4">
        <v>775608.12</v>
      </c>
      <c r="L497" s="4">
        <v>675534.26</v>
      </c>
      <c r="M497" s="4">
        <v>222895.27</v>
      </c>
      <c r="N497" s="4">
        <v>4952491.55</v>
      </c>
      <c r="O497" s="4">
        <v>21882586.199999999</v>
      </c>
      <c r="P497" s="4">
        <v>607225.75</v>
      </c>
      <c r="Q497" s="4">
        <v>527097.05000000005</v>
      </c>
      <c r="R497" s="4">
        <v>440322.19</v>
      </c>
      <c r="S497" s="4">
        <v>682481.71</v>
      </c>
      <c r="T497" s="4">
        <v>638436.63</v>
      </c>
      <c r="U497" s="4">
        <v>85602.43</v>
      </c>
      <c r="V497" s="4">
        <v>644108.67000000004</v>
      </c>
      <c r="W497" s="4">
        <v>1847626.03</v>
      </c>
      <c r="X497" s="4">
        <v>226025.25</v>
      </c>
      <c r="Y497" s="4">
        <v>652328.86</v>
      </c>
      <c r="Z497" s="4">
        <v>661318.04</v>
      </c>
      <c r="AA497" s="4">
        <v>14102739.51</v>
      </c>
      <c r="AB497" s="4">
        <v>547283.81999999995</v>
      </c>
      <c r="AC497" s="4">
        <v>33888303.789999999</v>
      </c>
      <c r="AD497" s="4">
        <v>4038025.07</v>
      </c>
      <c r="AE497" s="4">
        <v>2842594.51</v>
      </c>
      <c r="AF497" s="4">
        <v>9894107.9000000004</v>
      </c>
      <c r="AG497" s="4">
        <v>1512351.55</v>
      </c>
      <c r="AH497" s="4">
        <v>3610573.77</v>
      </c>
      <c r="AI497" s="4">
        <v>367630.24</v>
      </c>
      <c r="AJ497" s="4">
        <v>0</v>
      </c>
      <c r="AK497" s="4">
        <v>544677.98</v>
      </c>
      <c r="AL497" s="4">
        <v>1027570.24</v>
      </c>
      <c r="AM497" s="4">
        <v>1869553.45</v>
      </c>
      <c r="AN497" s="4">
        <v>3013141.15</v>
      </c>
      <c r="AO497" s="4">
        <v>1287395</v>
      </c>
      <c r="AP497" s="4">
        <v>2836515.59</v>
      </c>
      <c r="AQ497" s="4">
        <v>2546814.11</v>
      </c>
      <c r="AR497" s="4">
        <v>227443.59</v>
      </c>
      <c r="AS497" s="4">
        <v>169789.47</v>
      </c>
      <c r="AT497" s="4">
        <v>350084.34</v>
      </c>
      <c r="AU497" s="4">
        <v>1095026.3799999999</v>
      </c>
      <c r="AV497" s="4">
        <v>27120570.710000001</v>
      </c>
      <c r="AW497" s="4">
        <v>1250664.56</v>
      </c>
      <c r="AX497" s="4">
        <v>571207.13</v>
      </c>
      <c r="AY497" s="4">
        <v>1154255.1399999999</v>
      </c>
      <c r="AZ497" s="4">
        <v>2641599.6</v>
      </c>
      <c r="BA497" s="4">
        <v>1499345.9</v>
      </c>
      <c r="BB497" s="4">
        <v>558815.81999999995</v>
      </c>
      <c r="BC497" s="4">
        <v>1007125.66</v>
      </c>
      <c r="BD497" s="4">
        <v>10094747.92</v>
      </c>
      <c r="BE497" s="4">
        <v>359766.03</v>
      </c>
      <c r="BF497" s="4">
        <v>221557.57</v>
      </c>
      <c r="BG497" s="4">
        <v>0</v>
      </c>
      <c r="BH497" s="4">
        <f t="shared" si="87"/>
        <v>186737475.16999996</v>
      </c>
    </row>
    <row r="498" spans="1:60" x14ac:dyDescent="0.2">
      <c r="A498" s="3">
        <v>33208</v>
      </c>
      <c r="B498" s="4">
        <v>10132380.869999999</v>
      </c>
      <c r="C498" s="4">
        <v>1234974.5900000001</v>
      </c>
      <c r="D498" s="4">
        <v>6634642.8799999999</v>
      </c>
      <c r="E498" s="4">
        <v>2126444.0299999998</v>
      </c>
      <c r="F498" s="4">
        <v>1895522.86</v>
      </c>
      <c r="G498" s="4">
        <v>3596163.39</v>
      </c>
      <c r="H498" s="4">
        <v>1792469.52</v>
      </c>
      <c r="I498" s="4">
        <v>742451.86</v>
      </c>
      <c r="J498" s="4">
        <v>2271160.15</v>
      </c>
      <c r="K498" s="4">
        <v>1371080.1</v>
      </c>
      <c r="L498" s="4">
        <v>1428677.9</v>
      </c>
      <c r="M498" s="4">
        <v>640932.14</v>
      </c>
      <c r="N498" s="4">
        <v>9144982.0899999999</v>
      </c>
      <c r="O498" s="4">
        <v>38083499.719999999</v>
      </c>
      <c r="P498" s="4">
        <v>1195664.6200000001</v>
      </c>
      <c r="Q498" s="4">
        <v>1166150.3799999999</v>
      </c>
      <c r="R498" s="4">
        <v>882108.74</v>
      </c>
      <c r="S498" s="4">
        <v>1065943.2</v>
      </c>
      <c r="T498" s="4">
        <v>1295425.98</v>
      </c>
      <c r="U498" s="4">
        <v>219220.03</v>
      </c>
      <c r="V498" s="4">
        <v>1317936.9099999999</v>
      </c>
      <c r="W498" s="4">
        <v>2968078.75</v>
      </c>
      <c r="X498" s="4">
        <v>483017.5</v>
      </c>
      <c r="Y498" s="4">
        <v>993058.68</v>
      </c>
      <c r="Z498" s="4">
        <v>1075062.92</v>
      </c>
      <c r="AA498" s="4">
        <v>24506598.609999999</v>
      </c>
      <c r="AB498" s="4">
        <v>771514.9</v>
      </c>
      <c r="AC498" s="4">
        <v>54490357.039999999</v>
      </c>
      <c r="AD498" s="4">
        <v>7444985.3200000003</v>
      </c>
      <c r="AE498" s="4">
        <v>4763959.18</v>
      </c>
      <c r="AF498" s="4">
        <v>15850299.960000001</v>
      </c>
      <c r="AG498" s="4">
        <v>2349820.5499999998</v>
      </c>
      <c r="AH498" s="4">
        <v>5494070.6699999999</v>
      </c>
      <c r="AI498" s="4">
        <v>818237.18</v>
      </c>
      <c r="AJ498" s="4">
        <v>0</v>
      </c>
      <c r="AK498" s="4">
        <v>1162127.96</v>
      </c>
      <c r="AL498" s="4">
        <v>1987552.59</v>
      </c>
      <c r="AM498" s="4">
        <v>2889336.39</v>
      </c>
      <c r="AN498" s="4">
        <v>4915285.8099999996</v>
      </c>
      <c r="AO498" s="4">
        <v>2760754.78</v>
      </c>
      <c r="AP498" s="4">
        <v>4502339.46</v>
      </c>
      <c r="AQ498" s="4">
        <v>3873959.52</v>
      </c>
      <c r="AR498" s="4">
        <v>410152.99</v>
      </c>
      <c r="AS498" s="4">
        <v>318573.98</v>
      </c>
      <c r="AT498" s="4">
        <v>765367.41</v>
      </c>
      <c r="AU498" s="4">
        <v>2243803.13</v>
      </c>
      <c r="AV498" s="4">
        <v>45633440.130000003</v>
      </c>
      <c r="AW498" s="4">
        <v>2064204.61</v>
      </c>
      <c r="AX498" s="4">
        <v>1080792.78</v>
      </c>
      <c r="AY498" s="4">
        <v>2236770.89</v>
      </c>
      <c r="AZ498" s="4">
        <v>4414811.75</v>
      </c>
      <c r="BA498" s="4">
        <v>2054030.89</v>
      </c>
      <c r="BB498" s="4">
        <v>906341.89</v>
      </c>
      <c r="BC498" s="4">
        <v>2131622.61</v>
      </c>
      <c r="BD498" s="4">
        <v>16445039.560000001</v>
      </c>
      <c r="BE498" s="4">
        <v>831091.22</v>
      </c>
      <c r="BF498" s="4">
        <v>398288.17</v>
      </c>
      <c r="BG498" s="4">
        <v>0</v>
      </c>
      <c r="BH498" s="4">
        <f t="shared" si="87"/>
        <v>314272581.74000007</v>
      </c>
    </row>
    <row r="499" spans="1:60" ht="15.75" thickBot="1" x14ac:dyDescent="0.25">
      <c r="A499" s="3" t="s">
        <v>15</v>
      </c>
      <c r="B499" s="5">
        <f t="shared" ref="B499:AG499" si="88">SUM(B487:B498)</f>
        <v>106296977.71000001</v>
      </c>
      <c r="C499" s="5">
        <f t="shared" si="88"/>
        <v>9498813.1899999995</v>
      </c>
      <c r="D499" s="5">
        <f t="shared" si="88"/>
        <v>53565653.82</v>
      </c>
      <c r="E499" s="5">
        <f t="shared" si="88"/>
        <v>17394224.93</v>
      </c>
      <c r="F499" s="5">
        <f t="shared" si="88"/>
        <v>15600572.75</v>
      </c>
      <c r="G499" s="5">
        <f t="shared" si="88"/>
        <v>28984799.129999995</v>
      </c>
      <c r="H499" s="5">
        <f t="shared" si="88"/>
        <v>19570688.09</v>
      </c>
      <c r="I499" s="5">
        <f t="shared" si="88"/>
        <v>5675142.0200000005</v>
      </c>
      <c r="J499" s="5">
        <f t="shared" si="88"/>
        <v>19361986.119999997</v>
      </c>
      <c r="K499" s="5">
        <f t="shared" si="88"/>
        <v>11769825.829999998</v>
      </c>
      <c r="L499" s="5">
        <f t="shared" si="88"/>
        <v>11205576.15</v>
      </c>
      <c r="M499" s="5">
        <f t="shared" si="88"/>
        <v>1079967.29</v>
      </c>
      <c r="N499" s="5">
        <f t="shared" si="88"/>
        <v>57174740.450000003</v>
      </c>
      <c r="O499" s="5">
        <f t="shared" si="88"/>
        <v>326041040.28000009</v>
      </c>
      <c r="P499" s="5">
        <f t="shared" si="88"/>
        <v>10315824.25</v>
      </c>
      <c r="Q499" s="5">
        <f t="shared" si="88"/>
        <v>8371695.0700000003</v>
      </c>
      <c r="R499" s="5">
        <f t="shared" si="88"/>
        <v>7664452.3999999994</v>
      </c>
      <c r="S499" s="5">
        <f t="shared" si="88"/>
        <v>10355447.460000001</v>
      </c>
      <c r="T499" s="5">
        <f t="shared" si="88"/>
        <v>10458231.350000001</v>
      </c>
      <c r="U499" s="5">
        <f t="shared" si="88"/>
        <v>1475842.5399999998</v>
      </c>
      <c r="V499" s="5">
        <f t="shared" si="88"/>
        <v>10758677.950000001</v>
      </c>
      <c r="W499" s="5">
        <f t="shared" si="88"/>
        <v>26669903.560000002</v>
      </c>
      <c r="X499" s="5">
        <f t="shared" si="88"/>
        <v>3621043.9899999998</v>
      </c>
      <c r="Y499" s="5">
        <f t="shared" si="88"/>
        <v>10296901.449999997</v>
      </c>
      <c r="Z499" s="5">
        <f t="shared" si="88"/>
        <v>9648766.3699999992</v>
      </c>
      <c r="AA499" s="5">
        <f t="shared" si="88"/>
        <v>203088317.01999998</v>
      </c>
      <c r="AB499" s="5">
        <f t="shared" si="88"/>
        <v>8018393.5300000012</v>
      </c>
      <c r="AC499" s="5">
        <f t="shared" si="88"/>
        <v>488621231.78000009</v>
      </c>
      <c r="AD499" s="5">
        <f t="shared" si="88"/>
        <v>58469078.140000008</v>
      </c>
      <c r="AE499" s="5">
        <f t="shared" si="88"/>
        <v>42296147.920000002</v>
      </c>
      <c r="AF499" s="5">
        <f t="shared" si="88"/>
        <v>138440786.53</v>
      </c>
      <c r="AG499" s="5">
        <f t="shared" si="88"/>
        <v>22283729.830000002</v>
      </c>
      <c r="AH499" s="5">
        <f t="shared" ref="AH499:BG499" si="89">SUM(AH487:AH498)</f>
        <v>49560270.400000006</v>
      </c>
      <c r="AI499" s="5">
        <f t="shared" si="89"/>
        <v>5957845.0200000005</v>
      </c>
      <c r="AJ499" s="5">
        <f t="shared" si="89"/>
        <v>0</v>
      </c>
      <c r="AK499" s="5">
        <f t="shared" si="89"/>
        <v>8396226.8999999985</v>
      </c>
      <c r="AL499" s="5">
        <f t="shared" si="89"/>
        <v>16330206.67</v>
      </c>
      <c r="AM499" s="5">
        <f t="shared" si="89"/>
        <v>26275762.470000003</v>
      </c>
      <c r="AN499" s="5">
        <f t="shared" si="89"/>
        <v>43505832.310000002</v>
      </c>
      <c r="AO499" s="5">
        <f t="shared" si="89"/>
        <v>20662896.649999999</v>
      </c>
      <c r="AP499" s="5">
        <f t="shared" si="89"/>
        <v>40846587.690000005</v>
      </c>
      <c r="AQ499" s="5">
        <f t="shared" si="89"/>
        <v>37143988.710000001</v>
      </c>
      <c r="AR499" s="5">
        <f t="shared" si="89"/>
        <v>3434104.3899999997</v>
      </c>
      <c r="AS499" s="5">
        <f t="shared" si="89"/>
        <v>2981018.85</v>
      </c>
      <c r="AT499" s="5">
        <f t="shared" si="89"/>
        <v>5602310.9000000004</v>
      </c>
      <c r="AU499" s="5">
        <f t="shared" si="89"/>
        <v>17150588.229999997</v>
      </c>
      <c r="AV499" s="5">
        <f t="shared" si="89"/>
        <v>401584102.25999999</v>
      </c>
      <c r="AW499" s="5">
        <f t="shared" si="89"/>
        <v>18184382.949999999</v>
      </c>
      <c r="AX499" s="5">
        <f t="shared" si="89"/>
        <v>8856088.6500000004</v>
      </c>
      <c r="AY499" s="5">
        <f t="shared" si="89"/>
        <v>17362879.470000003</v>
      </c>
      <c r="AZ499" s="5">
        <f t="shared" si="89"/>
        <v>39591746.060000002</v>
      </c>
      <c r="BA499" s="5">
        <f t="shared" si="89"/>
        <v>21743276.979999997</v>
      </c>
      <c r="BB499" s="5">
        <f t="shared" si="89"/>
        <v>8267175.5799999991</v>
      </c>
      <c r="BC499" s="5">
        <f t="shared" si="89"/>
        <v>15879884.77</v>
      </c>
      <c r="BD499" s="5">
        <f t="shared" si="89"/>
        <v>150062118.88</v>
      </c>
      <c r="BE499" s="5">
        <f t="shared" si="89"/>
        <v>6263586.3999999994</v>
      </c>
      <c r="BF499" s="5">
        <f t="shared" si="89"/>
        <v>3325657.0499999993</v>
      </c>
      <c r="BG499" s="5">
        <f t="shared" si="89"/>
        <v>0</v>
      </c>
      <c r="BH499" s="5">
        <f t="shared" si="87"/>
        <v>2723043017.1400008</v>
      </c>
    </row>
    <row r="500" spans="1:60" ht="15.75" thickTop="1" x14ac:dyDescent="0.2">
      <c r="A500" s="3"/>
    </row>
    <row r="501" spans="1:60" x14ac:dyDescent="0.2">
      <c r="A501" s="3"/>
    </row>
    <row r="502" spans="1:60" x14ac:dyDescent="0.2">
      <c r="A502" s="3"/>
    </row>
    <row r="503" spans="1:60" x14ac:dyDescent="0.2">
      <c r="A503" s="3"/>
    </row>
    <row r="504" spans="1:60" x14ac:dyDescent="0.2">
      <c r="A504" s="3"/>
    </row>
    <row r="505" spans="1:60" x14ac:dyDescent="0.2">
      <c r="A505" s="3"/>
    </row>
    <row r="506" spans="1:60" x14ac:dyDescent="0.2">
      <c r="A506" s="3"/>
    </row>
    <row r="507" spans="1:60" x14ac:dyDescent="0.2">
      <c r="A507" s="3"/>
    </row>
    <row r="508" spans="1:60" x14ac:dyDescent="0.2">
      <c r="A508" s="3"/>
    </row>
    <row r="509" spans="1:60" x14ac:dyDescent="0.2">
      <c r="A509" s="3"/>
    </row>
    <row r="510" spans="1:60" x14ac:dyDescent="0.2">
      <c r="A510" s="3"/>
    </row>
    <row r="511" spans="1:60" x14ac:dyDescent="0.2">
      <c r="A511" s="3"/>
    </row>
    <row r="512" spans="1:60" x14ac:dyDescent="0.2">
      <c r="A512" s="3"/>
    </row>
    <row r="513" spans="1:1" x14ac:dyDescent="0.2">
      <c r="A513" s="3"/>
    </row>
    <row r="514" spans="1:1" x14ac:dyDescent="0.2">
      <c r="A514" s="3"/>
    </row>
    <row r="515" spans="1:1" x14ac:dyDescent="0.2">
      <c r="A515" s="3"/>
    </row>
    <row r="516" spans="1:1" x14ac:dyDescent="0.2">
      <c r="A516" s="3"/>
    </row>
    <row r="517" spans="1:1" x14ac:dyDescent="0.2">
      <c r="A517" s="3"/>
    </row>
    <row r="518" spans="1:1" x14ac:dyDescent="0.2">
      <c r="A518" s="3"/>
    </row>
    <row r="519" spans="1:1" x14ac:dyDescent="0.2">
      <c r="A519" s="3"/>
    </row>
    <row r="520" spans="1:1" x14ac:dyDescent="0.2">
      <c r="A520" s="3"/>
    </row>
    <row r="521" spans="1:1" x14ac:dyDescent="0.2">
      <c r="A521" s="3"/>
    </row>
    <row r="522" spans="1:1" x14ac:dyDescent="0.2">
      <c r="A522" s="3"/>
    </row>
    <row r="523" spans="1:1" x14ac:dyDescent="0.2">
      <c r="A523" s="3"/>
    </row>
    <row r="524" spans="1:1" x14ac:dyDescent="0.2">
      <c r="A524" s="3"/>
    </row>
    <row r="525" spans="1:1" x14ac:dyDescent="0.2">
      <c r="A525" s="3"/>
    </row>
    <row r="526" spans="1:1" x14ac:dyDescent="0.2">
      <c r="A526" s="3"/>
    </row>
    <row r="527" spans="1:1" x14ac:dyDescent="0.2">
      <c r="A527" s="3"/>
    </row>
    <row r="528" spans="1:1" x14ac:dyDescent="0.2">
      <c r="A528" s="3"/>
    </row>
    <row r="529" spans="1:1" x14ac:dyDescent="0.2">
      <c r="A529" s="3"/>
    </row>
    <row r="530" spans="1:1" x14ac:dyDescent="0.2">
      <c r="A530" s="3"/>
    </row>
    <row r="531" spans="1:1" x14ac:dyDescent="0.2">
      <c r="A531" s="3"/>
    </row>
    <row r="532" spans="1:1" x14ac:dyDescent="0.2">
      <c r="A532" s="3"/>
    </row>
    <row r="533" spans="1:1" x14ac:dyDescent="0.2">
      <c r="A533" s="3"/>
    </row>
    <row r="534" spans="1:1" x14ac:dyDescent="0.2">
      <c r="A534" s="3"/>
    </row>
    <row r="535" spans="1:1" x14ac:dyDescent="0.2">
      <c r="A535" s="3"/>
    </row>
    <row r="536" spans="1:1" x14ac:dyDescent="0.2">
      <c r="A536" s="3"/>
    </row>
    <row r="537" spans="1:1" x14ac:dyDescent="0.2">
      <c r="A537" s="3"/>
    </row>
    <row r="538" spans="1:1" x14ac:dyDescent="0.2">
      <c r="A538" s="3"/>
    </row>
    <row r="539" spans="1:1" x14ac:dyDescent="0.2">
      <c r="A539" s="3"/>
    </row>
    <row r="540" spans="1:1" x14ac:dyDescent="0.2">
      <c r="A540" s="3"/>
    </row>
    <row r="541" spans="1:1" x14ac:dyDescent="0.2">
      <c r="A541" s="3"/>
    </row>
    <row r="542" spans="1:1" x14ac:dyDescent="0.2">
      <c r="A542" s="3"/>
    </row>
    <row r="543" spans="1:1" x14ac:dyDescent="0.2">
      <c r="A543" s="3"/>
    </row>
    <row r="544" spans="1:1" x14ac:dyDescent="0.2">
      <c r="A544" s="3"/>
    </row>
    <row r="545" spans="1:1" x14ac:dyDescent="0.2">
      <c r="A545" s="3"/>
    </row>
    <row r="546" spans="1:1" x14ac:dyDescent="0.2">
      <c r="A546" s="3"/>
    </row>
    <row r="547" spans="1:1" x14ac:dyDescent="0.2">
      <c r="A547" s="3"/>
    </row>
    <row r="548" spans="1:1" x14ac:dyDescent="0.2">
      <c r="A548" s="3"/>
    </row>
    <row r="549" spans="1:1" x14ac:dyDescent="0.2">
      <c r="A549" s="3"/>
    </row>
    <row r="550" spans="1:1" x14ac:dyDescent="0.2">
      <c r="A550" s="3"/>
    </row>
    <row r="551" spans="1:1" x14ac:dyDescent="0.2">
      <c r="A551" s="3"/>
    </row>
    <row r="552" spans="1:1" x14ac:dyDescent="0.2">
      <c r="A552" s="3"/>
    </row>
    <row r="553" spans="1:1" x14ac:dyDescent="0.2">
      <c r="A553" s="3"/>
    </row>
    <row r="554" spans="1:1" x14ac:dyDescent="0.2">
      <c r="A554" s="3"/>
    </row>
    <row r="555" spans="1:1" x14ac:dyDescent="0.2">
      <c r="A555" s="3"/>
    </row>
    <row r="556" spans="1:1" x14ac:dyDescent="0.2">
      <c r="A556" s="3"/>
    </row>
    <row r="557" spans="1:1" x14ac:dyDescent="0.2">
      <c r="A557" s="3"/>
    </row>
    <row r="558" spans="1:1" x14ac:dyDescent="0.2">
      <c r="A558" s="3"/>
    </row>
    <row r="559" spans="1:1" x14ac:dyDescent="0.2">
      <c r="A559" s="3"/>
    </row>
    <row r="560" spans="1:1" x14ac:dyDescent="0.2">
      <c r="A560" s="3"/>
    </row>
    <row r="561" spans="1:1" x14ac:dyDescent="0.2">
      <c r="A561" s="3"/>
    </row>
    <row r="562" spans="1:1" x14ac:dyDescent="0.2">
      <c r="A562" s="3"/>
    </row>
    <row r="563" spans="1:1" x14ac:dyDescent="0.2">
      <c r="A563" s="3"/>
    </row>
  </sheetData>
  <phoneticPr fontId="0" type="noConversion"/>
  <pageMargins left="0.5" right="0.5" top="0.5" bottom="0.5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B500"/>
  <sheetViews>
    <sheetView tabSelected="1" showOutlineSymbols="0" zoomScale="70" zoomScaleNormal="87" workbookViewId="0">
      <pane xSplit="1" ySplit="24" topLeftCell="K2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77734375" defaultRowHeight="15" x14ac:dyDescent="0.2"/>
  <cols>
    <col min="1" max="1" width="9.77734375" style="1" customWidth="1"/>
    <col min="2" max="6" width="16.77734375" style="1" customWidth="1"/>
    <col min="7" max="7" width="18.33203125" style="1" bestFit="1" customWidth="1"/>
    <col min="8" max="27" width="16.77734375" style="1" customWidth="1"/>
    <col min="28" max="28" width="14.77734375" style="1" bestFit="1" customWidth="1"/>
    <col min="29" max="16384" width="9.77734375" style="1"/>
  </cols>
  <sheetData>
    <row r="1" spans="1:28" x14ac:dyDescent="0.2">
      <c r="F1" s="1" t="s">
        <v>18</v>
      </c>
    </row>
    <row r="2" spans="1:28" x14ac:dyDescent="0.2">
      <c r="A2" s="1" t="str">
        <f>Totals!A2</f>
        <v>DEPARTMENT OF TAXATION &amp; FINANCE</v>
      </c>
    </row>
    <row r="3" spans="1:28" x14ac:dyDescent="0.2">
      <c r="A3" s="1" t="str">
        <f>Totals!A3</f>
        <v>OFFICE OF TAX POLICY ANALYSIS</v>
      </c>
    </row>
    <row r="4" spans="1:28" x14ac:dyDescent="0.2">
      <c r="A4" s="1" t="str">
        <f>Totals!A4</f>
        <v>SALES TAX CASH COLLECTIONS DATABASE</v>
      </c>
    </row>
    <row r="5" spans="1:28" x14ac:dyDescent="0.2">
      <c r="A5" s="1" t="str">
        <f>Totals!A5</f>
        <v>1990-PRESENT</v>
      </c>
    </row>
    <row r="9" spans="1:28" x14ac:dyDescent="0.2">
      <c r="B9" s="1" t="s">
        <v>124</v>
      </c>
      <c r="C9" s="1" t="s">
        <v>125</v>
      </c>
      <c r="D9" s="1" t="s">
        <v>126</v>
      </c>
      <c r="E9" s="1" t="s">
        <v>127</v>
      </c>
      <c r="F9" s="1" t="s">
        <v>128</v>
      </c>
      <c r="G9" s="1" t="s">
        <v>129</v>
      </c>
      <c r="H9" s="1" t="s">
        <v>130</v>
      </c>
      <c r="I9" s="1" t="s">
        <v>131</v>
      </c>
      <c r="J9" s="1" t="s">
        <v>132</v>
      </c>
      <c r="K9" s="1" t="s">
        <v>133</v>
      </c>
      <c r="L9" s="1" t="s">
        <v>134</v>
      </c>
      <c r="M9" s="1" t="s">
        <v>158</v>
      </c>
      <c r="N9" s="1" t="s">
        <v>135</v>
      </c>
      <c r="O9" s="1" t="s">
        <v>155</v>
      </c>
      <c r="P9" s="1" t="s">
        <v>136</v>
      </c>
      <c r="Q9" s="1" t="s">
        <v>137</v>
      </c>
      <c r="R9" s="1" t="s">
        <v>156</v>
      </c>
      <c r="S9" s="1" t="s">
        <v>177</v>
      </c>
      <c r="T9" s="1" t="s">
        <v>146</v>
      </c>
      <c r="U9" s="1" t="s">
        <v>169</v>
      </c>
      <c r="V9" s="1" t="s">
        <v>138</v>
      </c>
      <c r="W9" s="1" t="s">
        <v>144</v>
      </c>
      <c r="X9" s="1" t="s">
        <v>139</v>
      </c>
      <c r="Y9" s="1" t="s">
        <v>140</v>
      </c>
      <c r="Z9" s="1" t="s">
        <v>141</v>
      </c>
      <c r="AA9" s="1" t="s">
        <v>142</v>
      </c>
      <c r="AB9" s="1" t="s">
        <v>16</v>
      </c>
    </row>
    <row r="11" spans="1:28" x14ac:dyDescent="0.2">
      <c r="A11" s="3">
        <v>45292</v>
      </c>
      <c r="B11" s="4">
        <v>531470.3600000001</v>
      </c>
      <c r="C11" s="4">
        <v>101632.23999999999</v>
      </c>
      <c r="D11" s="4">
        <v>82921.58</v>
      </c>
      <c r="E11" s="4">
        <v>170240.72</v>
      </c>
      <c r="F11" s="4">
        <v>96202.21</v>
      </c>
      <c r="G11" s="4">
        <v>78854.850000000006</v>
      </c>
      <c r="H11" s="4">
        <v>45117.369999999995</v>
      </c>
      <c r="I11" s="4">
        <v>96069.030000000013</v>
      </c>
      <c r="J11" s="4">
        <v>80145.73000000001</v>
      </c>
      <c r="K11" s="4">
        <v>203976</v>
      </c>
      <c r="L11" s="4">
        <v>296780.59999999998</v>
      </c>
      <c r="M11" s="4">
        <v>297345.56</v>
      </c>
      <c r="N11" s="4">
        <v>468673.04000000004</v>
      </c>
      <c r="O11" s="4">
        <v>411919.76</v>
      </c>
      <c r="P11" s="4">
        <v>279435.24</v>
      </c>
      <c r="Q11" s="4">
        <v>33268.199999999997</v>
      </c>
      <c r="R11" s="4">
        <v>104732.86000000002</v>
      </c>
      <c r="S11" s="4">
        <v>156613.13999999998</v>
      </c>
      <c r="T11" s="4">
        <v>53043.31</v>
      </c>
      <c r="U11" s="4">
        <v>118535.01000000001</v>
      </c>
      <c r="V11" s="4">
        <v>355402.92000000004</v>
      </c>
      <c r="W11" s="4">
        <v>196481.26</v>
      </c>
      <c r="X11" s="4">
        <v>278766.31999999995</v>
      </c>
      <c r="Y11" s="4">
        <v>165177.32</v>
      </c>
      <c r="Z11" s="4">
        <v>48491.64</v>
      </c>
      <c r="AA11" s="4">
        <v>501439.92000000004</v>
      </c>
      <c r="AB11" s="4">
        <f>SUM(B11:AA11)</f>
        <v>5252736.1900000004</v>
      </c>
    </row>
    <row r="12" spans="1:28" x14ac:dyDescent="0.2">
      <c r="A12" s="3">
        <v>45323</v>
      </c>
      <c r="B12" s="4">
        <v>482951.02</v>
      </c>
      <c r="C12" s="4">
        <v>89422.229999999981</v>
      </c>
      <c r="D12" s="4">
        <v>72641.94</v>
      </c>
      <c r="E12" s="4">
        <v>150180.22</v>
      </c>
      <c r="F12" s="4">
        <v>84608.62</v>
      </c>
      <c r="G12" s="4">
        <v>68895.03</v>
      </c>
      <c r="H12" s="4">
        <v>39702.560000000005</v>
      </c>
      <c r="I12" s="4">
        <v>82864.639999999999</v>
      </c>
      <c r="J12" s="4">
        <v>71772.510000000009</v>
      </c>
      <c r="K12" s="4">
        <v>180061.49</v>
      </c>
      <c r="L12" s="4">
        <v>259937.23000000004</v>
      </c>
      <c r="M12" s="4">
        <v>259861.07</v>
      </c>
      <c r="N12" s="4">
        <v>413554.95999999996</v>
      </c>
      <c r="O12" s="4">
        <v>360000.86</v>
      </c>
      <c r="P12" s="4">
        <v>246050.34</v>
      </c>
      <c r="Q12" s="4">
        <v>30427.18</v>
      </c>
      <c r="R12" s="4">
        <v>91484.479999999996</v>
      </c>
      <c r="S12" s="4">
        <v>162147.09000000003</v>
      </c>
      <c r="T12" s="4">
        <v>46494.93</v>
      </c>
      <c r="U12" s="4">
        <v>106535.06999999999</v>
      </c>
      <c r="V12" s="4">
        <v>311546.13999999996</v>
      </c>
      <c r="W12" s="4">
        <v>173723.90999999997</v>
      </c>
      <c r="X12" s="4">
        <v>245445.56</v>
      </c>
      <c r="Y12" s="4">
        <v>148591.09000000003</v>
      </c>
      <c r="Z12" s="4">
        <v>43694.45</v>
      </c>
      <c r="AA12" s="4">
        <v>454853.92000000004</v>
      </c>
      <c r="AB12" s="4">
        <f t="shared" ref="AB12:AB22" si="0">SUM(B12:AA12)</f>
        <v>4677448.54</v>
      </c>
    </row>
    <row r="13" spans="1:28" x14ac:dyDescent="0.2">
      <c r="A13" s="3">
        <v>45352</v>
      </c>
      <c r="B13" s="4">
        <v>251813.08000000002</v>
      </c>
      <c r="C13" s="4">
        <v>159193.69</v>
      </c>
      <c r="D13" s="4">
        <v>33107.1</v>
      </c>
      <c r="E13" s="4">
        <v>50343.319999999992</v>
      </c>
      <c r="F13" s="4">
        <v>20111.549999999992</v>
      </c>
      <c r="G13" s="4">
        <v>15056.939999999995</v>
      </c>
      <c r="H13" s="4">
        <v>91943.919999999984</v>
      </c>
      <c r="I13" s="4">
        <v>40090.800000000003</v>
      </c>
      <c r="J13" s="4">
        <v>87621.659999999989</v>
      </c>
      <c r="K13" s="4">
        <v>56329.979999999996</v>
      </c>
      <c r="L13" s="4">
        <v>126375.09</v>
      </c>
      <c r="M13" s="4">
        <v>531096.64</v>
      </c>
      <c r="N13" s="4">
        <v>566903.03</v>
      </c>
      <c r="O13" s="4">
        <v>156972.82999999999</v>
      </c>
      <c r="P13" s="4">
        <v>547054.80000000005</v>
      </c>
      <c r="Q13" s="4">
        <v>47437.91</v>
      </c>
      <c r="R13" s="4">
        <v>210923.50000000003</v>
      </c>
      <c r="S13" s="4">
        <v>155440.71</v>
      </c>
      <c r="T13" s="4">
        <v>35864.57</v>
      </c>
      <c r="U13" s="4">
        <v>150639.57</v>
      </c>
      <c r="V13" s="4">
        <v>82218.920000000013</v>
      </c>
      <c r="W13" s="4">
        <v>59161.03</v>
      </c>
      <c r="X13" s="4">
        <v>116420.28999999998</v>
      </c>
      <c r="Y13" s="4">
        <v>48231.859999999993</v>
      </c>
      <c r="Z13" s="4">
        <v>24545.989999999998</v>
      </c>
      <c r="AA13" s="4">
        <v>464860.14999999997</v>
      </c>
      <c r="AB13" s="4">
        <f t="shared" si="0"/>
        <v>4129758.9299999992</v>
      </c>
    </row>
    <row r="14" spans="1:28" x14ac:dyDescent="0.2">
      <c r="A14" s="3">
        <v>45383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>
        <f t="shared" si="0"/>
        <v>0</v>
      </c>
    </row>
    <row r="15" spans="1:28" x14ac:dyDescent="0.2">
      <c r="A15" s="3">
        <v>45413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>
        <f t="shared" si="0"/>
        <v>0</v>
      </c>
    </row>
    <row r="16" spans="1:28" x14ac:dyDescent="0.2">
      <c r="A16" s="3">
        <v>45444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>
        <f t="shared" si="0"/>
        <v>0</v>
      </c>
    </row>
    <row r="17" spans="1:28" x14ac:dyDescent="0.2">
      <c r="A17" s="3">
        <v>45474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>
        <f t="shared" si="0"/>
        <v>0</v>
      </c>
    </row>
    <row r="18" spans="1:28" x14ac:dyDescent="0.2">
      <c r="A18" s="3">
        <v>45505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>
        <f t="shared" si="0"/>
        <v>0</v>
      </c>
    </row>
    <row r="19" spans="1:28" x14ac:dyDescent="0.2">
      <c r="A19" s="3">
        <v>45536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>
        <f t="shared" si="0"/>
        <v>0</v>
      </c>
    </row>
    <row r="20" spans="1:28" x14ac:dyDescent="0.2">
      <c r="A20" s="3">
        <v>45566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>
        <f t="shared" si="0"/>
        <v>0</v>
      </c>
    </row>
    <row r="21" spans="1:28" x14ac:dyDescent="0.2">
      <c r="A21" s="3">
        <v>45597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>
        <f t="shared" si="0"/>
        <v>0</v>
      </c>
    </row>
    <row r="22" spans="1:28" x14ac:dyDescent="0.2">
      <c r="A22" s="3">
        <v>45627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>
        <f t="shared" si="0"/>
        <v>0</v>
      </c>
    </row>
    <row r="23" spans="1:28" ht="15.75" thickBot="1" x14ac:dyDescent="0.25">
      <c r="A23" s="7" t="s">
        <v>184</v>
      </c>
      <c r="B23" s="5">
        <f>SUM(B11:B22)</f>
        <v>1266234.4600000002</v>
      </c>
      <c r="C23" s="5">
        <f t="shared" ref="C23:AB23" si="1">SUM(C11:C22)</f>
        <v>350248.16</v>
      </c>
      <c r="D23" s="5">
        <f t="shared" si="1"/>
        <v>188670.62000000002</v>
      </c>
      <c r="E23" s="5">
        <f t="shared" si="1"/>
        <v>370764.26</v>
      </c>
      <c r="F23" s="5">
        <f t="shared" si="1"/>
        <v>200922.38</v>
      </c>
      <c r="G23" s="5">
        <f t="shared" si="1"/>
        <v>162806.82</v>
      </c>
      <c r="H23" s="5">
        <f t="shared" si="1"/>
        <v>176763.84999999998</v>
      </c>
      <c r="I23" s="5">
        <f t="shared" si="1"/>
        <v>219024.47000000003</v>
      </c>
      <c r="J23" s="5">
        <f t="shared" si="1"/>
        <v>239539.90000000002</v>
      </c>
      <c r="K23" s="5">
        <f t="shared" si="1"/>
        <v>440367.47</v>
      </c>
      <c r="L23" s="5">
        <f t="shared" si="1"/>
        <v>683092.92</v>
      </c>
      <c r="M23" s="5">
        <f t="shared" si="1"/>
        <v>1088303.27</v>
      </c>
      <c r="N23" s="5">
        <f t="shared" si="1"/>
        <v>1449131.03</v>
      </c>
      <c r="O23" s="5">
        <f t="shared" si="1"/>
        <v>928893.45</v>
      </c>
      <c r="P23" s="5">
        <f t="shared" si="1"/>
        <v>1072540.3799999999</v>
      </c>
      <c r="Q23" s="5">
        <f t="shared" si="1"/>
        <v>111133.29000000001</v>
      </c>
      <c r="R23" s="5">
        <f t="shared" si="1"/>
        <v>407140.84000000008</v>
      </c>
      <c r="S23" s="5">
        <f t="shared" si="1"/>
        <v>474200.93999999994</v>
      </c>
      <c r="T23" s="5">
        <f t="shared" si="1"/>
        <v>135402.81</v>
      </c>
      <c r="U23" s="5">
        <f t="shared" si="1"/>
        <v>375709.65</v>
      </c>
      <c r="V23" s="5">
        <f t="shared" si="1"/>
        <v>749167.9800000001</v>
      </c>
      <c r="W23" s="5">
        <f t="shared" si="1"/>
        <v>429366.19999999995</v>
      </c>
      <c r="X23" s="5">
        <f t="shared" si="1"/>
        <v>640632.16999999993</v>
      </c>
      <c r="Y23" s="5">
        <f t="shared" si="1"/>
        <v>362000.27</v>
      </c>
      <c r="Z23" s="5">
        <f t="shared" si="1"/>
        <v>116732.07999999999</v>
      </c>
      <c r="AA23" s="5">
        <f t="shared" si="1"/>
        <v>1421153.99</v>
      </c>
      <c r="AB23" s="5">
        <f t="shared" si="1"/>
        <v>14059943.66</v>
      </c>
    </row>
    <row r="24" spans="1:28" ht="15.75" thickTop="1" x14ac:dyDescent="0.2"/>
    <row r="25" spans="1:28" x14ac:dyDescent="0.2">
      <c r="A25" s="3">
        <v>44927</v>
      </c>
      <c r="B25" s="4">
        <v>563881.6100000001</v>
      </c>
      <c r="C25" s="4">
        <v>99820.800000000003</v>
      </c>
      <c r="D25" s="4">
        <v>82025.700000000012</v>
      </c>
      <c r="E25" s="4">
        <v>143560.21</v>
      </c>
      <c r="F25" s="4">
        <v>98293.93</v>
      </c>
      <c r="G25" s="4">
        <v>74437.35000000002</v>
      </c>
      <c r="H25" s="4">
        <v>45572.899999999994</v>
      </c>
      <c r="I25" s="4">
        <v>96659.87</v>
      </c>
      <c r="J25" s="4">
        <v>80314.450000000012</v>
      </c>
      <c r="K25" s="4">
        <v>197652.75</v>
      </c>
      <c r="L25" s="4">
        <v>281503.99000000005</v>
      </c>
      <c r="M25" s="4">
        <v>316803.33999999997</v>
      </c>
      <c r="N25" s="4">
        <v>393954.97</v>
      </c>
      <c r="O25" s="4">
        <v>411090.23</v>
      </c>
      <c r="P25" s="4">
        <v>273107.22000000003</v>
      </c>
      <c r="Q25" s="4">
        <v>42740.819999999992</v>
      </c>
      <c r="R25" s="4">
        <v>112469.73</v>
      </c>
      <c r="S25" s="4">
        <v>187514.07</v>
      </c>
      <c r="T25" s="4">
        <v>54214.95</v>
      </c>
      <c r="U25" s="4">
        <v>114208.81</v>
      </c>
      <c r="V25" s="4">
        <v>351190.83999999997</v>
      </c>
      <c r="W25" s="4">
        <v>220931.8</v>
      </c>
      <c r="X25" s="4">
        <v>289377.31</v>
      </c>
      <c r="Y25" s="4">
        <v>165078.77000000002</v>
      </c>
      <c r="Z25" s="4">
        <v>51566.180000000008</v>
      </c>
      <c r="AA25" s="4">
        <v>401550.72000000009</v>
      </c>
      <c r="AB25" s="4">
        <f>SUM(B25:AA25)</f>
        <v>5149523.3199999994</v>
      </c>
    </row>
    <row r="26" spans="1:28" x14ac:dyDescent="0.2">
      <c r="A26" s="3">
        <v>44958</v>
      </c>
      <c r="B26" s="4">
        <v>487188.26</v>
      </c>
      <c r="C26" s="4">
        <v>85865.98000000001</v>
      </c>
      <c r="D26" s="4">
        <v>69683.25</v>
      </c>
      <c r="E26" s="4">
        <v>149065.76</v>
      </c>
      <c r="F26" s="4">
        <v>84280.68</v>
      </c>
      <c r="G26" s="4">
        <v>64136.939999999995</v>
      </c>
      <c r="H26" s="4">
        <v>39355.729999999996</v>
      </c>
      <c r="I26" s="4">
        <v>82599.25</v>
      </c>
      <c r="J26" s="4">
        <v>72293.51999999999</v>
      </c>
      <c r="K26" s="4">
        <v>168711.32</v>
      </c>
      <c r="L26" s="4">
        <v>239265.59000000003</v>
      </c>
      <c r="M26" s="4">
        <v>270130.03000000003</v>
      </c>
      <c r="N26" s="4">
        <v>334393.23</v>
      </c>
      <c r="O26" s="4">
        <v>346779.64</v>
      </c>
      <c r="P26" s="4">
        <v>240550.52</v>
      </c>
      <c r="Q26" s="4">
        <v>31041.46</v>
      </c>
      <c r="R26" s="4">
        <v>95108.4</v>
      </c>
      <c r="S26" s="4">
        <v>160332.60999999999</v>
      </c>
      <c r="T26" s="4">
        <v>46138.270000000004</v>
      </c>
      <c r="U26" s="4">
        <v>95993.600000000006</v>
      </c>
      <c r="V26" s="4">
        <v>300846.18</v>
      </c>
      <c r="W26" s="4">
        <v>174555.46000000002</v>
      </c>
      <c r="X26" s="4">
        <v>246187.89</v>
      </c>
      <c r="Y26" s="4">
        <v>141775.62</v>
      </c>
      <c r="Z26" s="4">
        <v>43993.509999999995</v>
      </c>
      <c r="AA26" s="4">
        <v>317075.74</v>
      </c>
      <c r="AB26" s="4">
        <f t="shared" ref="AB26:AB36" si="2">SUM(B26:AA26)</f>
        <v>4387348.4400000004</v>
      </c>
    </row>
    <row r="27" spans="1:28" x14ac:dyDescent="0.2">
      <c r="A27" s="3">
        <v>44986</v>
      </c>
      <c r="B27" s="4">
        <v>438615.24</v>
      </c>
      <c r="C27" s="4">
        <v>90559.82</v>
      </c>
      <c r="D27" s="4">
        <v>67398.569999999992</v>
      </c>
      <c r="E27" s="4">
        <v>124133.76999999999</v>
      </c>
      <c r="F27" s="4">
        <v>66640.91</v>
      </c>
      <c r="G27" s="4">
        <v>69926.59</v>
      </c>
      <c r="H27" s="4">
        <v>50806.559999999998</v>
      </c>
      <c r="I27" s="4">
        <v>68526.51999999999</v>
      </c>
      <c r="J27" s="4">
        <v>86746.169999999984</v>
      </c>
      <c r="K27" s="4">
        <v>179561.75</v>
      </c>
      <c r="L27" s="4">
        <v>261164.30999999997</v>
      </c>
      <c r="M27" s="4">
        <v>251530.86</v>
      </c>
      <c r="N27" s="4">
        <v>611350.99</v>
      </c>
      <c r="O27" s="4">
        <v>334789.42000000004</v>
      </c>
      <c r="P27" s="4">
        <v>235875.62999999998</v>
      </c>
      <c r="Q27" s="4">
        <v>35910.339999999997</v>
      </c>
      <c r="R27" s="4">
        <v>77469.41</v>
      </c>
      <c r="S27" s="4">
        <v>235295.46000000002</v>
      </c>
      <c r="T27" s="4">
        <v>54436.039999999994</v>
      </c>
      <c r="U27" s="4">
        <v>131318.96000000002</v>
      </c>
      <c r="V27" s="4">
        <v>306991.68</v>
      </c>
      <c r="W27" s="4">
        <v>128654.79999999999</v>
      </c>
      <c r="X27" s="4">
        <v>212964.72999999998</v>
      </c>
      <c r="Y27" s="4">
        <v>126759.02999999997</v>
      </c>
      <c r="Z27" s="4">
        <v>34521.699999999997</v>
      </c>
      <c r="AA27" s="4">
        <v>903101.7</v>
      </c>
      <c r="AB27" s="4">
        <f t="shared" si="2"/>
        <v>5185050.96</v>
      </c>
    </row>
    <row r="28" spans="1:28" x14ac:dyDescent="0.2">
      <c r="A28" s="3">
        <v>45017</v>
      </c>
      <c r="B28" s="4">
        <v>429406.5</v>
      </c>
      <c r="C28" s="4">
        <v>72892.169999999984</v>
      </c>
      <c r="D28" s="4">
        <v>54664.289999999994</v>
      </c>
      <c r="E28" s="4">
        <v>112017.62</v>
      </c>
      <c r="F28" s="4">
        <v>58312.049999999996</v>
      </c>
      <c r="G28" s="4">
        <v>47475.920000000006</v>
      </c>
      <c r="H28" s="4">
        <v>35369.089999999997</v>
      </c>
      <c r="I28" s="4">
        <v>59749.25</v>
      </c>
      <c r="J28" s="4">
        <v>52173.64</v>
      </c>
      <c r="K28" s="4">
        <v>147714.70000000001</v>
      </c>
      <c r="L28" s="4">
        <v>189814.88</v>
      </c>
      <c r="M28" s="4">
        <v>297614.90000000002</v>
      </c>
      <c r="N28" s="4">
        <v>350861.65</v>
      </c>
      <c r="O28" s="4">
        <v>342625.84</v>
      </c>
      <c r="P28" s="4">
        <v>214344.1</v>
      </c>
      <c r="Q28" s="4">
        <v>60716.149999999994</v>
      </c>
      <c r="R28" s="4">
        <v>90992.450000000012</v>
      </c>
      <c r="S28" s="4">
        <v>182267.47</v>
      </c>
      <c r="T28" s="4">
        <v>36544.19</v>
      </c>
      <c r="U28" s="4">
        <v>84884.329999999987</v>
      </c>
      <c r="V28" s="4">
        <v>268305.27999999997</v>
      </c>
      <c r="W28" s="4">
        <v>129149.26999999999</v>
      </c>
      <c r="X28" s="4">
        <v>209420.22</v>
      </c>
      <c r="Y28" s="4">
        <v>114999.60999999999</v>
      </c>
      <c r="Z28" s="4">
        <v>37567.86</v>
      </c>
      <c r="AA28" s="4">
        <v>413917.56</v>
      </c>
      <c r="AB28" s="4">
        <f t="shared" si="2"/>
        <v>4093800.9899999998</v>
      </c>
    </row>
    <row r="29" spans="1:28" x14ac:dyDescent="0.2">
      <c r="A29" s="3">
        <v>45047</v>
      </c>
      <c r="B29" s="4">
        <v>404678.07</v>
      </c>
      <c r="C29" s="4">
        <v>69562.209999999992</v>
      </c>
      <c r="D29" s="4">
        <v>55165.06</v>
      </c>
      <c r="E29" s="4">
        <v>113914.73000000001</v>
      </c>
      <c r="F29" s="4">
        <v>57675.430000000008</v>
      </c>
      <c r="G29" s="4">
        <v>48051.99</v>
      </c>
      <c r="H29" s="4">
        <v>34411.149999999994</v>
      </c>
      <c r="I29" s="4">
        <v>60652.149999999994</v>
      </c>
      <c r="J29" s="4">
        <v>52145.72</v>
      </c>
      <c r="K29" s="4">
        <v>148565.62</v>
      </c>
      <c r="L29" s="4">
        <v>188171.88</v>
      </c>
      <c r="M29" s="4">
        <v>283299.85000000003</v>
      </c>
      <c r="N29" s="4">
        <v>336940.27</v>
      </c>
      <c r="O29" s="4">
        <v>332251.35000000003</v>
      </c>
      <c r="P29" s="4">
        <v>203925.21</v>
      </c>
      <c r="Q29" s="4">
        <v>28656.870000000003</v>
      </c>
      <c r="R29" s="4">
        <v>89811.35</v>
      </c>
      <c r="S29" s="4">
        <v>178764.95</v>
      </c>
      <c r="T29" s="4">
        <v>36659.349999999991</v>
      </c>
      <c r="U29" s="4">
        <v>77802.78</v>
      </c>
      <c r="V29" s="4">
        <v>240579.90999999997</v>
      </c>
      <c r="W29" s="4">
        <v>125367.34</v>
      </c>
      <c r="X29" s="4">
        <v>200537.72999999998</v>
      </c>
      <c r="Y29" s="4">
        <v>109297.57</v>
      </c>
      <c r="Z29" s="4">
        <v>36304.570000000007</v>
      </c>
      <c r="AA29" s="4">
        <v>374323.76</v>
      </c>
      <c r="AB29" s="4">
        <f t="shared" si="2"/>
        <v>3887516.87</v>
      </c>
    </row>
    <row r="30" spans="1:28" x14ac:dyDescent="0.2">
      <c r="A30" s="3">
        <v>45078</v>
      </c>
      <c r="B30" s="4">
        <v>315947.65999999997</v>
      </c>
      <c r="C30" s="4">
        <v>69016.37999999999</v>
      </c>
      <c r="D30" s="4">
        <v>53221.27</v>
      </c>
      <c r="E30" s="4">
        <v>109624.97999999998</v>
      </c>
      <c r="F30" s="4">
        <v>43403.64</v>
      </c>
      <c r="G30" s="4">
        <v>36318.74</v>
      </c>
      <c r="H30" s="4">
        <v>27834.769999999997</v>
      </c>
      <c r="I30" s="4">
        <v>56435.320000000007</v>
      </c>
      <c r="J30" s="4">
        <v>44174.570000000007</v>
      </c>
      <c r="K30" s="4">
        <v>127555.16</v>
      </c>
      <c r="L30" s="4">
        <v>200296.27</v>
      </c>
      <c r="M30" s="4">
        <v>404045.77999999991</v>
      </c>
      <c r="N30" s="4">
        <v>381063.08999999997</v>
      </c>
      <c r="O30" s="4">
        <v>230541.53</v>
      </c>
      <c r="P30" s="4">
        <v>161557.71000000002</v>
      </c>
      <c r="Q30" s="4">
        <v>29514.85</v>
      </c>
      <c r="R30" s="4">
        <v>135389.41000000003</v>
      </c>
      <c r="S30" s="4">
        <v>108901.91999999998</v>
      </c>
      <c r="T30" s="4">
        <v>38041.97</v>
      </c>
      <c r="U30" s="4">
        <v>71056.959999999992</v>
      </c>
      <c r="V30" s="4">
        <v>184925.16999999998</v>
      </c>
      <c r="W30" s="4">
        <v>107184.1</v>
      </c>
      <c r="X30" s="4">
        <v>166395.90000000002</v>
      </c>
      <c r="Y30" s="4">
        <v>62061.560000000005</v>
      </c>
      <c r="Z30" s="4">
        <v>31920.33</v>
      </c>
      <c r="AA30" s="4">
        <v>401300.66000000003</v>
      </c>
      <c r="AB30" s="4">
        <f t="shared" si="2"/>
        <v>3597729.7</v>
      </c>
    </row>
    <row r="31" spans="1:28" x14ac:dyDescent="0.2">
      <c r="A31" s="3">
        <v>45108</v>
      </c>
      <c r="B31" s="4">
        <v>373583.56000000006</v>
      </c>
      <c r="C31" s="4">
        <v>60434.659999999996</v>
      </c>
      <c r="D31" s="4">
        <v>55072.45</v>
      </c>
      <c r="E31" s="4">
        <v>149661.78</v>
      </c>
      <c r="F31" s="4">
        <v>50426.979999999996</v>
      </c>
      <c r="G31" s="4">
        <v>47627.399999999994</v>
      </c>
      <c r="H31" s="4">
        <v>26628.510000000002</v>
      </c>
      <c r="I31" s="4">
        <v>64120.78</v>
      </c>
      <c r="J31" s="4">
        <v>48309.429999999993</v>
      </c>
      <c r="K31" s="4">
        <v>167508.56</v>
      </c>
      <c r="L31" s="4">
        <v>195272.26000000004</v>
      </c>
      <c r="M31" s="4">
        <v>207672.53</v>
      </c>
      <c r="N31" s="4">
        <v>329143.37</v>
      </c>
      <c r="O31" s="4">
        <v>215293.70999999996</v>
      </c>
      <c r="P31" s="4">
        <v>181825.59</v>
      </c>
      <c r="Q31" s="4">
        <v>27623.749999999996</v>
      </c>
      <c r="R31" s="4">
        <v>92372.7</v>
      </c>
      <c r="S31" s="4">
        <v>108948.74</v>
      </c>
      <c r="T31" s="4">
        <v>39715.11</v>
      </c>
      <c r="U31" s="4">
        <v>88887.91</v>
      </c>
      <c r="V31" s="4">
        <v>234874.90000000002</v>
      </c>
      <c r="W31" s="4">
        <v>130244.26</v>
      </c>
      <c r="X31" s="4">
        <v>149614.20000000001</v>
      </c>
      <c r="Y31" s="4">
        <v>101867.3</v>
      </c>
      <c r="Z31" s="4">
        <v>32553.159999999993</v>
      </c>
      <c r="AA31" s="4">
        <v>413887.28</v>
      </c>
      <c r="AB31" s="4">
        <f t="shared" si="2"/>
        <v>3593170.88</v>
      </c>
    </row>
    <row r="32" spans="1:28" x14ac:dyDescent="0.2">
      <c r="A32" s="3">
        <v>45139</v>
      </c>
      <c r="B32" s="4">
        <v>430802.68999999994</v>
      </c>
      <c r="C32" s="4">
        <v>73906.16</v>
      </c>
      <c r="D32" s="4">
        <v>59019.59</v>
      </c>
      <c r="E32" s="4">
        <v>160262.77000000002</v>
      </c>
      <c r="F32" s="4">
        <v>53052.539999999994</v>
      </c>
      <c r="G32" s="4">
        <v>61277.42</v>
      </c>
      <c r="H32" s="4">
        <v>53950.04</v>
      </c>
      <c r="I32" s="4">
        <v>73113.78</v>
      </c>
      <c r="J32" s="4">
        <v>165552.88</v>
      </c>
      <c r="K32" s="4">
        <v>243738.05</v>
      </c>
      <c r="L32" s="4">
        <v>199870.77</v>
      </c>
      <c r="M32" s="4">
        <v>1104550.3900000001</v>
      </c>
      <c r="N32" s="4">
        <v>461754.18</v>
      </c>
      <c r="O32" s="4">
        <v>530656.71</v>
      </c>
      <c r="P32" s="4">
        <v>185393.86</v>
      </c>
      <c r="Q32" s="4">
        <v>44986.21</v>
      </c>
      <c r="R32" s="4">
        <v>138728.26</v>
      </c>
      <c r="S32" s="4">
        <v>107897.98999999999</v>
      </c>
      <c r="T32" s="4">
        <v>47081.429999999993</v>
      </c>
      <c r="U32" s="4">
        <v>98131.33</v>
      </c>
      <c r="V32" s="4">
        <v>283390.71999999997</v>
      </c>
      <c r="W32" s="4">
        <v>137611.77999999997</v>
      </c>
      <c r="X32" s="4">
        <v>171687.8</v>
      </c>
      <c r="Y32" s="4">
        <v>132541.68</v>
      </c>
      <c r="Z32" s="4">
        <v>44705.79</v>
      </c>
      <c r="AA32" s="4">
        <v>670865.21</v>
      </c>
      <c r="AB32" s="4">
        <f t="shared" si="2"/>
        <v>5734530.0299999993</v>
      </c>
    </row>
    <row r="33" spans="1:28" x14ac:dyDescent="0.2">
      <c r="A33" s="3">
        <v>45170</v>
      </c>
      <c r="B33" s="4">
        <v>264878.77</v>
      </c>
      <c r="C33" s="4">
        <v>52838.430000000008</v>
      </c>
      <c r="D33" s="4">
        <v>41284.47</v>
      </c>
      <c r="E33" s="4">
        <v>73640.09</v>
      </c>
      <c r="F33" s="4">
        <v>45087.3</v>
      </c>
      <c r="G33" s="4">
        <v>34103.96</v>
      </c>
      <c r="H33" s="4">
        <v>16093.06</v>
      </c>
      <c r="I33" s="4">
        <v>47224.22</v>
      </c>
      <c r="J33" s="4">
        <v>46214.819999999992</v>
      </c>
      <c r="K33" s="4">
        <v>91848.22</v>
      </c>
      <c r="L33" s="4">
        <v>150052.38</v>
      </c>
      <c r="M33" s="4">
        <v>540932.76</v>
      </c>
      <c r="N33" s="4">
        <v>412249.07</v>
      </c>
      <c r="O33" s="4">
        <v>403784.69</v>
      </c>
      <c r="P33" s="4">
        <v>143908.35</v>
      </c>
      <c r="Q33" s="4">
        <v>32158.02</v>
      </c>
      <c r="R33" s="4">
        <v>133704.07</v>
      </c>
      <c r="S33" s="4">
        <v>216844.53</v>
      </c>
      <c r="T33" s="4">
        <v>36847.520000000004</v>
      </c>
      <c r="U33" s="4">
        <v>55367.290000000008</v>
      </c>
      <c r="V33" s="4">
        <v>106497.04</v>
      </c>
      <c r="W33" s="4">
        <v>78750.05</v>
      </c>
      <c r="X33" s="4">
        <v>131060.77000000002</v>
      </c>
      <c r="Y33" s="4">
        <v>84488.59</v>
      </c>
      <c r="Z33" s="4">
        <v>24241.23</v>
      </c>
      <c r="AA33" s="4">
        <v>314601.75</v>
      </c>
      <c r="AB33" s="4">
        <f t="shared" si="2"/>
        <v>3578701.4499999997</v>
      </c>
    </row>
    <row r="34" spans="1:28" x14ac:dyDescent="0.2">
      <c r="A34" s="3">
        <v>45200</v>
      </c>
      <c r="B34" s="4">
        <v>388421.63</v>
      </c>
      <c r="C34" s="4">
        <v>57853.46</v>
      </c>
      <c r="D34" s="4">
        <v>49884.47</v>
      </c>
      <c r="E34" s="4">
        <v>137941.53000000003</v>
      </c>
      <c r="F34" s="4">
        <v>50384.270000000004</v>
      </c>
      <c r="G34" s="4">
        <v>45431.630000000005</v>
      </c>
      <c r="H34" s="4">
        <v>26741.72</v>
      </c>
      <c r="I34" s="4">
        <v>59123.28</v>
      </c>
      <c r="J34" s="4">
        <v>51748.4</v>
      </c>
      <c r="K34" s="4">
        <v>149860.78000000003</v>
      </c>
      <c r="L34" s="4">
        <v>183332.76</v>
      </c>
      <c r="M34" s="4">
        <v>242008.45</v>
      </c>
      <c r="N34" s="4">
        <v>312081.34999999998</v>
      </c>
      <c r="O34" s="4">
        <v>211914.46</v>
      </c>
      <c r="P34" s="4">
        <v>158433.85</v>
      </c>
      <c r="Q34" s="4">
        <v>24113.96</v>
      </c>
      <c r="R34" s="4">
        <v>89593.36</v>
      </c>
      <c r="S34" s="4">
        <v>146250.82</v>
      </c>
      <c r="T34" s="4">
        <v>40776.070000000007</v>
      </c>
      <c r="U34" s="4">
        <v>79725.759999999995</v>
      </c>
      <c r="V34" s="4">
        <v>210628.53999999998</v>
      </c>
      <c r="W34" s="4">
        <v>124917.79999999999</v>
      </c>
      <c r="X34" s="4">
        <v>155962.79999999999</v>
      </c>
      <c r="Y34" s="4">
        <v>97991.43</v>
      </c>
      <c r="Z34" s="4">
        <v>33934.129999999997</v>
      </c>
      <c r="AA34" s="4">
        <v>397384.58999999997</v>
      </c>
      <c r="AB34" s="4">
        <f t="shared" si="2"/>
        <v>3526441.2999999989</v>
      </c>
    </row>
    <row r="35" spans="1:28" x14ac:dyDescent="0.2">
      <c r="A35" s="3">
        <v>45231</v>
      </c>
      <c r="B35" s="4">
        <v>375287.24999999994</v>
      </c>
      <c r="C35" s="4">
        <v>60338.159999999996</v>
      </c>
      <c r="D35" s="4">
        <v>43085.770000000004</v>
      </c>
      <c r="E35" s="4">
        <v>144037.89000000001</v>
      </c>
      <c r="F35" s="4">
        <v>53118.17</v>
      </c>
      <c r="G35" s="4">
        <v>48240.62</v>
      </c>
      <c r="H35" s="4">
        <v>27834.489999999998</v>
      </c>
      <c r="I35" s="4">
        <v>62149.789999999994</v>
      </c>
      <c r="J35" s="4">
        <v>56505.240000000005</v>
      </c>
      <c r="K35" s="4">
        <v>158052.49</v>
      </c>
      <c r="L35" s="4">
        <v>192583.05</v>
      </c>
      <c r="M35" s="4">
        <v>251077.47000000003</v>
      </c>
      <c r="N35" s="4">
        <v>324724.70999999996</v>
      </c>
      <c r="O35" s="4">
        <v>222377.68</v>
      </c>
      <c r="P35" s="4">
        <v>170215.6</v>
      </c>
      <c r="Q35" s="4">
        <v>24169.84</v>
      </c>
      <c r="R35" s="4">
        <v>93996</v>
      </c>
      <c r="S35" s="4">
        <v>125741.18</v>
      </c>
      <c r="T35" s="4">
        <v>37867.339999999997</v>
      </c>
      <c r="U35" s="4">
        <v>82518.720000000001</v>
      </c>
      <c r="V35" s="4">
        <v>215947.79</v>
      </c>
      <c r="W35" s="4">
        <v>118783.95000000001</v>
      </c>
      <c r="X35" s="4">
        <v>164848.46000000002</v>
      </c>
      <c r="Y35" s="4">
        <v>96349.59</v>
      </c>
      <c r="Z35" s="4">
        <v>32481.950000000004</v>
      </c>
      <c r="AA35" s="4">
        <v>393642.44999999995</v>
      </c>
      <c r="AB35" s="4">
        <f t="shared" si="2"/>
        <v>3575975.6500000004</v>
      </c>
    </row>
    <row r="36" spans="1:28" x14ac:dyDescent="0.2">
      <c r="A36" s="3">
        <v>45261</v>
      </c>
      <c r="B36" s="4">
        <v>326511.27</v>
      </c>
      <c r="C36" s="4">
        <v>88171.13</v>
      </c>
      <c r="D36" s="4">
        <v>62606.33</v>
      </c>
      <c r="E36" s="4">
        <v>71655.53</v>
      </c>
      <c r="F36" s="4">
        <v>79810.87</v>
      </c>
      <c r="G36" s="4">
        <v>56488.319999999992</v>
      </c>
      <c r="H36" s="4">
        <v>32172.5</v>
      </c>
      <c r="I36" s="4">
        <v>70436.22</v>
      </c>
      <c r="J36" s="4">
        <v>40001.919999999998</v>
      </c>
      <c r="K36" s="4">
        <v>112351.16</v>
      </c>
      <c r="L36" s="4">
        <v>190821.86000000002</v>
      </c>
      <c r="M36" s="4">
        <v>445605.17000000004</v>
      </c>
      <c r="N36" s="4">
        <v>559452.27</v>
      </c>
      <c r="O36" s="4">
        <v>334039.43</v>
      </c>
      <c r="P36" s="4">
        <v>215131.09000000003</v>
      </c>
      <c r="Q36" s="4">
        <v>35672.959999999999</v>
      </c>
      <c r="R36" s="4">
        <v>147834.78</v>
      </c>
      <c r="S36" s="4">
        <v>138216.88</v>
      </c>
      <c r="T36" s="4">
        <v>46360.240000000005</v>
      </c>
      <c r="U36" s="4">
        <v>115858.39000000001</v>
      </c>
      <c r="V36" s="4">
        <v>245073.52000000002</v>
      </c>
      <c r="W36" s="4">
        <v>150790.49</v>
      </c>
      <c r="X36" s="4">
        <v>184958.53</v>
      </c>
      <c r="Y36" s="4">
        <v>115912.69999999998</v>
      </c>
      <c r="Z36" s="4">
        <v>30292.700000000004</v>
      </c>
      <c r="AA36" s="4">
        <v>335112.45999999996</v>
      </c>
      <c r="AB36" s="4">
        <f t="shared" si="2"/>
        <v>4231338.7200000007</v>
      </c>
    </row>
    <row r="37" spans="1:28" ht="15.75" thickBot="1" x14ac:dyDescent="0.25">
      <c r="A37" s="7" t="s">
        <v>183</v>
      </c>
      <c r="B37" s="5">
        <f>SUM(B25:B36)</f>
        <v>4799202.51</v>
      </c>
      <c r="C37" s="5">
        <f t="shared" ref="C37:AB37" si="3">SUM(C25:C36)</f>
        <v>881259.3600000001</v>
      </c>
      <c r="D37" s="5">
        <f t="shared" si="3"/>
        <v>693111.22</v>
      </c>
      <c r="E37" s="5">
        <f t="shared" si="3"/>
        <v>1489516.6600000004</v>
      </c>
      <c r="F37" s="5">
        <f t="shared" si="3"/>
        <v>740486.77</v>
      </c>
      <c r="G37" s="5">
        <f t="shared" si="3"/>
        <v>633516.88</v>
      </c>
      <c r="H37" s="5">
        <f t="shared" si="3"/>
        <v>416770.52</v>
      </c>
      <c r="I37" s="5">
        <f t="shared" si="3"/>
        <v>800790.43</v>
      </c>
      <c r="J37" s="5">
        <f t="shared" si="3"/>
        <v>796180.76</v>
      </c>
      <c r="K37" s="5">
        <f t="shared" si="3"/>
        <v>1893120.56</v>
      </c>
      <c r="L37" s="5">
        <f t="shared" si="3"/>
        <v>2472150</v>
      </c>
      <c r="M37" s="5">
        <f t="shared" si="3"/>
        <v>4615271.53</v>
      </c>
      <c r="N37" s="5">
        <f t="shared" si="3"/>
        <v>4807969.1500000004</v>
      </c>
      <c r="O37" s="5">
        <f t="shared" si="3"/>
        <v>3916144.6900000004</v>
      </c>
      <c r="P37" s="5">
        <f t="shared" si="3"/>
        <v>2384268.73</v>
      </c>
      <c r="Q37" s="5">
        <f t="shared" si="3"/>
        <v>417305.2300000001</v>
      </c>
      <c r="R37" s="5">
        <f t="shared" si="3"/>
        <v>1297469.9200000002</v>
      </c>
      <c r="S37" s="5">
        <f t="shared" si="3"/>
        <v>1896976.62</v>
      </c>
      <c r="T37" s="5">
        <f t="shared" si="3"/>
        <v>514682.48</v>
      </c>
      <c r="U37" s="5">
        <f t="shared" si="3"/>
        <v>1095754.8399999999</v>
      </c>
      <c r="V37" s="5">
        <f t="shared" si="3"/>
        <v>2949251.57</v>
      </c>
      <c r="W37" s="5">
        <f t="shared" si="3"/>
        <v>1626941.0999999999</v>
      </c>
      <c r="X37" s="5">
        <f t="shared" si="3"/>
        <v>2283016.34</v>
      </c>
      <c r="Y37" s="5">
        <f t="shared" si="3"/>
        <v>1349123.4500000002</v>
      </c>
      <c r="Z37" s="5">
        <f t="shared" si="3"/>
        <v>434083.11</v>
      </c>
      <c r="AA37" s="5">
        <f t="shared" si="3"/>
        <v>5336763.8800000008</v>
      </c>
      <c r="AB37" s="5">
        <f t="shared" si="3"/>
        <v>50541128.309999995</v>
      </c>
    </row>
    <row r="38" spans="1:28" ht="15.75" thickTop="1" x14ac:dyDescent="0.2"/>
    <row r="39" spans="1:28" x14ac:dyDescent="0.2">
      <c r="A39" s="3">
        <v>44562</v>
      </c>
      <c r="B39" s="4">
        <v>494795.01</v>
      </c>
      <c r="C39" s="4">
        <v>95237.11</v>
      </c>
      <c r="D39" s="4">
        <v>66199</v>
      </c>
      <c r="E39" s="4">
        <v>163951.96</v>
      </c>
      <c r="F39" s="4">
        <v>71180.149999999994</v>
      </c>
      <c r="G39" s="4">
        <v>56165.239999999991</v>
      </c>
      <c r="H39" s="4">
        <v>37333.64</v>
      </c>
      <c r="I39" s="4">
        <v>75786.740000000005</v>
      </c>
      <c r="J39" s="4">
        <v>66500</v>
      </c>
      <c r="K39" s="4">
        <v>185280.13</v>
      </c>
      <c r="L39" s="4">
        <v>261639.50999999995</v>
      </c>
      <c r="M39" s="4">
        <v>349439.23</v>
      </c>
      <c r="N39" s="4">
        <v>383539.77</v>
      </c>
      <c r="O39" s="4">
        <v>317520.64000000001</v>
      </c>
      <c r="P39" s="4">
        <v>224343.24</v>
      </c>
      <c r="Q39" s="4">
        <v>34252.33</v>
      </c>
      <c r="R39" s="4">
        <v>117087.27</v>
      </c>
      <c r="S39" s="4">
        <v>153537.1</v>
      </c>
      <c r="T39" s="4">
        <v>47663.219999999994</v>
      </c>
      <c r="U39" s="4">
        <v>109812.20000000001</v>
      </c>
      <c r="V39" s="4">
        <v>287645.64999999997</v>
      </c>
      <c r="W39" s="4">
        <v>171177.37</v>
      </c>
      <c r="X39" s="4">
        <v>232124.88000000003</v>
      </c>
      <c r="Y39" s="4">
        <v>129108.77999999998</v>
      </c>
      <c r="Z39" s="4">
        <v>42785.880000000005</v>
      </c>
      <c r="AA39" s="4">
        <v>403284.58999999997</v>
      </c>
      <c r="AB39" s="4">
        <f>SUM(B39:AA39)</f>
        <v>4577390.6400000006</v>
      </c>
    </row>
    <row r="40" spans="1:28" x14ac:dyDescent="0.2">
      <c r="A40" s="3">
        <v>44593</v>
      </c>
      <c r="B40" s="4">
        <v>406730.45</v>
      </c>
      <c r="C40" s="4">
        <v>70678.02</v>
      </c>
      <c r="D40" s="4">
        <v>56088.509999999995</v>
      </c>
      <c r="E40" s="4">
        <v>135375.32</v>
      </c>
      <c r="F40" s="4">
        <v>58772.149999999994</v>
      </c>
      <c r="G40" s="4">
        <v>46171.200000000004</v>
      </c>
      <c r="H40" s="4">
        <v>30637.91</v>
      </c>
      <c r="I40" s="4">
        <v>62836.34</v>
      </c>
      <c r="J40" s="4">
        <v>54761.100000000006</v>
      </c>
      <c r="K40" s="4">
        <v>153766.12</v>
      </c>
      <c r="L40" s="4">
        <v>216693.17</v>
      </c>
      <c r="M40" s="4">
        <v>287890.68999999994</v>
      </c>
      <c r="N40" s="4">
        <v>317022.37</v>
      </c>
      <c r="O40" s="4">
        <v>264348.71999999997</v>
      </c>
      <c r="P40" s="4">
        <v>184830.59</v>
      </c>
      <c r="Q40" s="4">
        <v>39277.910000000003</v>
      </c>
      <c r="R40" s="4">
        <v>97388.239999999991</v>
      </c>
      <c r="S40" s="4">
        <v>125243.18</v>
      </c>
      <c r="T40" s="4">
        <v>39326.129999999997</v>
      </c>
      <c r="U40" s="4">
        <v>90342.43</v>
      </c>
      <c r="V40" s="4">
        <v>236837.41999999998</v>
      </c>
      <c r="W40" s="4">
        <v>140923.85999999999</v>
      </c>
      <c r="X40" s="4">
        <v>191028.86</v>
      </c>
      <c r="Y40" s="4">
        <v>106040.42000000001</v>
      </c>
      <c r="Z40" s="4">
        <v>35302.47</v>
      </c>
      <c r="AA40" s="4">
        <v>330154.80000000005</v>
      </c>
      <c r="AB40" s="4">
        <f t="shared" ref="AB40:AB50" si="4">SUM(B40:AA40)</f>
        <v>3778468.3800000008</v>
      </c>
    </row>
    <row r="41" spans="1:28" x14ac:dyDescent="0.2">
      <c r="A41" s="3">
        <v>44621</v>
      </c>
      <c r="B41" s="4">
        <v>434912.42</v>
      </c>
      <c r="C41" s="4">
        <v>85339.02</v>
      </c>
      <c r="D41" s="4">
        <v>77607.8</v>
      </c>
      <c r="E41" s="4">
        <v>115860.21000000002</v>
      </c>
      <c r="F41" s="4">
        <v>104666.43000000001</v>
      </c>
      <c r="G41" s="4">
        <v>76797.320000000007</v>
      </c>
      <c r="H41" s="4">
        <v>42399.26</v>
      </c>
      <c r="I41" s="4">
        <v>91651.28</v>
      </c>
      <c r="J41" s="4">
        <v>69927.77</v>
      </c>
      <c r="K41" s="4">
        <v>142504.32000000001</v>
      </c>
      <c r="L41" s="4">
        <v>195156.55000000002</v>
      </c>
      <c r="M41" s="4">
        <v>380881.98</v>
      </c>
      <c r="N41" s="4">
        <v>479423.82000000007</v>
      </c>
      <c r="O41" s="4">
        <v>406905.63999999996</v>
      </c>
      <c r="P41" s="4">
        <v>251307.43000000002</v>
      </c>
      <c r="Q41" s="4">
        <v>-21296.190000000002</v>
      </c>
      <c r="R41" s="4">
        <v>100090.82999999999</v>
      </c>
      <c r="S41" s="4">
        <v>188452.7</v>
      </c>
      <c r="T41" s="4">
        <v>40989.729999999996</v>
      </c>
      <c r="U41" s="4">
        <v>91795.219999999987</v>
      </c>
      <c r="V41" s="4">
        <v>319996.58999999997</v>
      </c>
      <c r="W41" s="4">
        <v>174838.64</v>
      </c>
      <c r="X41" s="4">
        <v>273623.18</v>
      </c>
      <c r="Y41" s="4">
        <v>164778.23999999999</v>
      </c>
      <c r="Z41" s="4">
        <v>48413.86</v>
      </c>
      <c r="AA41" s="4">
        <v>584396.36</v>
      </c>
      <c r="AB41" s="4">
        <f t="shared" si="4"/>
        <v>4921420.410000002</v>
      </c>
    </row>
    <row r="42" spans="1:28" x14ac:dyDescent="0.2">
      <c r="A42" s="3">
        <v>44652</v>
      </c>
      <c r="B42" s="4">
        <v>353866.1</v>
      </c>
      <c r="C42" s="4">
        <v>58676.32</v>
      </c>
      <c r="D42" s="4">
        <v>75292.340000000011</v>
      </c>
      <c r="E42" s="4">
        <v>108958.12000000001</v>
      </c>
      <c r="F42" s="4">
        <v>51801.630000000005</v>
      </c>
      <c r="G42" s="4">
        <v>41398.979999999996</v>
      </c>
      <c r="H42" s="4">
        <v>29055</v>
      </c>
      <c r="I42" s="4">
        <v>54282.99</v>
      </c>
      <c r="J42" s="4">
        <v>41948.160000000003</v>
      </c>
      <c r="K42" s="4">
        <v>146995.4</v>
      </c>
      <c r="L42" s="4">
        <v>186847.27000000002</v>
      </c>
      <c r="M42" s="4">
        <v>269295.62</v>
      </c>
      <c r="N42" s="4">
        <v>302685.99</v>
      </c>
      <c r="O42" s="4">
        <v>258700.87999999995</v>
      </c>
      <c r="P42" s="4">
        <v>161382.91999999998</v>
      </c>
      <c r="Q42" s="4">
        <v>11739.42</v>
      </c>
      <c r="R42" s="4">
        <v>78442.600000000006</v>
      </c>
      <c r="S42" s="4">
        <v>147295.93</v>
      </c>
      <c r="T42" s="4">
        <v>32670.54</v>
      </c>
      <c r="U42" s="4">
        <v>67261.889999999985</v>
      </c>
      <c r="V42" s="4">
        <v>207361.93</v>
      </c>
      <c r="W42" s="4">
        <v>114307.72</v>
      </c>
      <c r="X42" s="4">
        <v>179184.71</v>
      </c>
      <c r="Y42" s="4">
        <v>94258.450000000012</v>
      </c>
      <c r="Z42" s="4">
        <v>36090.36</v>
      </c>
      <c r="AA42" s="4">
        <v>356996.85</v>
      </c>
      <c r="AB42" s="4">
        <f t="shared" si="4"/>
        <v>3466798.120000001</v>
      </c>
    </row>
    <row r="43" spans="1:28" x14ac:dyDescent="0.2">
      <c r="A43" s="3">
        <v>44682</v>
      </c>
      <c r="B43" s="4">
        <v>349548.94</v>
      </c>
      <c r="C43" s="4">
        <v>59171.69</v>
      </c>
      <c r="D43" s="4">
        <v>51300.89</v>
      </c>
      <c r="E43" s="4">
        <v>110976.75</v>
      </c>
      <c r="F43" s="4">
        <v>51759.119999999995</v>
      </c>
      <c r="G43" s="4">
        <v>40298.42</v>
      </c>
      <c r="H43" s="4">
        <v>28954.510000000002</v>
      </c>
      <c r="I43" s="4">
        <v>54193.279999999999</v>
      </c>
      <c r="J43" s="4">
        <v>42636.09</v>
      </c>
      <c r="K43" s="4">
        <v>148278.19</v>
      </c>
      <c r="L43" s="4">
        <v>188286.01</v>
      </c>
      <c r="M43" s="4">
        <v>271335.96999999997</v>
      </c>
      <c r="N43" s="4">
        <v>304815.82</v>
      </c>
      <c r="O43" s="4">
        <v>254977.74</v>
      </c>
      <c r="P43" s="4">
        <v>164422.89000000001</v>
      </c>
      <c r="Q43" s="4">
        <v>21977.86</v>
      </c>
      <c r="R43" s="4">
        <v>80057.649999999994</v>
      </c>
      <c r="S43" s="4">
        <v>145671.49</v>
      </c>
      <c r="T43" s="4">
        <v>32256.25</v>
      </c>
      <c r="U43" s="4">
        <v>68529.399999999994</v>
      </c>
      <c r="V43" s="4">
        <v>207151.16000000003</v>
      </c>
      <c r="W43" s="4">
        <v>116345.75</v>
      </c>
      <c r="X43" s="4">
        <v>179831.33000000002</v>
      </c>
      <c r="Y43" s="4">
        <v>94725.66</v>
      </c>
      <c r="Z43" s="4">
        <v>35949.99</v>
      </c>
      <c r="AA43" s="4">
        <v>350202.75</v>
      </c>
      <c r="AB43" s="4">
        <f t="shared" si="4"/>
        <v>3453655.6</v>
      </c>
    </row>
    <row r="44" spans="1:28" x14ac:dyDescent="0.2">
      <c r="A44" s="3">
        <v>44713</v>
      </c>
      <c r="B44" s="4">
        <v>538311.77</v>
      </c>
      <c r="C44" s="4">
        <v>106687.00000000001</v>
      </c>
      <c r="D44" s="4">
        <v>65799.47</v>
      </c>
      <c r="E44" s="4">
        <v>143181.5</v>
      </c>
      <c r="F44" s="4">
        <v>71906.63</v>
      </c>
      <c r="G44" s="4">
        <v>68370.31</v>
      </c>
      <c r="H44" s="4">
        <v>44187.030000000006</v>
      </c>
      <c r="I44" s="4">
        <v>80721.799999999988</v>
      </c>
      <c r="J44" s="4">
        <v>74156.709999999992</v>
      </c>
      <c r="K44" s="4">
        <v>164789.82999999999</v>
      </c>
      <c r="L44" s="4">
        <v>173619.85</v>
      </c>
      <c r="M44" s="4">
        <v>324081.79999999993</v>
      </c>
      <c r="N44" s="4">
        <v>426433.31000000006</v>
      </c>
      <c r="O44" s="4">
        <v>487459.89</v>
      </c>
      <c r="P44" s="4">
        <v>295702.87</v>
      </c>
      <c r="Q44" s="4">
        <v>32957.589999999997</v>
      </c>
      <c r="R44" s="4">
        <v>119150.01999999999</v>
      </c>
      <c r="S44" s="4">
        <v>237621.59999999998</v>
      </c>
      <c r="T44" s="4">
        <v>50174.820000000007</v>
      </c>
      <c r="U44" s="4">
        <v>110010.26000000001</v>
      </c>
      <c r="V44" s="4">
        <v>324584.42</v>
      </c>
      <c r="W44" s="4">
        <v>154077.78</v>
      </c>
      <c r="X44" s="4">
        <v>245158.76</v>
      </c>
      <c r="Y44" s="4">
        <v>144620.89999999997</v>
      </c>
      <c r="Z44" s="4">
        <v>37868.700000000004</v>
      </c>
      <c r="AA44" s="4">
        <v>456618.45999999996</v>
      </c>
      <c r="AB44" s="4">
        <f t="shared" si="4"/>
        <v>4978253.080000001</v>
      </c>
    </row>
    <row r="45" spans="1:28" x14ac:dyDescent="0.2">
      <c r="A45" s="3">
        <v>44743</v>
      </c>
      <c r="B45" s="4">
        <v>352758.11</v>
      </c>
      <c r="C45" s="4">
        <v>55925.350000000006</v>
      </c>
      <c r="D45" s="4">
        <v>49400.71</v>
      </c>
      <c r="E45" s="4">
        <v>138542.79</v>
      </c>
      <c r="F45" s="4">
        <v>50143.869999999995</v>
      </c>
      <c r="G45" s="4">
        <v>40887.569999999992</v>
      </c>
      <c r="H45" s="4">
        <v>22615.45</v>
      </c>
      <c r="I45" s="4">
        <v>60818.520000000004</v>
      </c>
      <c r="J45" s="4">
        <v>41407.460000000006</v>
      </c>
      <c r="K45" s="4">
        <v>146603.04</v>
      </c>
      <c r="L45" s="4">
        <v>193526.16999999998</v>
      </c>
      <c r="M45" s="4">
        <v>247128.87999999998</v>
      </c>
      <c r="N45" s="4">
        <v>310947.08</v>
      </c>
      <c r="O45" s="4">
        <v>225789.03000000003</v>
      </c>
      <c r="P45" s="4">
        <v>163814.12</v>
      </c>
      <c r="Q45" s="4">
        <v>23830.229999999996</v>
      </c>
      <c r="R45" s="4">
        <v>83852.94</v>
      </c>
      <c r="S45" s="4">
        <v>114589.43</v>
      </c>
      <c r="T45" s="4">
        <v>35327.56</v>
      </c>
      <c r="U45" s="4">
        <v>69839.44</v>
      </c>
      <c r="V45" s="4">
        <v>205201.29</v>
      </c>
      <c r="W45" s="4">
        <v>122753.77000000002</v>
      </c>
      <c r="X45" s="4">
        <v>156770.96</v>
      </c>
      <c r="Y45" s="4">
        <v>94363.09</v>
      </c>
      <c r="Z45" s="4">
        <v>32811.620000000003</v>
      </c>
      <c r="AA45" s="4">
        <v>453419.43</v>
      </c>
      <c r="AB45" s="4">
        <f t="shared" si="4"/>
        <v>3493067.91</v>
      </c>
    </row>
    <row r="46" spans="1:28" x14ac:dyDescent="0.2">
      <c r="A46" s="3">
        <v>44774</v>
      </c>
      <c r="B46" s="4">
        <v>327171.09000000003</v>
      </c>
      <c r="C46" s="4">
        <v>53301.990000000005</v>
      </c>
      <c r="D46" s="4">
        <v>46665.16</v>
      </c>
      <c r="E46" s="4">
        <v>134939.45000000001</v>
      </c>
      <c r="F46" s="4">
        <v>66178.89</v>
      </c>
      <c r="G46" s="4">
        <v>39162.81</v>
      </c>
      <c r="H46" s="4">
        <v>22745.84</v>
      </c>
      <c r="I46" s="4">
        <v>54866.409999999996</v>
      </c>
      <c r="J46" s="4">
        <v>39971.57</v>
      </c>
      <c r="K46" s="4">
        <v>141809.87</v>
      </c>
      <c r="L46" s="4">
        <v>167702.69</v>
      </c>
      <c r="M46" s="4">
        <v>239155.19</v>
      </c>
      <c r="N46" s="4">
        <v>263542.45</v>
      </c>
      <c r="O46" s="4">
        <v>198107.21000000002</v>
      </c>
      <c r="P46" s="4">
        <v>158298.26999999999</v>
      </c>
      <c r="Q46" s="4">
        <v>35228.409999999996</v>
      </c>
      <c r="R46" s="4">
        <v>81041.070000000007</v>
      </c>
      <c r="S46" s="4">
        <v>109867.68</v>
      </c>
      <c r="T46" s="4">
        <v>32581.47</v>
      </c>
      <c r="U46" s="4">
        <v>65931.38</v>
      </c>
      <c r="V46" s="4">
        <v>191205.21999999997</v>
      </c>
      <c r="W46" s="4">
        <v>112797.9</v>
      </c>
      <c r="X46" s="4">
        <v>148488.64000000001</v>
      </c>
      <c r="Y46" s="4">
        <v>89468.82</v>
      </c>
      <c r="Z46" s="4">
        <v>30316.79</v>
      </c>
      <c r="AA46" s="4">
        <v>355190.14</v>
      </c>
      <c r="AB46" s="4">
        <f t="shared" si="4"/>
        <v>3205736.41</v>
      </c>
    </row>
    <row r="47" spans="1:28" x14ac:dyDescent="0.2">
      <c r="A47" s="3">
        <v>44805</v>
      </c>
      <c r="B47" s="4">
        <v>437329.66000000003</v>
      </c>
      <c r="C47" s="4">
        <v>76431.539999999994</v>
      </c>
      <c r="D47" s="4">
        <v>68658.37</v>
      </c>
      <c r="E47" s="4">
        <v>166211.03999999998</v>
      </c>
      <c r="F47" s="4">
        <v>79279.55</v>
      </c>
      <c r="G47" s="4">
        <v>77895.580000000016</v>
      </c>
      <c r="H47" s="4">
        <v>35225.440000000002</v>
      </c>
      <c r="I47" s="4">
        <v>80966.290000000008</v>
      </c>
      <c r="J47" s="4">
        <v>65539.679999999993</v>
      </c>
      <c r="K47" s="4">
        <v>209965.81999999995</v>
      </c>
      <c r="L47" s="4">
        <v>212825.45999999996</v>
      </c>
      <c r="M47" s="4">
        <v>116536.83</v>
      </c>
      <c r="N47" s="4">
        <v>372492.61000000004</v>
      </c>
      <c r="O47" s="4">
        <v>228677.51</v>
      </c>
      <c r="P47" s="4">
        <v>217821.51</v>
      </c>
      <c r="Q47" s="4">
        <v>35432.22</v>
      </c>
      <c r="R47" s="4">
        <v>106909.47</v>
      </c>
      <c r="S47" s="4">
        <v>96241.55</v>
      </c>
      <c r="T47" s="4">
        <v>49264.979999999996</v>
      </c>
      <c r="U47" s="4">
        <v>122865.96000000002</v>
      </c>
      <c r="V47" s="4">
        <v>303923.94</v>
      </c>
      <c r="W47" s="4">
        <v>155675.04</v>
      </c>
      <c r="X47" s="4">
        <v>175054.72000000003</v>
      </c>
      <c r="Y47" s="4">
        <v>123133.36000000002</v>
      </c>
      <c r="Z47" s="4">
        <v>33892.26</v>
      </c>
      <c r="AA47" s="4">
        <v>469253.65000000008</v>
      </c>
      <c r="AB47" s="4">
        <f t="shared" si="4"/>
        <v>4117504.0400000005</v>
      </c>
    </row>
    <row r="48" spans="1:28" x14ac:dyDescent="0.2">
      <c r="A48" s="3">
        <v>44835</v>
      </c>
      <c r="B48" s="4">
        <v>329978.46000000002</v>
      </c>
      <c r="C48" s="4">
        <v>54053.210000000006</v>
      </c>
      <c r="D48" s="4">
        <v>46313.380000000005</v>
      </c>
      <c r="E48" s="4">
        <v>126040.45</v>
      </c>
      <c r="F48" s="4">
        <v>46125.919999999998</v>
      </c>
      <c r="G48" s="4">
        <v>41834.210000000006</v>
      </c>
      <c r="H48" s="4">
        <v>24102.36</v>
      </c>
      <c r="I48" s="4">
        <v>56803.09</v>
      </c>
      <c r="J48" s="4">
        <v>48675.210000000006</v>
      </c>
      <c r="K48" s="4">
        <v>146509.04000000004</v>
      </c>
      <c r="L48" s="4">
        <v>172551</v>
      </c>
      <c r="M48" s="4">
        <v>233732.77000000002</v>
      </c>
      <c r="N48" s="4">
        <v>281607.21999999997</v>
      </c>
      <c r="O48" s="4">
        <v>192891.87999999998</v>
      </c>
      <c r="P48" s="4">
        <v>159956.34</v>
      </c>
      <c r="Q48" s="4">
        <v>20898.5</v>
      </c>
      <c r="R48" s="4">
        <v>81525.650000000009</v>
      </c>
      <c r="S48" s="4">
        <v>108682.43</v>
      </c>
      <c r="T48" s="4">
        <v>32071.45</v>
      </c>
      <c r="U48" s="4">
        <v>71284.06</v>
      </c>
      <c r="V48" s="4">
        <v>196330.63</v>
      </c>
      <c r="W48" s="4">
        <v>116131.34000000001</v>
      </c>
      <c r="X48" s="4">
        <v>160727.28999999998</v>
      </c>
      <c r="Y48" s="4">
        <v>86964.359999999986</v>
      </c>
      <c r="Z48" s="4">
        <v>27915.129999999997</v>
      </c>
      <c r="AA48" s="4">
        <v>370319.85</v>
      </c>
      <c r="AB48" s="4">
        <f t="shared" si="4"/>
        <v>3234025.23</v>
      </c>
    </row>
    <row r="49" spans="1:28" x14ac:dyDescent="0.2">
      <c r="A49" s="3">
        <v>44866</v>
      </c>
      <c r="B49" s="4">
        <v>352174.02</v>
      </c>
      <c r="C49" s="4">
        <v>55698.510000000009</v>
      </c>
      <c r="D49" s="4">
        <v>45906.34</v>
      </c>
      <c r="E49" s="4">
        <v>123547.37</v>
      </c>
      <c r="F49" s="4">
        <v>45205.259999999995</v>
      </c>
      <c r="G49" s="4">
        <v>41269.379999999997</v>
      </c>
      <c r="H49" s="4">
        <v>23833.199999999997</v>
      </c>
      <c r="I49" s="4">
        <v>56682.33</v>
      </c>
      <c r="J49" s="4">
        <v>47481.72</v>
      </c>
      <c r="K49" s="4">
        <v>141877.28999999998</v>
      </c>
      <c r="L49" s="4">
        <v>174411.51</v>
      </c>
      <c r="M49" s="4">
        <v>235971.74</v>
      </c>
      <c r="N49" s="4">
        <v>285451.96000000008</v>
      </c>
      <c r="O49" s="4">
        <v>191869.32</v>
      </c>
      <c r="P49" s="4">
        <v>157913.19</v>
      </c>
      <c r="Q49" s="4">
        <v>20852.580000000002</v>
      </c>
      <c r="R49" s="4">
        <v>84069.57</v>
      </c>
      <c r="S49" s="4">
        <v>108483.86</v>
      </c>
      <c r="T49" s="4">
        <v>33907.110000000008</v>
      </c>
      <c r="U49" s="4">
        <v>73944.97</v>
      </c>
      <c r="V49" s="4">
        <v>193113.83</v>
      </c>
      <c r="W49" s="4">
        <v>114778.48999999999</v>
      </c>
      <c r="X49" s="4">
        <v>158105.65000000002</v>
      </c>
      <c r="Y49" s="4">
        <v>85920.54</v>
      </c>
      <c r="Z49" s="4">
        <v>27673.67</v>
      </c>
      <c r="AA49" s="4">
        <v>365193.94</v>
      </c>
      <c r="AB49" s="4">
        <f t="shared" si="4"/>
        <v>3245337.3499999996</v>
      </c>
    </row>
    <row r="50" spans="1:28" x14ac:dyDescent="0.2">
      <c r="A50" s="3">
        <v>44896</v>
      </c>
      <c r="B50" s="4">
        <v>544880.89</v>
      </c>
      <c r="C50" s="4">
        <v>94717.4</v>
      </c>
      <c r="D50" s="4">
        <v>72187.53</v>
      </c>
      <c r="E50" s="4">
        <v>229634.21999999997</v>
      </c>
      <c r="F50" s="4">
        <v>96494.58</v>
      </c>
      <c r="G50" s="4">
        <v>73450.67</v>
      </c>
      <c r="H50" s="4">
        <v>45225.880000000005</v>
      </c>
      <c r="I50" s="4">
        <v>89972.63</v>
      </c>
      <c r="J50" s="4">
        <v>81824.460000000021</v>
      </c>
      <c r="K50" s="4">
        <v>212061.19</v>
      </c>
      <c r="L50" s="4">
        <v>291271.84999999998</v>
      </c>
      <c r="M50" s="4">
        <v>325850.12</v>
      </c>
      <c r="N50" s="4">
        <v>486307.56999999995</v>
      </c>
      <c r="O50" s="4">
        <v>485083.06999999995</v>
      </c>
      <c r="P50" s="4">
        <v>232968.84999999998</v>
      </c>
      <c r="Q50" s="4">
        <v>43001.7</v>
      </c>
      <c r="R50" s="4">
        <v>219999.74</v>
      </c>
      <c r="S50" s="4">
        <v>281485.02999999997</v>
      </c>
      <c r="T50" s="4">
        <v>50933.58</v>
      </c>
      <c r="U50" s="4">
        <v>145384.25</v>
      </c>
      <c r="V50" s="4">
        <v>323103.46999999997</v>
      </c>
      <c r="W50" s="4">
        <v>166356.69</v>
      </c>
      <c r="X50" s="4">
        <v>235352.33999999997</v>
      </c>
      <c r="Y50" s="4">
        <v>156475.12</v>
      </c>
      <c r="Z50" s="4">
        <v>49585.540000000008</v>
      </c>
      <c r="AA50" s="4">
        <v>476088.27</v>
      </c>
      <c r="AB50" s="4">
        <f t="shared" si="4"/>
        <v>5509696.6400000006</v>
      </c>
    </row>
    <row r="51" spans="1:28" ht="15.75" thickBot="1" x14ac:dyDescent="0.25">
      <c r="A51" s="1" t="s">
        <v>181</v>
      </c>
      <c r="B51" s="5">
        <f>SUM(B39:B50)</f>
        <v>4922456.919999999</v>
      </c>
      <c r="C51" s="5">
        <f t="shared" ref="C51:AA51" si="5">SUM(C39:C50)</f>
        <v>865917.16</v>
      </c>
      <c r="D51" s="5">
        <f t="shared" si="5"/>
        <v>721419.5</v>
      </c>
      <c r="E51" s="5">
        <f>SUM(E39:E50)</f>
        <v>1697219.18</v>
      </c>
      <c r="F51" s="5">
        <f t="shared" si="5"/>
        <v>793514.18</v>
      </c>
      <c r="G51" s="5">
        <f t="shared" si="5"/>
        <v>643701.69000000006</v>
      </c>
      <c r="H51" s="5">
        <f t="shared" si="5"/>
        <v>386315.52000000002</v>
      </c>
      <c r="I51" s="5">
        <f t="shared" si="5"/>
        <v>819581.7</v>
      </c>
      <c r="J51" s="5">
        <f t="shared" si="5"/>
        <v>674829.92999999993</v>
      </c>
      <c r="K51" s="5">
        <f t="shared" si="5"/>
        <v>1940440.2399999998</v>
      </c>
      <c r="L51" s="5">
        <f t="shared" si="5"/>
        <v>2434531.04</v>
      </c>
      <c r="M51" s="5">
        <f t="shared" si="5"/>
        <v>3281300.8200000003</v>
      </c>
      <c r="N51" s="5">
        <f t="shared" si="5"/>
        <v>4214269.9700000007</v>
      </c>
      <c r="O51" s="5">
        <f t="shared" si="5"/>
        <v>3512331.5299999993</v>
      </c>
      <c r="P51" s="5">
        <f t="shared" si="5"/>
        <v>2372762.2200000002</v>
      </c>
      <c r="Q51" s="5">
        <f t="shared" si="5"/>
        <v>298152.56</v>
      </c>
      <c r="R51" s="5">
        <f t="shared" si="5"/>
        <v>1249615.05</v>
      </c>
      <c r="S51" s="5">
        <f t="shared" si="5"/>
        <v>1817171.98</v>
      </c>
      <c r="T51" s="5">
        <f t="shared" si="5"/>
        <v>477166.83999999997</v>
      </c>
      <c r="U51" s="5">
        <f t="shared" si="5"/>
        <v>1087001.4600000002</v>
      </c>
      <c r="V51" s="5">
        <f t="shared" si="5"/>
        <v>2996455.55</v>
      </c>
      <c r="W51" s="5">
        <f t="shared" si="5"/>
        <v>1660164.35</v>
      </c>
      <c r="X51" s="5">
        <f t="shared" si="5"/>
        <v>2335451.3199999998</v>
      </c>
      <c r="Y51" s="5">
        <f t="shared" si="5"/>
        <v>1369857.7399999998</v>
      </c>
      <c r="Z51" s="5">
        <f t="shared" si="5"/>
        <v>438606.27</v>
      </c>
      <c r="AA51" s="5">
        <f t="shared" si="5"/>
        <v>4971119.09</v>
      </c>
      <c r="AB51" s="5">
        <f>SUM(AB39:AB50)</f>
        <v>47981353.81000001</v>
      </c>
    </row>
    <row r="52" spans="1:28" ht="15.75" thickTop="1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 x14ac:dyDescent="0.2">
      <c r="A53" s="3">
        <v>44197</v>
      </c>
      <c r="B53" s="4">
        <v>426654.28</v>
      </c>
      <c r="C53" s="4">
        <v>66947.090000000011</v>
      </c>
      <c r="D53" s="4">
        <v>55378.319999999992</v>
      </c>
      <c r="E53" s="4">
        <v>126420.48000000001</v>
      </c>
      <c r="F53" s="4">
        <v>54391.54</v>
      </c>
      <c r="G53" s="4">
        <v>46017.310000000005</v>
      </c>
      <c r="H53" s="4">
        <v>30521.359999999993</v>
      </c>
      <c r="I53" s="4">
        <v>60792.65</v>
      </c>
      <c r="J53" s="4">
        <v>52544.21</v>
      </c>
      <c r="K53" s="4">
        <v>154192.89000000001</v>
      </c>
      <c r="L53" s="4">
        <v>220184.78000000003</v>
      </c>
      <c r="M53" s="4">
        <v>289253.28999999998</v>
      </c>
      <c r="N53" s="4">
        <v>284588.13</v>
      </c>
      <c r="O53" s="4">
        <v>272110.76</v>
      </c>
      <c r="P53" s="4">
        <v>182677.32</v>
      </c>
      <c r="Q53" s="4">
        <v>20337.78</v>
      </c>
      <c r="R53" s="4">
        <v>94663.94</v>
      </c>
      <c r="S53" s="4">
        <v>138022.37</v>
      </c>
      <c r="T53" s="4">
        <v>38425.649999999994</v>
      </c>
      <c r="U53" s="4">
        <v>85251.15</v>
      </c>
      <c r="V53" s="4">
        <v>232023.62</v>
      </c>
      <c r="W53" s="4">
        <v>137573.85</v>
      </c>
      <c r="X53" s="4">
        <v>181587.95</v>
      </c>
      <c r="Y53" s="4">
        <v>104448.23999999999</v>
      </c>
      <c r="Z53" s="4">
        <v>33947.83</v>
      </c>
      <c r="AA53" s="4">
        <v>291289.58999999997</v>
      </c>
      <c r="AB53" s="4">
        <f>SUM(B53:AA53)</f>
        <v>3680246.38</v>
      </c>
    </row>
    <row r="54" spans="1:28" x14ac:dyDescent="0.2">
      <c r="A54" s="3">
        <v>44228</v>
      </c>
      <c r="B54" s="4">
        <v>309129.34999999998</v>
      </c>
      <c r="C54" s="4">
        <v>56261.93</v>
      </c>
      <c r="D54" s="4">
        <v>46074.29</v>
      </c>
      <c r="E54" s="4">
        <v>106264.4</v>
      </c>
      <c r="F54" s="4">
        <v>45648.909999999996</v>
      </c>
      <c r="G54" s="4">
        <v>38142.420000000006</v>
      </c>
      <c r="H54" s="4">
        <v>25090.82</v>
      </c>
      <c r="I54" s="4">
        <v>50076.57</v>
      </c>
      <c r="J54" s="4">
        <v>45489.84</v>
      </c>
      <c r="K54" s="4">
        <v>129576.27</v>
      </c>
      <c r="L54" s="4">
        <v>194850.15000000002</v>
      </c>
      <c r="M54" s="4">
        <v>236873.12</v>
      </c>
      <c r="N54" s="4">
        <v>248519.82</v>
      </c>
      <c r="O54" s="4">
        <v>234240.09</v>
      </c>
      <c r="P54" s="4">
        <v>154124.15</v>
      </c>
      <c r="Q54" s="4">
        <v>74001.849999999991</v>
      </c>
      <c r="R54" s="4">
        <v>79004.890000000014</v>
      </c>
      <c r="S54" s="4">
        <v>116581.13</v>
      </c>
      <c r="T54" s="4">
        <v>31640.09</v>
      </c>
      <c r="U54" s="4">
        <v>71453.95</v>
      </c>
      <c r="V54" s="4">
        <v>192941.39</v>
      </c>
      <c r="W54" s="4">
        <v>114901.3</v>
      </c>
      <c r="X54" s="4">
        <v>152858.89999999997</v>
      </c>
      <c r="Y54" s="4">
        <v>87521.12</v>
      </c>
      <c r="Z54" s="4">
        <v>29154.71</v>
      </c>
      <c r="AA54" s="4">
        <v>248289.87</v>
      </c>
      <c r="AB54" s="4">
        <f t="shared" ref="AB54:AB64" si="6">SUM(B54:AA54)</f>
        <v>3118711.33</v>
      </c>
    </row>
    <row r="55" spans="1:28" x14ac:dyDescent="0.2">
      <c r="A55" s="3">
        <v>44256</v>
      </c>
      <c r="B55" s="4">
        <v>335918.11</v>
      </c>
      <c r="C55" s="4">
        <v>91176.98</v>
      </c>
      <c r="D55" s="4">
        <v>64915.789999999994</v>
      </c>
      <c r="E55" s="4">
        <v>146920.82</v>
      </c>
      <c r="F55" s="4">
        <v>78921.239999999991</v>
      </c>
      <c r="G55" s="4">
        <v>52934.909999999996</v>
      </c>
      <c r="H55" s="4">
        <v>39336.11</v>
      </c>
      <c r="I55" s="4">
        <v>82762.450000000012</v>
      </c>
      <c r="J55" s="4">
        <v>61691.01999999999</v>
      </c>
      <c r="K55" s="4">
        <v>153591.93</v>
      </c>
      <c r="L55" s="4">
        <v>221341.91999999998</v>
      </c>
      <c r="M55" s="4">
        <v>397211.67000000004</v>
      </c>
      <c r="N55" s="4">
        <v>599928.39</v>
      </c>
      <c r="O55" s="4">
        <v>292551.57</v>
      </c>
      <c r="P55" s="4">
        <v>191711.37000000002</v>
      </c>
      <c r="Q55" s="4">
        <v>31784.920000000002</v>
      </c>
      <c r="R55" s="4">
        <v>129580.53</v>
      </c>
      <c r="S55" s="4">
        <v>178575.38999999996</v>
      </c>
      <c r="T55" s="4">
        <v>51730.659999999996</v>
      </c>
      <c r="U55" s="4">
        <v>123092.64</v>
      </c>
      <c r="V55" s="4">
        <v>265402.75</v>
      </c>
      <c r="W55" s="4">
        <v>158007.15000000002</v>
      </c>
      <c r="X55" s="4">
        <v>214961.90000000002</v>
      </c>
      <c r="Y55" s="4">
        <v>150259.23000000001</v>
      </c>
      <c r="Z55" s="4">
        <v>42841.77</v>
      </c>
      <c r="AA55" s="4">
        <v>660625.14000000013</v>
      </c>
      <c r="AB55" s="4">
        <f t="shared" si="6"/>
        <v>4817776.3599999994</v>
      </c>
    </row>
    <row r="56" spans="1:28" x14ac:dyDescent="0.2">
      <c r="A56" s="3">
        <v>44287</v>
      </c>
      <c r="B56" s="4">
        <v>373782.35</v>
      </c>
      <c r="C56" s="4">
        <v>63440.669999999984</v>
      </c>
      <c r="D56" s="4">
        <v>48110.33</v>
      </c>
      <c r="E56" s="4">
        <v>129033.68999999999</v>
      </c>
      <c r="F56" s="4">
        <v>48802.46</v>
      </c>
      <c r="G56" s="4">
        <v>37453.5</v>
      </c>
      <c r="H56" s="4">
        <v>29104.47</v>
      </c>
      <c r="I56" s="4">
        <v>50666.180000000008</v>
      </c>
      <c r="J56" s="4">
        <v>47584.49</v>
      </c>
      <c r="K56" s="4">
        <v>151556.88</v>
      </c>
      <c r="L56" s="4">
        <v>174631.03000000003</v>
      </c>
      <c r="M56" s="4">
        <v>258996.2</v>
      </c>
      <c r="N56" s="4">
        <v>263922.43</v>
      </c>
      <c r="O56" s="4">
        <v>225952.55</v>
      </c>
      <c r="P56" s="4">
        <v>162843.06</v>
      </c>
      <c r="Q56" s="4">
        <v>36287.42</v>
      </c>
      <c r="R56" s="4">
        <v>77957.77</v>
      </c>
      <c r="S56" s="4">
        <v>101149.33</v>
      </c>
      <c r="T56" s="4">
        <v>31039.54</v>
      </c>
      <c r="U56" s="4">
        <v>66050.759999999995</v>
      </c>
      <c r="V56" s="4">
        <v>200030.78000000003</v>
      </c>
      <c r="W56" s="4">
        <v>116807.45999999999</v>
      </c>
      <c r="X56" s="4">
        <v>173520.14</v>
      </c>
      <c r="Y56" s="4">
        <v>102201.19</v>
      </c>
      <c r="Z56" s="4">
        <v>31877.26</v>
      </c>
      <c r="AA56" s="4">
        <v>298972.78000000003</v>
      </c>
      <c r="AB56" s="4">
        <f t="shared" si="6"/>
        <v>3301774.7199999997</v>
      </c>
    </row>
    <row r="57" spans="1:28" x14ac:dyDescent="0.2">
      <c r="A57" s="3">
        <v>44317</v>
      </c>
      <c r="B57" s="4">
        <v>376312.85</v>
      </c>
      <c r="C57" s="4">
        <v>63693.649999999994</v>
      </c>
      <c r="D57" s="4">
        <v>48061.24</v>
      </c>
      <c r="E57" s="4">
        <v>127778.32999999999</v>
      </c>
      <c r="F57" s="4">
        <v>48090.13</v>
      </c>
      <c r="G57" s="4">
        <v>37584.32</v>
      </c>
      <c r="H57" s="4">
        <v>28802.559999999998</v>
      </c>
      <c r="I57" s="4">
        <v>50455.520000000004</v>
      </c>
      <c r="J57" s="4">
        <v>46674.97</v>
      </c>
      <c r="K57" s="4">
        <v>153567.46000000002</v>
      </c>
      <c r="L57" s="4">
        <v>171382.13</v>
      </c>
      <c r="M57" s="4">
        <v>265963.06</v>
      </c>
      <c r="N57" s="4">
        <v>264073.40000000002</v>
      </c>
      <c r="O57" s="4">
        <v>226484.09000000003</v>
      </c>
      <c r="P57" s="4">
        <v>173399.04000000001</v>
      </c>
      <c r="Q57" s="4">
        <v>35915.770000000004</v>
      </c>
      <c r="R57" s="4">
        <v>82108.679999999993</v>
      </c>
      <c r="S57" s="4">
        <v>100642.38</v>
      </c>
      <c r="T57" s="4">
        <v>31508.15</v>
      </c>
      <c r="U57" s="4">
        <v>72462.13</v>
      </c>
      <c r="V57" s="4">
        <v>198169.16999999998</v>
      </c>
      <c r="W57" s="4">
        <v>115425.93</v>
      </c>
      <c r="X57" s="4">
        <v>170861.2</v>
      </c>
      <c r="Y57" s="4">
        <v>100090.81</v>
      </c>
      <c r="Z57" s="4">
        <v>31048.710000000003</v>
      </c>
      <c r="AA57" s="4">
        <v>309463.60000000003</v>
      </c>
      <c r="AB57" s="4">
        <f t="shared" si="6"/>
        <v>3330019.28</v>
      </c>
    </row>
    <row r="58" spans="1:28" x14ac:dyDescent="0.2">
      <c r="A58" s="3">
        <v>44348</v>
      </c>
      <c r="B58" s="4">
        <v>253570.82</v>
      </c>
      <c r="C58" s="4">
        <v>43127.990000000005</v>
      </c>
      <c r="D58" s="4">
        <v>49530.06</v>
      </c>
      <c r="E58" s="4">
        <v>64983.789999999994</v>
      </c>
      <c r="F58" s="4">
        <v>49716.380000000005</v>
      </c>
      <c r="G58" s="4">
        <v>39398.269999999997</v>
      </c>
      <c r="H58" s="4">
        <v>19716.050000000003</v>
      </c>
      <c r="I58" s="4">
        <v>57598.420000000013</v>
      </c>
      <c r="J58" s="4">
        <v>25991.54</v>
      </c>
      <c r="K58" s="4">
        <v>122258.37</v>
      </c>
      <c r="L58" s="4">
        <v>190192.64000000001</v>
      </c>
      <c r="M58" s="4">
        <v>255381.77000000002</v>
      </c>
      <c r="N58" s="4">
        <v>343105.07999999996</v>
      </c>
      <c r="O58" s="4">
        <v>271875.64999999997</v>
      </c>
      <c r="P58" s="4">
        <v>115981.04000000001</v>
      </c>
      <c r="Q58" s="4">
        <v>-26923.159999999996</v>
      </c>
      <c r="R58" s="4">
        <v>76601.919999999998</v>
      </c>
      <c r="S58" s="4">
        <v>210306.69</v>
      </c>
      <c r="T58" s="4">
        <v>30872.42</v>
      </c>
      <c r="U58" s="4">
        <v>64167.700000000012</v>
      </c>
      <c r="V58" s="4">
        <v>191998.22999999998</v>
      </c>
      <c r="W58" s="4">
        <v>100913.66</v>
      </c>
      <c r="X58" s="4">
        <v>155682.59000000003</v>
      </c>
      <c r="Y58" s="4">
        <v>65418.130000000005</v>
      </c>
      <c r="Z58" s="4">
        <v>30646.060000000005</v>
      </c>
      <c r="AA58" s="4">
        <v>422529.64</v>
      </c>
      <c r="AB58" s="4">
        <f t="shared" si="6"/>
        <v>3224641.7500000005</v>
      </c>
    </row>
    <row r="59" spans="1:28" x14ac:dyDescent="0.2">
      <c r="A59" s="3">
        <v>44378</v>
      </c>
      <c r="B59" s="4">
        <v>326022.5</v>
      </c>
      <c r="C59" s="4">
        <v>49703.56</v>
      </c>
      <c r="D59" s="4">
        <v>41161.600000000006</v>
      </c>
      <c r="E59" s="4">
        <v>126632.39000000001</v>
      </c>
      <c r="F59" s="4">
        <v>38708.979999999996</v>
      </c>
      <c r="G59" s="4">
        <v>33126.9</v>
      </c>
      <c r="H59" s="4">
        <v>20857.099999999999</v>
      </c>
      <c r="I59" s="4">
        <v>48983.97</v>
      </c>
      <c r="J59" s="4">
        <v>38754.520000000004</v>
      </c>
      <c r="K59" s="4">
        <v>142658.04999999999</v>
      </c>
      <c r="L59" s="4">
        <v>158741.21000000002</v>
      </c>
      <c r="M59" s="4">
        <v>214977.19999999998</v>
      </c>
      <c r="N59" s="4">
        <v>225700.25</v>
      </c>
      <c r="O59" s="4">
        <v>196808.48000000004</v>
      </c>
      <c r="P59" s="4">
        <v>154468.06</v>
      </c>
      <c r="Q59" s="4">
        <v>25932.100000000002</v>
      </c>
      <c r="R59" s="4">
        <v>76819.040000000008</v>
      </c>
      <c r="S59" s="4">
        <v>92085.6</v>
      </c>
      <c r="T59" s="4">
        <v>31237.879999999997</v>
      </c>
      <c r="U59" s="4">
        <v>65382.539999999994</v>
      </c>
      <c r="V59" s="4">
        <v>173645.14999999997</v>
      </c>
      <c r="W59" s="4">
        <v>104175.08</v>
      </c>
      <c r="X59" s="4">
        <v>129813.12</v>
      </c>
      <c r="Y59" s="4">
        <v>80099.75</v>
      </c>
      <c r="Z59" s="4">
        <v>25224.409999999996</v>
      </c>
      <c r="AA59" s="4">
        <v>288779.89</v>
      </c>
      <c r="AB59" s="4">
        <f t="shared" si="6"/>
        <v>2910499.3300000005</v>
      </c>
    </row>
    <row r="60" spans="1:28" x14ac:dyDescent="0.2">
      <c r="A60" s="3">
        <v>44409</v>
      </c>
      <c r="B60" s="4">
        <v>298904.29000000004</v>
      </c>
      <c r="C60" s="4">
        <v>48268.22</v>
      </c>
      <c r="D60" s="4">
        <v>39435.499999999993</v>
      </c>
      <c r="E60" s="4">
        <v>124845.03</v>
      </c>
      <c r="F60" s="4">
        <v>37436.480000000003</v>
      </c>
      <c r="G60" s="4">
        <v>31883.829999999998</v>
      </c>
      <c r="H60" s="4">
        <v>20428.129999999997</v>
      </c>
      <c r="I60" s="4">
        <v>47819.13</v>
      </c>
      <c r="J60" s="4">
        <v>37919.65</v>
      </c>
      <c r="K60" s="4">
        <v>140645.53</v>
      </c>
      <c r="L60" s="4">
        <v>154303.66999999998</v>
      </c>
      <c r="M60" s="4">
        <v>225392.13</v>
      </c>
      <c r="N60" s="4">
        <v>224515.15000000002</v>
      </c>
      <c r="O60" s="4">
        <v>192214.33000000002</v>
      </c>
      <c r="P60" s="4">
        <v>153427.41999999998</v>
      </c>
      <c r="Q60" s="4">
        <v>83194.62</v>
      </c>
      <c r="R60" s="4">
        <v>76020.01999999999</v>
      </c>
      <c r="S60" s="4">
        <v>89172.62000000001</v>
      </c>
      <c r="T60" s="4">
        <v>29976</v>
      </c>
      <c r="U60" s="4">
        <v>64583.240000000005</v>
      </c>
      <c r="V60" s="4">
        <v>166909.30000000002</v>
      </c>
      <c r="W60" s="4">
        <v>99906.52</v>
      </c>
      <c r="X60" s="4">
        <v>123713.88</v>
      </c>
      <c r="Y60" s="4">
        <v>78020.47</v>
      </c>
      <c r="Z60" s="4">
        <v>32341.42</v>
      </c>
      <c r="AA60" s="4">
        <v>283787.27</v>
      </c>
      <c r="AB60" s="4">
        <f t="shared" si="6"/>
        <v>2905063.85</v>
      </c>
    </row>
    <row r="61" spans="1:28" x14ac:dyDescent="0.2">
      <c r="A61" s="3">
        <v>44440</v>
      </c>
      <c r="B61" s="4">
        <v>297950.54000000004</v>
      </c>
      <c r="C61" s="4">
        <v>60584.15</v>
      </c>
      <c r="D61" s="4">
        <v>51421.880000000005</v>
      </c>
      <c r="E61" s="4">
        <v>128214.45999999996</v>
      </c>
      <c r="F61" s="4">
        <v>60879.64</v>
      </c>
      <c r="G61" s="4">
        <v>45475.85</v>
      </c>
      <c r="H61" s="4">
        <v>22312.350000000002</v>
      </c>
      <c r="I61" s="4">
        <v>61818.240000000005</v>
      </c>
      <c r="J61" s="4">
        <v>39128.99</v>
      </c>
      <c r="K61" s="4">
        <v>126527.20999999999</v>
      </c>
      <c r="L61" s="4">
        <v>186256.91000000003</v>
      </c>
      <c r="M61" s="4">
        <v>240244.38</v>
      </c>
      <c r="N61" s="4">
        <v>368847.63</v>
      </c>
      <c r="O61" s="4">
        <v>187741.66</v>
      </c>
      <c r="P61" s="4">
        <v>141998.78000000003</v>
      </c>
      <c r="Q61" s="4">
        <v>22092.41</v>
      </c>
      <c r="R61" s="4">
        <v>80290.559999999998</v>
      </c>
      <c r="S61" s="4">
        <v>130016.78</v>
      </c>
      <c r="T61" s="4">
        <v>30482.199999999997</v>
      </c>
      <c r="U61" s="4">
        <v>63258.499999999985</v>
      </c>
      <c r="V61" s="4">
        <v>204804.53000000003</v>
      </c>
      <c r="W61" s="4">
        <v>118195.45999999999</v>
      </c>
      <c r="X61" s="4">
        <v>175019.81</v>
      </c>
      <c r="Y61" s="4">
        <v>103822.98999999999</v>
      </c>
      <c r="Z61" s="4">
        <v>37642.280000000006</v>
      </c>
      <c r="AA61" s="4">
        <v>475114.85000000009</v>
      </c>
      <c r="AB61" s="4">
        <f t="shared" si="6"/>
        <v>3460143.0399999991</v>
      </c>
    </row>
    <row r="62" spans="1:28" x14ac:dyDescent="0.2">
      <c r="A62" s="3">
        <v>44470</v>
      </c>
      <c r="B62" s="4">
        <v>298212.25</v>
      </c>
      <c r="C62" s="4">
        <v>48074.87</v>
      </c>
      <c r="D62" s="4">
        <v>37221.320000000007</v>
      </c>
      <c r="E62" s="4">
        <v>113239.70000000001</v>
      </c>
      <c r="F62" s="4">
        <v>39401.62999999999</v>
      </c>
      <c r="G62" s="4">
        <v>32998.129999999997</v>
      </c>
      <c r="H62" s="4">
        <v>21452.34</v>
      </c>
      <c r="I62" s="4">
        <v>46888.08</v>
      </c>
      <c r="J62" s="4">
        <v>38405.350000000006</v>
      </c>
      <c r="K62" s="4">
        <v>139242.79</v>
      </c>
      <c r="L62" s="4">
        <v>152809.45000000001</v>
      </c>
      <c r="M62" s="4">
        <v>199724.11000000002</v>
      </c>
      <c r="N62" s="4">
        <v>217208.43</v>
      </c>
      <c r="O62" s="4">
        <v>199459.59</v>
      </c>
      <c r="P62" s="4">
        <v>133993.74000000002</v>
      </c>
      <c r="Q62" s="4">
        <v>24686.5</v>
      </c>
      <c r="R62" s="4">
        <v>70750.09</v>
      </c>
      <c r="S62" s="4">
        <v>74679.350000000006</v>
      </c>
      <c r="T62" s="4">
        <v>26577.84</v>
      </c>
      <c r="U62" s="4">
        <v>58382.34</v>
      </c>
      <c r="V62" s="4">
        <v>159187.49</v>
      </c>
      <c r="W62" s="4">
        <v>101087.66999999998</v>
      </c>
      <c r="X62" s="4">
        <v>126153.54000000001</v>
      </c>
      <c r="Y62" s="4">
        <v>81842.439999999988</v>
      </c>
      <c r="Z62" s="4">
        <v>23901.989999999998</v>
      </c>
      <c r="AA62" s="4">
        <v>304151.66000000003</v>
      </c>
      <c r="AB62" s="4">
        <f t="shared" si="6"/>
        <v>2769732.6900000009</v>
      </c>
    </row>
    <row r="63" spans="1:28" x14ac:dyDescent="0.2">
      <c r="A63" s="3">
        <v>44501</v>
      </c>
      <c r="B63" s="4">
        <v>317761.41999999993</v>
      </c>
      <c r="C63" s="4">
        <v>49485.71</v>
      </c>
      <c r="D63" s="4">
        <v>38909.369999999995</v>
      </c>
      <c r="E63" s="4">
        <v>115225.82</v>
      </c>
      <c r="F63" s="4">
        <v>40810.759999999995</v>
      </c>
      <c r="G63" s="4">
        <v>34290.57</v>
      </c>
      <c r="H63" s="4">
        <v>22449.85</v>
      </c>
      <c r="I63" s="4">
        <v>48673.440000000002</v>
      </c>
      <c r="J63" s="4">
        <v>39018.050000000003</v>
      </c>
      <c r="K63" s="4">
        <v>142350.21000000002</v>
      </c>
      <c r="L63" s="4">
        <v>153518.94</v>
      </c>
      <c r="M63" s="4">
        <v>209910.28999999998</v>
      </c>
      <c r="N63" s="4">
        <v>214107.94</v>
      </c>
      <c r="O63" s="4">
        <v>194457.02</v>
      </c>
      <c r="P63" s="4">
        <v>136997.16</v>
      </c>
      <c r="Q63" s="4">
        <v>24475.510000000002</v>
      </c>
      <c r="R63" s="4">
        <v>72383.73000000001</v>
      </c>
      <c r="S63" s="4">
        <v>75853.72</v>
      </c>
      <c r="T63" s="4">
        <v>27667.14</v>
      </c>
      <c r="U63" s="4">
        <v>59580.950000000004</v>
      </c>
      <c r="V63" s="4">
        <v>165442</v>
      </c>
      <c r="W63" s="4">
        <v>100340.76000000001</v>
      </c>
      <c r="X63" s="4">
        <v>130894</v>
      </c>
      <c r="Y63" s="4">
        <v>83908.87000000001</v>
      </c>
      <c r="Z63" s="4">
        <v>24984.449999999997</v>
      </c>
      <c r="AA63" s="4">
        <v>311510.36</v>
      </c>
      <c r="AB63" s="4">
        <f t="shared" si="6"/>
        <v>2835008.0399999996</v>
      </c>
    </row>
    <row r="64" spans="1:28" x14ac:dyDescent="0.2">
      <c r="A64" s="3">
        <v>44531</v>
      </c>
      <c r="B64" s="4">
        <v>363896.77999999991</v>
      </c>
      <c r="C64" s="4">
        <v>74848.44</v>
      </c>
      <c r="D64" s="4">
        <v>65973.749999999985</v>
      </c>
      <c r="E64" s="4">
        <v>131674.93</v>
      </c>
      <c r="F64" s="4">
        <v>62025.96</v>
      </c>
      <c r="G64" s="4">
        <v>56842.610000000015</v>
      </c>
      <c r="H64" s="4">
        <v>28690.42</v>
      </c>
      <c r="I64" s="4">
        <v>72093.890000000014</v>
      </c>
      <c r="J64" s="4">
        <v>67112.63</v>
      </c>
      <c r="K64" s="4">
        <v>132280.28</v>
      </c>
      <c r="L64" s="4">
        <v>209796.15999999997</v>
      </c>
      <c r="M64" s="4">
        <v>298244.43</v>
      </c>
      <c r="N64" s="4">
        <v>409957.44000000006</v>
      </c>
      <c r="O64" s="4">
        <v>192052.38</v>
      </c>
      <c r="P64" s="4">
        <v>201694.66</v>
      </c>
      <c r="Q64" s="4">
        <v>18001.629999999997</v>
      </c>
      <c r="R64" s="4">
        <v>99180.56</v>
      </c>
      <c r="S64" s="4">
        <v>176028.38</v>
      </c>
      <c r="T64" s="4">
        <v>48893.46</v>
      </c>
      <c r="U64" s="4">
        <v>97684.87</v>
      </c>
      <c r="V64" s="4">
        <v>268375.87</v>
      </c>
      <c r="W64" s="4">
        <v>148688.22999999998</v>
      </c>
      <c r="X64" s="4">
        <v>225009.63999999998</v>
      </c>
      <c r="Y64" s="4">
        <v>91884.39</v>
      </c>
      <c r="Z64" s="4">
        <v>35728.559999999998</v>
      </c>
      <c r="AA64" s="4">
        <v>508742.47000000009</v>
      </c>
      <c r="AB64" s="4">
        <f t="shared" si="6"/>
        <v>4085402.8200000003</v>
      </c>
    </row>
    <row r="65" spans="1:28" ht="15.75" thickBot="1" x14ac:dyDescent="0.25">
      <c r="A65" s="1" t="s">
        <v>180</v>
      </c>
      <c r="B65" s="5">
        <f>SUM(B53:B64)</f>
        <v>3978115.5399999996</v>
      </c>
      <c r="C65" s="5">
        <f t="shared" ref="C65:AA65" si="7">SUM(C53:C64)</f>
        <v>715613.26</v>
      </c>
      <c r="D65" s="5">
        <f t="shared" si="7"/>
        <v>586193.44999999995</v>
      </c>
      <c r="E65" s="5">
        <f t="shared" si="7"/>
        <v>1441233.84</v>
      </c>
      <c r="F65" s="5">
        <f t="shared" si="7"/>
        <v>604834.10999999987</v>
      </c>
      <c r="G65" s="5">
        <f t="shared" si="7"/>
        <v>486148.62</v>
      </c>
      <c r="H65" s="5">
        <f t="shared" si="7"/>
        <v>308761.56</v>
      </c>
      <c r="I65" s="5">
        <f t="shared" si="7"/>
        <v>678628.53999999992</v>
      </c>
      <c r="J65" s="5">
        <f t="shared" si="7"/>
        <v>540315.26</v>
      </c>
      <c r="K65" s="5">
        <f t="shared" si="7"/>
        <v>1688447.8699999999</v>
      </c>
      <c r="L65" s="5">
        <f t="shared" si="7"/>
        <v>2188008.9899999998</v>
      </c>
      <c r="M65" s="5">
        <f t="shared" si="7"/>
        <v>3092171.65</v>
      </c>
      <c r="N65" s="5">
        <f t="shared" si="7"/>
        <v>3664474.09</v>
      </c>
      <c r="O65" s="5">
        <f t="shared" si="7"/>
        <v>2685948.17</v>
      </c>
      <c r="P65" s="5">
        <f t="shared" si="7"/>
        <v>1903315.7999999998</v>
      </c>
      <c r="Q65" s="5">
        <f t="shared" si="7"/>
        <v>369787.35</v>
      </c>
      <c r="R65" s="5">
        <f t="shared" si="7"/>
        <v>1015361.73</v>
      </c>
      <c r="S65" s="5">
        <f t="shared" si="7"/>
        <v>1483113.7400000002</v>
      </c>
      <c r="T65" s="5">
        <f t="shared" si="7"/>
        <v>410051.03000000009</v>
      </c>
      <c r="U65" s="5">
        <f t="shared" si="7"/>
        <v>891350.7699999999</v>
      </c>
      <c r="V65" s="5">
        <f t="shared" si="7"/>
        <v>2418930.2800000003</v>
      </c>
      <c r="W65" s="5">
        <f t="shared" si="7"/>
        <v>1416023.0699999998</v>
      </c>
      <c r="X65" s="5">
        <f t="shared" si="7"/>
        <v>1960076.6700000002</v>
      </c>
      <c r="Y65" s="5">
        <f t="shared" si="7"/>
        <v>1129517.6299999999</v>
      </c>
      <c r="Z65" s="5">
        <f t="shared" si="7"/>
        <v>379339.45</v>
      </c>
      <c r="AA65" s="5">
        <f t="shared" si="7"/>
        <v>4403257.12</v>
      </c>
      <c r="AB65" s="5">
        <f>SUM(AB53:AB64)</f>
        <v>40439019.590000004</v>
      </c>
    </row>
    <row r="66" spans="1:28" ht="15.75" thickTop="1" x14ac:dyDescent="0.2"/>
    <row r="67" spans="1:28" x14ac:dyDescent="0.2">
      <c r="A67" s="3">
        <v>43831</v>
      </c>
      <c r="B67" s="4">
        <v>482027.95000000007</v>
      </c>
      <c r="C67" s="4">
        <v>82528.200000000012</v>
      </c>
      <c r="D67" s="4">
        <v>60158.67</v>
      </c>
      <c r="E67" s="4">
        <v>170913.34999999998</v>
      </c>
      <c r="F67" s="4">
        <v>67388.72</v>
      </c>
      <c r="G67" s="4">
        <v>51739.590000000004</v>
      </c>
      <c r="H67" s="4">
        <v>35470.160000000003</v>
      </c>
      <c r="I67" s="4">
        <v>71340.06</v>
      </c>
      <c r="J67" s="4">
        <v>63974.58</v>
      </c>
      <c r="K67" s="4">
        <v>175560.13999999998</v>
      </c>
      <c r="L67" s="4">
        <v>225621.32</v>
      </c>
      <c r="M67" s="4">
        <v>287229.49</v>
      </c>
      <c r="N67" s="4">
        <v>314155.31000000006</v>
      </c>
      <c r="O67" s="4">
        <v>269980.44</v>
      </c>
      <c r="P67" s="4">
        <v>215694.78</v>
      </c>
      <c r="Q67" s="4">
        <v>47637.98</v>
      </c>
      <c r="R67" s="4">
        <v>101976</v>
      </c>
      <c r="S67" s="4">
        <v>90405.86</v>
      </c>
      <c r="T67" s="4">
        <v>43789.16</v>
      </c>
      <c r="U67" s="4">
        <v>98507.34</v>
      </c>
      <c r="V67" s="4">
        <v>275933.89</v>
      </c>
      <c r="W67" s="4">
        <v>162721.10999999999</v>
      </c>
      <c r="X67" s="4">
        <v>224494.13</v>
      </c>
      <c r="Y67" s="4">
        <v>112483.23000000001</v>
      </c>
      <c r="Z67" s="4">
        <v>39941.770000000004</v>
      </c>
      <c r="AA67" s="4">
        <v>357936.61</v>
      </c>
      <c r="AB67" s="4">
        <f>SUM(B67:AA67)</f>
        <v>4129609.84</v>
      </c>
    </row>
    <row r="68" spans="1:28" x14ac:dyDescent="0.2">
      <c r="A68" s="3">
        <v>43862</v>
      </c>
      <c r="B68" s="4">
        <v>386927.79999999993</v>
      </c>
      <c r="C68" s="4">
        <v>67362.240000000005</v>
      </c>
      <c r="D68" s="4">
        <v>49617.869999999995</v>
      </c>
      <c r="E68" s="4">
        <v>140122.96000000002</v>
      </c>
      <c r="F68" s="4">
        <v>55549.369999999995</v>
      </c>
      <c r="G68" s="4">
        <v>42308.88</v>
      </c>
      <c r="H68" s="4">
        <v>29163.88</v>
      </c>
      <c r="I68" s="4">
        <v>56937.8</v>
      </c>
      <c r="J68" s="4">
        <v>52672.800000000003</v>
      </c>
      <c r="K68" s="4">
        <v>144850.25</v>
      </c>
      <c r="L68" s="4">
        <v>185901.05</v>
      </c>
      <c r="M68" s="4">
        <v>241157.69</v>
      </c>
      <c r="N68" s="4">
        <v>248630.27999999997</v>
      </c>
      <c r="O68" s="4">
        <v>222419.57</v>
      </c>
      <c r="P68" s="4">
        <v>174986.59</v>
      </c>
      <c r="Q68" s="4">
        <v>41290.949999999997</v>
      </c>
      <c r="R68" s="4">
        <v>81675.670000000013</v>
      </c>
      <c r="S68" s="4">
        <v>75884.599999999991</v>
      </c>
      <c r="T68" s="4">
        <v>35589.68</v>
      </c>
      <c r="U68" s="4">
        <v>79944.98</v>
      </c>
      <c r="V68" s="4">
        <v>223937.04</v>
      </c>
      <c r="W68" s="4">
        <v>134336.88</v>
      </c>
      <c r="X68" s="4">
        <v>183095.05</v>
      </c>
      <c r="Y68" s="4">
        <v>89243.329999999987</v>
      </c>
      <c r="Z68" s="4">
        <v>32877.479999999996</v>
      </c>
      <c r="AA68" s="4">
        <v>284981.93999999994</v>
      </c>
      <c r="AB68" s="4">
        <f t="shared" ref="AB68:AB78" si="8">SUM(B68:AA68)</f>
        <v>3361466.63</v>
      </c>
    </row>
    <row r="69" spans="1:28" x14ac:dyDescent="0.2">
      <c r="A69" s="3">
        <v>43891</v>
      </c>
      <c r="B69" s="4">
        <v>274605.82999999996</v>
      </c>
      <c r="C69" s="4">
        <v>36446.51</v>
      </c>
      <c r="D69" s="4">
        <v>44661.86</v>
      </c>
      <c r="E69" s="4">
        <v>35303.540000000008</v>
      </c>
      <c r="F69" s="4">
        <v>25360.450000000004</v>
      </c>
      <c r="G69" s="4">
        <v>30393.540000000005</v>
      </c>
      <c r="H69" s="4">
        <v>20272.34</v>
      </c>
      <c r="I69" s="4">
        <v>41792.51</v>
      </c>
      <c r="J69" s="4">
        <v>26910.62</v>
      </c>
      <c r="K69" s="4">
        <v>114287.81</v>
      </c>
      <c r="L69" s="4">
        <v>194461.41999999998</v>
      </c>
      <c r="M69" s="4">
        <v>238537.95999999996</v>
      </c>
      <c r="N69" s="4">
        <v>410089.13</v>
      </c>
      <c r="O69" s="4">
        <v>280513.88</v>
      </c>
      <c r="P69" s="4">
        <v>116959.76999999999</v>
      </c>
      <c r="Q69" s="4">
        <v>-33921.060000000005</v>
      </c>
      <c r="R69" s="4">
        <v>70058.62</v>
      </c>
      <c r="S69" s="4">
        <v>209311.72000000003</v>
      </c>
      <c r="T69" s="4">
        <v>24918.410000000003</v>
      </c>
      <c r="U69" s="4">
        <v>50618.409999999996</v>
      </c>
      <c r="V69" s="4">
        <v>128004.39000000001</v>
      </c>
      <c r="W69" s="4">
        <v>77744.81</v>
      </c>
      <c r="X69" s="4">
        <v>83445.040000000008</v>
      </c>
      <c r="Y69" s="4">
        <v>93688.86</v>
      </c>
      <c r="Z69" s="4">
        <v>21088.059999999998</v>
      </c>
      <c r="AA69" s="4">
        <v>427398.68</v>
      </c>
      <c r="AB69" s="4">
        <f t="shared" si="8"/>
        <v>3042953.1100000008</v>
      </c>
    </row>
    <row r="70" spans="1:28" x14ac:dyDescent="0.2">
      <c r="A70" s="3">
        <v>43922</v>
      </c>
      <c r="B70" s="4">
        <v>227007.91999999998</v>
      </c>
      <c r="C70" s="4">
        <v>41758.46</v>
      </c>
      <c r="D70" s="4">
        <v>39415.42</v>
      </c>
      <c r="E70" s="4">
        <v>81124.12</v>
      </c>
      <c r="F70" s="4">
        <v>30205.74</v>
      </c>
      <c r="G70" s="4">
        <v>31187.78</v>
      </c>
      <c r="H70" s="4">
        <v>17966.310000000001</v>
      </c>
      <c r="I70" s="4">
        <v>46439.74</v>
      </c>
      <c r="J70" s="4">
        <v>29058.07</v>
      </c>
      <c r="K70" s="4">
        <v>91851.12</v>
      </c>
      <c r="L70" s="4">
        <v>113868.7</v>
      </c>
      <c r="M70" s="4">
        <v>146697.60000000001</v>
      </c>
      <c r="N70" s="4">
        <v>142197.01</v>
      </c>
      <c r="O70" s="4">
        <v>174020.95</v>
      </c>
      <c r="P70" s="4">
        <v>112205.20999999999</v>
      </c>
      <c r="Q70" s="4">
        <v>35120.43</v>
      </c>
      <c r="R70" s="4">
        <v>40901.100000000006</v>
      </c>
      <c r="S70" s="4">
        <v>55708.95</v>
      </c>
      <c r="T70" s="4">
        <v>21198.239999999998</v>
      </c>
      <c r="U70" s="4">
        <v>35909.379999999997</v>
      </c>
      <c r="V70" s="4">
        <v>133387.15</v>
      </c>
      <c r="W70" s="4">
        <v>77365.329999999987</v>
      </c>
      <c r="X70" s="4">
        <v>105915.95</v>
      </c>
      <c r="Y70" s="4">
        <v>72604.81</v>
      </c>
      <c r="Z70" s="4">
        <v>19401.18</v>
      </c>
      <c r="AA70" s="4">
        <v>161154.57</v>
      </c>
      <c r="AB70" s="4">
        <f t="shared" si="8"/>
        <v>2083671.2399999998</v>
      </c>
    </row>
    <row r="71" spans="1:28" x14ac:dyDescent="0.2">
      <c r="A71" s="3">
        <v>43952</v>
      </c>
      <c r="B71" s="4">
        <v>274031.53000000003</v>
      </c>
      <c r="C71" s="4">
        <v>57082.38</v>
      </c>
      <c r="D71" s="4">
        <v>31058.06</v>
      </c>
      <c r="E71" s="4">
        <v>73177.5</v>
      </c>
      <c r="F71" s="4">
        <v>88396.98</v>
      </c>
      <c r="G71" s="4">
        <v>50147.380000000005</v>
      </c>
      <c r="H71" s="4">
        <v>15497.17</v>
      </c>
      <c r="I71" s="4">
        <v>56104.469999999994</v>
      </c>
      <c r="J71" s="4">
        <v>26234.010000000002</v>
      </c>
      <c r="K71" s="4">
        <v>83042.13</v>
      </c>
      <c r="L71" s="4">
        <v>87579.24</v>
      </c>
      <c r="M71" s="4">
        <v>131465.33000000002</v>
      </c>
      <c r="N71" s="4">
        <v>127141.33</v>
      </c>
      <c r="O71" s="4">
        <v>127447.43</v>
      </c>
      <c r="P71" s="4">
        <v>135196.22</v>
      </c>
      <c r="Q71" s="4">
        <v>23727.09</v>
      </c>
      <c r="R71" s="4">
        <v>39155.43</v>
      </c>
      <c r="S71" s="4">
        <v>38069.979999999996</v>
      </c>
      <c r="T71" s="4">
        <v>68538.17</v>
      </c>
      <c r="U71" s="4">
        <v>31673.879999999997</v>
      </c>
      <c r="V71" s="4">
        <v>129708.59</v>
      </c>
      <c r="W71" s="4">
        <v>102245.43</v>
      </c>
      <c r="X71" s="4">
        <v>157936.1</v>
      </c>
      <c r="Y71" s="4">
        <v>143955.64000000001</v>
      </c>
      <c r="Z71" s="4">
        <v>29502.239999999998</v>
      </c>
      <c r="AA71" s="4">
        <v>143895.39000000001</v>
      </c>
      <c r="AB71" s="4">
        <f t="shared" si="8"/>
        <v>2272009.1000000006</v>
      </c>
    </row>
    <row r="72" spans="1:28" x14ac:dyDescent="0.2">
      <c r="A72" s="3">
        <v>43983</v>
      </c>
      <c r="B72" s="4">
        <v>562813.22</v>
      </c>
      <c r="C72" s="4">
        <v>77662.94</v>
      </c>
      <c r="D72" s="4">
        <v>68238.83</v>
      </c>
      <c r="E72" s="4">
        <v>149412.89000000001</v>
      </c>
      <c r="F72" s="4">
        <v>84330.41</v>
      </c>
      <c r="G72" s="4">
        <v>63873.320000000007</v>
      </c>
      <c r="H72" s="4">
        <v>41986.970000000008</v>
      </c>
      <c r="I72" s="4">
        <v>75936.639999999985</v>
      </c>
      <c r="J72" s="4">
        <v>57738.070000000007</v>
      </c>
      <c r="K72" s="4">
        <v>204298.27000000002</v>
      </c>
      <c r="L72" s="4">
        <v>328497.06000000006</v>
      </c>
      <c r="M72" s="4">
        <v>456997.9</v>
      </c>
      <c r="N72" s="4">
        <v>573227.43999999994</v>
      </c>
      <c r="O72" s="4">
        <v>356176.77</v>
      </c>
      <c r="P72" s="4">
        <v>254590.19</v>
      </c>
      <c r="Q72" s="4">
        <v>1611.8899999999994</v>
      </c>
      <c r="R72" s="4">
        <v>151227.07</v>
      </c>
      <c r="S72" s="4">
        <v>356642.13</v>
      </c>
      <c r="T72" s="4">
        <v>46904.140000000007</v>
      </c>
      <c r="U72" s="4">
        <v>122866.67000000001</v>
      </c>
      <c r="V72" s="4">
        <v>284477.36</v>
      </c>
      <c r="W72" s="4">
        <v>160186.66999999998</v>
      </c>
      <c r="X72" s="4">
        <v>242115.22000000003</v>
      </c>
      <c r="Y72" s="4">
        <v>122597.45999999999</v>
      </c>
      <c r="Z72" s="4">
        <v>41904.26</v>
      </c>
      <c r="AA72" s="4">
        <v>669707.42000000004</v>
      </c>
      <c r="AB72" s="4">
        <f t="shared" si="8"/>
        <v>5556021.209999999</v>
      </c>
    </row>
    <row r="73" spans="1:28" x14ac:dyDescent="0.2">
      <c r="A73" s="3">
        <v>44013</v>
      </c>
      <c r="B73" s="4">
        <v>261753.61000000004</v>
      </c>
      <c r="C73" s="4">
        <v>42580.380000000005</v>
      </c>
      <c r="D73" s="4">
        <v>31406.71</v>
      </c>
      <c r="E73" s="4">
        <v>94576.99</v>
      </c>
      <c r="F73" s="4">
        <v>32688.450000000004</v>
      </c>
      <c r="G73" s="4">
        <v>29001.48</v>
      </c>
      <c r="H73" s="4">
        <v>15812.529999999999</v>
      </c>
      <c r="I73" s="4">
        <v>42056.83</v>
      </c>
      <c r="J73" s="4">
        <v>30835.89</v>
      </c>
      <c r="K73" s="4">
        <v>110387.04999999999</v>
      </c>
      <c r="L73" s="4">
        <v>138541.76000000001</v>
      </c>
      <c r="M73" s="4">
        <v>175847.61</v>
      </c>
      <c r="N73" s="4">
        <v>208724.73</v>
      </c>
      <c r="O73" s="4">
        <v>175713.23</v>
      </c>
      <c r="P73" s="4">
        <v>119012.23999999999</v>
      </c>
      <c r="Q73" s="4">
        <v>19923.739999999998</v>
      </c>
      <c r="R73" s="4">
        <v>59629.73</v>
      </c>
      <c r="S73" s="4">
        <v>45263.7</v>
      </c>
      <c r="T73" s="4">
        <v>23696.01</v>
      </c>
      <c r="U73" s="4">
        <v>51638.75</v>
      </c>
      <c r="V73" s="4">
        <v>140027.52999999997</v>
      </c>
      <c r="W73" s="4">
        <v>80893.430000000008</v>
      </c>
      <c r="X73" s="4">
        <v>99060.330000000016</v>
      </c>
      <c r="Y73" s="4">
        <v>62442.71</v>
      </c>
      <c r="Z73" s="4">
        <v>18976.93</v>
      </c>
      <c r="AA73" s="4">
        <v>243480.26</v>
      </c>
      <c r="AB73" s="4">
        <f t="shared" si="8"/>
        <v>2353972.6100000003</v>
      </c>
    </row>
    <row r="74" spans="1:28" x14ac:dyDescent="0.2">
      <c r="A74" s="3">
        <v>44044</v>
      </c>
      <c r="B74" s="4">
        <v>270383.25</v>
      </c>
      <c r="C74" s="4">
        <v>40511.86</v>
      </c>
      <c r="D74" s="4">
        <v>33688.97</v>
      </c>
      <c r="E74" s="4">
        <v>99743.95</v>
      </c>
      <c r="F74" s="4">
        <v>30988.15</v>
      </c>
      <c r="G74" s="4">
        <v>27676.83</v>
      </c>
      <c r="H74" s="4">
        <v>16677.550000000003</v>
      </c>
      <c r="I74" s="4">
        <v>39645.410000000003</v>
      </c>
      <c r="J74" s="4">
        <v>31108.489999999998</v>
      </c>
      <c r="K74" s="4">
        <v>116488.51</v>
      </c>
      <c r="L74" s="4">
        <v>127257.73000000001</v>
      </c>
      <c r="M74" s="4">
        <v>170653.01999999996</v>
      </c>
      <c r="N74" s="4">
        <v>173067.47</v>
      </c>
      <c r="O74" s="4">
        <v>161283.38</v>
      </c>
      <c r="P74" s="4">
        <v>125984.93</v>
      </c>
      <c r="Q74" s="4">
        <v>20393.97</v>
      </c>
      <c r="R74" s="4">
        <v>62586.179999999993</v>
      </c>
      <c r="S74" s="4">
        <v>48152.47</v>
      </c>
      <c r="T74" s="4">
        <v>25442.57</v>
      </c>
      <c r="U74" s="4">
        <v>54572.179999999993</v>
      </c>
      <c r="V74" s="4">
        <v>140642.12000000002</v>
      </c>
      <c r="W74" s="4">
        <v>86314.360000000015</v>
      </c>
      <c r="X74" s="4">
        <v>98841.62999999999</v>
      </c>
      <c r="Y74" s="4">
        <v>65239.49</v>
      </c>
      <c r="Z74" s="4">
        <v>20204.239999999998</v>
      </c>
      <c r="AA74" s="4">
        <v>232086.60000000003</v>
      </c>
      <c r="AB74" s="4">
        <f t="shared" si="8"/>
        <v>2319635.3099999996</v>
      </c>
    </row>
    <row r="75" spans="1:28" x14ac:dyDescent="0.2">
      <c r="A75" s="3">
        <v>44075</v>
      </c>
      <c r="B75" s="4">
        <v>525181.71</v>
      </c>
      <c r="C75" s="4">
        <v>76037.17</v>
      </c>
      <c r="D75" s="4">
        <v>62633.17</v>
      </c>
      <c r="E75" s="4">
        <v>169189.34999999998</v>
      </c>
      <c r="F75" s="4">
        <v>75268.06</v>
      </c>
      <c r="G75" s="4">
        <v>55477.090000000004</v>
      </c>
      <c r="H75" s="4">
        <v>36384.019999999997</v>
      </c>
      <c r="I75" s="4">
        <v>76516.44</v>
      </c>
      <c r="J75" s="4">
        <v>50638.2</v>
      </c>
      <c r="K75" s="4">
        <v>208468.51999999996</v>
      </c>
      <c r="L75" s="4">
        <v>236082.94</v>
      </c>
      <c r="M75" s="4">
        <v>325751.28000000003</v>
      </c>
      <c r="N75" s="4">
        <v>490344.52999999997</v>
      </c>
      <c r="O75" s="4">
        <v>294907.13</v>
      </c>
      <c r="P75" s="4">
        <v>196642.61000000004</v>
      </c>
      <c r="Q75" s="4">
        <v>25129.010000000002</v>
      </c>
      <c r="R75" s="4">
        <v>106960.36</v>
      </c>
      <c r="S75" s="4">
        <v>320207.89</v>
      </c>
      <c r="T75" s="4">
        <v>43035.98</v>
      </c>
      <c r="U75" s="4">
        <v>95888.669999999984</v>
      </c>
      <c r="V75" s="4">
        <v>252073.16</v>
      </c>
      <c r="W75" s="4">
        <v>141399.56</v>
      </c>
      <c r="X75" s="4">
        <v>210828.63</v>
      </c>
      <c r="Y75" s="4">
        <v>142221.78</v>
      </c>
      <c r="Z75" s="4">
        <v>38249.320000000007</v>
      </c>
      <c r="AA75" s="4">
        <v>492092.63999999996</v>
      </c>
      <c r="AB75" s="4">
        <f t="shared" si="8"/>
        <v>4747609.22</v>
      </c>
    </row>
    <row r="76" spans="1:28" x14ac:dyDescent="0.2">
      <c r="A76" s="3">
        <v>44105</v>
      </c>
      <c r="B76" s="4">
        <v>271620.65999999997</v>
      </c>
      <c r="C76" s="4">
        <v>41827.300000000003</v>
      </c>
      <c r="D76" s="4">
        <v>31581.18</v>
      </c>
      <c r="E76" s="4">
        <v>93029.91</v>
      </c>
      <c r="F76" s="4">
        <v>33329.1</v>
      </c>
      <c r="G76" s="4">
        <v>33638.159999999996</v>
      </c>
      <c r="H76" s="4">
        <v>18745.46</v>
      </c>
      <c r="I76" s="4">
        <v>42945.130000000005</v>
      </c>
      <c r="J76" s="4">
        <v>30762.229999999996</v>
      </c>
      <c r="K76" s="4">
        <v>111875.26999999999</v>
      </c>
      <c r="L76" s="4">
        <v>142270.02999999997</v>
      </c>
      <c r="M76" s="4">
        <v>168861.96</v>
      </c>
      <c r="N76" s="4">
        <v>168136.2</v>
      </c>
      <c r="O76" s="4">
        <v>161293.31</v>
      </c>
      <c r="P76" s="4">
        <v>118411.87</v>
      </c>
      <c r="Q76" s="4">
        <v>76054.84</v>
      </c>
      <c r="R76" s="4">
        <v>59081.850000000006</v>
      </c>
      <c r="S76" s="4">
        <v>45320.520000000004</v>
      </c>
      <c r="T76" s="4">
        <v>23238.960000000003</v>
      </c>
      <c r="U76" s="4">
        <v>49181.03</v>
      </c>
      <c r="V76" s="4">
        <v>134769.06</v>
      </c>
      <c r="W76" s="4">
        <v>82172.490000000005</v>
      </c>
      <c r="X76" s="4">
        <v>105180.1</v>
      </c>
      <c r="Y76" s="4">
        <v>74818.12</v>
      </c>
      <c r="Z76" s="4">
        <v>19070.489999999998</v>
      </c>
      <c r="AA76" s="4">
        <v>208422.78</v>
      </c>
      <c r="AB76" s="4">
        <f t="shared" si="8"/>
        <v>2345638.0100000002</v>
      </c>
    </row>
    <row r="77" spans="1:28" x14ac:dyDescent="0.2">
      <c r="A77" s="3">
        <v>44136</v>
      </c>
      <c r="B77" s="4">
        <v>276444.75</v>
      </c>
      <c r="C77" s="4">
        <v>40179.849999999991</v>
      </c>
      <c r="D77" s="4">
        <v>31274.550000000003</v>
      </c>
      <c r="E77" s="4">
        <v>92080.69</v>
      </c>
      <c r="F77" s="4">
        <v>32344.54</v>
      </c>
      <c r="G77" s="4">
        <v>28915.550000000003</v>
      </c>
      <c r="H77" s="4">
        <v>18440.28</v>
      </c>
      <c r="I77" s="4">
        <v>41570.770000000004</v>
      </c>
      <c r="J77" s="4">
        <v>30350.080000000002</v>
      </c>
      <c r="K77" s="4">
        <v>110318.1</v>
      </c>
      <c r="L77" s="4">
        <v>130802.64000000001</v>
      </c>
      <c r="M77" s="4">
        <v>177325.53999999998</v>
      </c>
      <c r="N77" s="4">
        <v>176753.32999999996</v>
      </c>
      <c r="O77" s="4">
        <v>157148.12</v>
      </c>
      <c r="P77" s="4">
        <v>113502.76000000001</v>
      </c>
      <c r="Q77" s="4">
        <v>20612.5</v>
      </c>
      <c r="R77" s="4">
        <v>63621.89</v>
      </c>
      <c r="S77" s="4">
        <v>44535.260000000009</v>
      </c>
      <c r="T77" s="4">
        <v>23460.339999999997</v>
      </c>
      <c r="U77" s="4">
        <v>50640.46</v>
      </c>
      <c r="V77" s="4">
        <v>136133.66999999998</v>
      </c>
      <c r="W77" s="4">
        <v>81463.88</v>
      </c>
      <c r="X77" s="4">
        <v>104570.48000000001</v>
      </c>
      <c r="Y77" s="4">
        <v>72260.12</v>
      </c>
      <c r="Z77" s="4">
        <v>19029.55</v>
      </c>
      <c r="AA77" s="4">
        <v>222412.70999999996</v>
      </c>
      <c r="AB77" s="4">
        <f t="shared" si="8"/>
        <v>2296192.41</v>
      </c>
    </row>
    <row r="78" spans="1:28" x14ac:dyDescent="0.2">
      <c r="A78" s="3">
        <v>44166</v>
      </c>
      <c r="B78" s="4">
        <v>350484.07</v>
      </c>
      <c r="C78" s="4">
        <v>67255.09</v>
      </c>
      <c r="D78" s="4">
        <v>60052.679999999993</v>
      </c>
      <c r="E78" s="4">
        <v>157417.15</v>
      </c>
      <c r="F78" s="4">
        <v>65485.700000000004</v>
      </c>
      <c r="G78" s="4">
        <v>48771.71</v>
      </c>
      <c r="H78" s="4">
        <v>32034.299999999992</v>
      </c>
      <c r="I78" s="4">
        <v>53514.389999999985</v>
      </c>
      <c r="J78" s="4">
        <v>55093.56</v>
      </c>
      <c r="K78" s="4">
        <v>184596.19</v>
      </c>
      <c r="L78" s="4">
        <v>233050.59999999998</v>
      </c>
      <c r="M78" s="4">
        <v>314122.89</v>
      </c>
      <c r="N78" s="4">
        <v>427893.06</v>
      </c>
      <c r="O78" s="4">
        <v>308758.36</v>
      </c>
      <c r="P78" s="4">
        <v>184968.37</v>
      </c>
      <c r="Q78" s="4">
        <v>81316.88</v>
      </c>
      <c r="R78" s="4">
        <v>103770.91</v>
      </c>
      <c r="S78" s="4">
        <v>288058.05</v>
      </c>
      <c r="T78" s="4">
        <v>45511.77</v>
      </c>
      <c r="U78" s="4">
        <v>87258.58</v>
      </c>
      <c r="V78" s="4">
        <v>252322.89999999997</v>
      </c>
      <c r="W78" s="4">
        <v>143669.41999999998</v>
      </c>
      <c r="X78" s="4">
        <v>200120.95999999996</v>
      </c>
      <c r="Y78" s="4">
        <v>101742.1</v>
      </c>
      <c r="Z78" s="4">
        <v>43026.19</v>
      </c>
      <c r="AA78" s="4">
        <v>545918.06000000006</v>
      </c>
      <c r="AB78" s="4">
        <f t="shared" si="8"/>
        <v>4436213.9399999995</v>
      </c>
    </row>
    <row r="79" spans="1:28" ht="15.75" thickBot="1" x14ac:dyDescent="0.25">
      <c r="A79" s="1" t="s">
        <v>178</v>
      </c>
      <c r="B79" s="5">
        <f>SUM(B67:B78)</f>
        <v>4163282.3</v>
      </c>
      <c r="C79" s="5">
        <f t="shared" ref="C79:AA79" si="9">SUM(C67:C78)</f>
        <v>671232.37999999989</v>
      </c>
      <c r="D79" s="5">
        <f t="shared" si="9"/>
        <v>543787.97</v>
      </c>
      <c r="E79" s="5">
        <f t="shared" si="9"/>
        <v>1356092.3999999997</v>
      </c>
      <c r="F79" s="5">
        <f t="shared" si="9"/>
        <v>621335.67000000004</v>
      </c>
      <c r="G79" s="5">
        <f t="shared" si="9"/>
        <v>493131.31</v>
      </c>
      <c r="H79" s="5">
        <f t="shared" si="9"/>
        <v>298450.97000000003</v>
      </c>
      <c r="I79" s="5">
        <f t="shared" si="9"/>
        <v>644800.19000000006</v>
      </c>
      <c r="J79" s="5">
        <f t="shared" si="9"/>
        <v>485376.60000000003</v>
      </c>
      <c r="K79" s="5">
        <f t="shared" si="9"/>
        <v>1656023.36</v>
      </c>
      <c r="L79" s="5">
        <f t="shared" si="9"/>
        <v>2143934.4900000002</v>
      </c>
      <c r="M79" s="5">
        <f t="shared" si="9"/>
        <v>2834648.27</v>
      </c>
      <c r="N79" s="5">
        <f t="shared" si="9"/>
        <v>3460359.8200000003</v>
      </c>
      <c r="O79" s="5">
        <f t="shared" si="9"/>
        <v>2689662.57</v>
      </c>
      <c r="P79" s="5">
        <f t="shared" si="9"/>
        <v>1868155.54</v>
      </c>
      <c r="Q79" s="5">
        <f t="shared" si="9"/>
        <v>358898.22</v>
      </c>
      <c r="R79" s="5">
        <f t="shared" si="9"/>
        <v>940644.81</v>
      </c>
      <c r="S79" s="5">
        <f t="shared" si="9"/>
        <v>1617561.13</v>
      </c>
      <c r="T79" s="5">
        <f t="shared" si="9"/>
        <v>425323.43000000005</v>
      </c>
      <c r="U79" s="5">
        <f t="shared" si="9"/>
        <v>808700.33</v>
      </c>
      <c r="V79" s="5">
        <f t="shared" si="9"/>
        <v>2231416.86</v>
      </c>
      <c r="W79" s="5">
        <f t="shared" si="9"/>
        <v>1330513.3700000001</v>
      </c>
      <c r="X79" s="5">
        <f t="shared" si="9"/>
        <v>1815603.62</v>
      </c>
      <c r="Y79" s="5">
        <f t="shared" si="9"/>
        <v>1153297.6499999999</v>
      </c>
      <c r="Z79" s="5">
        <f t="shared" si="9"/>
        <v>343271.70999999996</v>
      </c>
      <c r="AA79" s="5">
        <f t="shared" si="9"/>
        <v>3989487.66</v>
      </c>
      <c r="AB79" s="5">
        <f>SUM(AB67:AB78)</f>
        <v>38944992.629999995</v>
      </c>
    </row>
    <row r="80" spans="1:28" ht="15.75" thickTop="1" x14ac:dyDescent="0.2"/>
    <row r="81" spans="1:28" x14ac:dyDescent="0.2">
      <c r="A81" s="3">
        <v>43466</v>
      </c>
      <c r="B81" s="4">
        <v>405520.01999999996</v>
      </c>
      <c r="C81" s="4">
        <v>80563.179999999993</v>
      </c>
      <c r="D81" s="4">
        <v>54251.740000000005</v>
      </c>
      <c r="E81" s="4">
        <v>161810.75</v>
      </c>
      <c r="F81" s="4">
        <v>65538.850000000006</v>
      </c>
      <c r="G81" s="4">
        <v>49625.070000000007</v>
      </c>
      <c r="H81" s="4">
        <v>31082.620000000003</v>
      </c>
      <c r="I81" s="4">
        <v>77043.049999999988</v>
      </c>
      <c r="J81" s="4">
        <v>62816.469999999994</v>
      </c>
      <c r="K81" s="4">
        <v>166974.5</v>
      </c>
      <c r="L81" s="4">
        <v>229775.87</v>
      </c>
      <c r="M81" s="4">
        <v>297846.84999999998</v>
      </c>
      <c r="N81" s="4">
        <v>298753.96999999997</v>
      </c>
      <c r="O81" s="4">
        <v>236436.93</v>
      </c>
      <c r="P81" s="4">
        <v>211198.77</v>
      </c>
      <c r="Q81" s="4">
        <v>35072.42</v>
      </c>
      <c r="R81" s="4">
        <v>102831.42000000001</v>
      </c>
      <c r="S81" s="4"/>
      <c r="T81" s="4">
        <v>45205.270000000004</v>
      </c>
      <c r="U81" s="4">
        <v>95899.290000000008</v>
      </c>
      <c r="V81" s="4">
        <v>269803.12</v>
      </c>
      <c r="W81" s="4">
        <v>161488.41999999998</v>
      </c>
      <c r="X81" s="4">
        <v>215437.34999999998</v>
      </c>
      <c r="Y81" s="4">
        <v>131243.33000000002</v>
      </c>
      <c r="Z81" s="4">
        <v>39423.429999999993</v>
      </c>
      <c r="AA81" s="4">
        <v>304873.56</v>
      </c>
      <c r="AB81" s="4">
        <f>SUM(B81:AA81)</f>
        <v>3830516.25</v>
      </c>
    </row>
    <row r="82" spans="1:28" x14ac:dyDescent="0.2">
      <c r="A82" s="3">
        <v>43497</v>
      </c>
      <c r="B82" s="4">
        <v>335900.76</v>
      </c>
      <c r="C82" s="4">
        <v>67347.390000000014</v>
      </c>
      <c r="D82" s="4">
        <v>42426.479999999996</v>
      </c>
      <c r="E82" s="4">
        <v>131394.79</v>
      </c>
      <c r="F82" s="4">
        <v>53628.12</v>
      </c>
      <c r="G82" s="4">
        <v>41235.61</v>
      </c>
      <c r="H82" s="4">
        <v>26316.870000000003</v>
      </c>
      <c r="I82" s="4">
        <v>60049.36</v>
      </c>
      <c r="J82" s="4">
        <v>50254.67</v>
      </c>
      <c r="K82" s="4">
        <v>133772.12</v>
      </c>
      <c r="L82" s="4">
        <v>197008.51</v>
      </c>
      <c r="M82" s="4">
        <v>233087.51</v>
      </c>
      <c r="N82" s="4">
        <v>243975.72</v>
      </c>
      <c r="O82" s="4">
        <v>184388.26</v>
      </c>
      <c r="P82" s="4">
        <v>169902.17</v>
      </c>
      <c r="Q82" s="4">
        <v>39459.160000000003</v>
      </c>
      <c r="R82" s="4">
        <v>86302.549999999988</v>
      </c>
      <c r="S82" s="4"/>
      <c r="T82" s="4">
        <v>36770.53</v>
      </c>
      <c r="U82" s="4">
        <v>72108.25</v>
      </c>
      <c r="V82" s="4">
        <v>212967.88</v>
      </c>
      <c r="W82" s="4">
        <v>130540.67000000001</v>
      </c>
      <c r="X82" s="4">
        <v>175827.44</v>
      </c>
      <c r="Y82" s="4">
        <v>101797.82</v>
      </c>
      <c r="Z82" s="4">
        <v>31715.27</v>
      </c>
      <c r="AA82" s="4">
        <v>263774.07</v>
      </c>
      <c r="AB82" s="4">
        <f t="shared" ref="AB82:AB92" si="10">SUM(B82:AA82)</f>
        <v>3121951.9799999995</v>
      </c>
    </row>
    <row r="83" spans="1:28" x14ac:dyDescent="0.2">
      <c r="A83" s="3">
        <v>43525</v>
      </c>
      <c r="B83" s="4">
        <v>389989.26</v>
      </c>
      <c r="C83" s="4">
        <v>51228.959999999999</v>
      </c>
      <c r="D83" s="4">
        <v>58947.44000000001</v>
      </c>
      <c r="E83" s="4">
        <v>131122.26</v>
      </c>
      <c r="F83" s="4">
        <v>41279.43</v>
      </c>
      <c r="G83" s="4">
        <v>31906.76</v>
      </c>
      <c r="H83" s="4">
        <v>34582.21</v>
      </c>
      <c r="I83" s="4">
        <v>31424.270000000004</v>
      </c>
      <c r="J83" s="4">
        <v>38421.25</v>
      </c>
      <c r="K83" s="4">
        <v>129523.23000000001</v>
      </c>
      <c r="L83" s="4">
        <v>126178.22000000002</v>
      </c>
      <c r="M83" s="4">
        <v>201205.95</v>
      </c>
      <c r="N83" s="4">
        <v>221716.77</v>
      </c>
      <c r="O83" s="4">
        <v>270215.27</v>
      </c>
      <c r="P83" s="4">
        <v>124842.20999999999</v>
      </c>
      <c r="Q83" s="4">
        <v>24338.370000000003</v>
      </c>
      <c r="R83" s="4">
        <v>67188.080000000016</v>
      </c>
      <c r="S83" s="4"/>
      <c r="T83" s="4">
        <v>20110.13</v>
      </c>
      <c r="U83" s="4">
        <v>81427.8</v>
      </c>
      <c r="V83" s="4">
        <v>154041.58000000002</v>
      </c>
      <c r="W83" s="4">
        <v>86993.670000000013</v>
      </c>
      <c r="X83" s="4">
        <v>140526.91</v>
      </c>
      <c r="Y83" s="4">
        <v>29320.210000000006</v>
      </c>
      <c r="Z83" s="4">
        <v>23204.739999999998</v>
      </c>
      <c r="AA83" s="4">
        <v>236319.14</v>
      </c>
      <c r="AB83" s="4">
        <f t="shared" si="10"/>
        <v>2746054.1200000006</v>
      </c>
    </row>
    <row r="84" spans="1:28" x14ac:dyDescent="0.2">
      <c r="A84" s="3">
        <v>43556</v>
      </c>
      <c r="B84" s="4">
        <v>380612.69000000006</v>
      </c>
      <c r="C84" s="4">
        <v>57218.5</v>
      </c>
      <c r="D84" s="4">
        <v>45568.149999999994</v>
      </c>
      <c r="E84" s="4">
        <v>121112.94</v>
      </c>
      <c r="F84" s="4">
        <v>43443.78</v>
      </c>
      <c r="G84" s="4">
        <v>34401.120000000003</v>
      </c>
      <c r="H84" s="4">
        <v>25267.18</v>
      </c>
      <c r="I84" s="4">
        <v>66992.430000000008</v>
      </c>
      <c r="J84" s="4">
        <v>45845.75</v>
      </c>
      <c r="K84" s="4">
        <v>142320.14000000001</v>
      </c>
      <c r="L84" s="4">
        <v>159925.91999999998</v>
      </c>
      <c r="M84" s="4">
        <v>240396.21</v>
      </c>
      <c r="N84" s="4">
        <v>298913.36</v>
      </c>
      <c r="O84" s="4">
        <v>188184.09000000003</v>
      </c>
      <c r="P84" s="4">
        <v>152586.45000000001</v>
      </c>
      <c r="Q84" s="4">
        <v>34608.450000000004</v>
      </c>
      <c r="R84" s="4">
        <v>73428.040000000008</v>
      </c>
      <c r="S84" s="4"/>
      <c r="T84" s="4">
        <v>29023.93</v>
      </c>
      <c r="U84" s="4">
        <v>71637.489999999991</v>
      </c>
      <c r="V84" s="4">
        <v>194884.68</v>
      </c>
      <c r="W84" s="4">
        <v>112623.75</v>
      </c>
      <c r="X84" s="4">
        <v>159153</v>
      </c>
      <c r="Y84" s="4">
        <v>94778.5</v>
      </c>
      <c r="Z84" s="4">
        <v>29316.87</v>
      </c>
      <c r="AA84" s="4">
        <v>296880.70999999996</v>
      </c>
      <c r="AB84" s="4">
        <f t="shared" si="10"/>
        <v>3099124.1300000004</v>
      </c>
    </row>
    <row r="85" spans="1:28" x14ac:dyDescent="0.2">
      <c r="A85" s="3">
        <v>43586</v>
      </c>
      <c r="B85" s="4">
        <v>327461.33</v>
      </c>
      <c r="C85" s="4">
        <v>65899.62</v>
      </c>
      <c r="D85" s="4">
        <v>77874.37</v>
      </c>
      <c r="E85" s="4">
        <v>172351.4</v>
      </c>
      <c r="F85" s="4">
        <v>89846.62</v>
      </c>
      <c r="G85" s="4">
        <v>61714.9</v>
      </c>
      <c r="H85" s="4">
        <v>24775.11</v>
      </c>
      <c r="I85" s="4">
        <v>56990.28</v>
      </c>
      <c r="J85" s="4">
        <v>74583.109999999986</v>
      </c>
      <c r="K85" s="4">
        <v>204067.86</v>
      </c>
      <c r="L85" s="4">
        <v>235205.25</v>
      </c>
      <c r="M85" s="4">
        <v>225232.22999999998</v>
      </c>
      <c r="N85" s="4">
        <v>211848.62</v>
      </c>
      <c r="O85" s="4">
        <v>260092.71000000002</v>
      </c>
      <c r="P85" s="4">
        <v>262833.38</v>
      </c>
      <c r="Q85" s="4">
        <v>33527.06</v>
      </c>
      <c r="R85" s="4">
        <v>151542.39999999999</v>
      </c>
      <c r="S85" s="4"/>
      <c r="T85" s="4">
        <v>55716.77</v>
      </c>
      <c r="U85" s="4">
        <v>63610.180000000008</v>
      </c>
      <c r="V85" s="4">
        <v>352274.8</v>
      </c>
      <c r="W85" s="4">
        <v>183045.09999999998</v>
      </c>
      <c r="X85" s="4">
        <v>206168.26</v>
      </c>
      <c r="Y85" s="4">
        <v>114016.18</v>
      </c>
      <c r="Z85" s="4">
        <v>56032.900000000009</v>
      </c>
      <c r="AA85" s="4">
        <v>256893.42</v>
      </c>
      <c r="AB85" s="4">
        <f t="shared" si="10"/>
        <v>3823603.8600000003</v>
      </c>
    </row>
    <row r="86" spans="1:28" x14ac:dyDescent="0.2">
      <c r="A86" s="3">
        <v>43617</v>
      </c>
      <c r="B86" s="4">
        <v>280532.93</v>
      </c>
      <c r="C86" s="4">
        <v>60498.139999999985</v>
      </c>
      <c r="D86" s="4">
        <v>40784.300000000003</v>
      </c>
      <c r="E86" s="4">
        <v>95059.860000000015</v>
      </c>
      <c r="F86" s="4">
        <v>37316.649999999994</v>
      </c>
      <c r="G86" s="4">
        <v>24986.780000000002</v>
      </c>
      <c r="H86" s="4">
        <v>21470.589999999997</v>
      </c>
      <c r="I86" s="4">
        <v>48228.57</v>
      </c>
      <c r="J86" s="4">
        <v>40502.53</v>
      </c>
      <c r="K86" s="4">
        <v>94670.920000000013</v>
      </c>
      <c r="L86" s="4">
        <v>106937.5</v>
      </c>
      <c r="M86" s="4">
        <v>156033.21000000002</v>
      </c>
      <c r="N86" s="4">
        <v>137700.13999999998</v>
      </c>
      <c r="O86" s="4">
        <v>241474.83999999997</v>
      </c>
      <c r="P86" s="4">
        <v>163701</v>
      </c>
      <c r="Q86" s="4">
        <v>-24676.09</v>
      </c>
      <c r="R86" s="4">
        <v>37406.5</v>
      </c>
      <c r="S86" s="4"/>
      <c r="T86" s="4">
        <v>27528.959999999999</v>
      </c>
      <c r="U86" s="4">
        <v>17184.560000000005</v>
      </c>
      <c r="V86" s="4">
        <v>167440.10000000003</v>
      </c>
      <c r="W86" s="4">
        <v>99616.639999999999</v>
      </c>
      <c r="X86" s="4">
        <v>116042.06</v>
      </c>
      <c r="Y86" s="4">
        <v>107525.56</v>
      </c>
      <c r="Z86" s="4">
        <v>26073.86</v>
      </c>
      <c r="AA86" s="4">
        <v>156186.12</v>
      </c>
      <c r="AB86" s="4">
        <f t="shared" si="10"/>
        <v>2280226.23</v>
      </c>
    </row>
    <row r="87" spans="1:28" x14ac:dyDescent="0.2">
      <c r="A87" s="3">
        <v>43647</v>
      </c>
      <c r="B87" s="4">
        <v>254080.41000000003</v>
      </c>
      <c r="C87" s="4">
        <v>41240.720000000001</v>
      </c>
      <c r="D87" s="4">
        <v>32890.94</v>
      </c>
      <c r="E87" s="4">
        <v>118232.07999999999</v>
      </c>
      <c r="F87" s="4">
        <v>33321.530000000006</v>
      </c>
      <c r="G87" s="4">
        <v>28457.449999999997</v>
      </c>
      <c r="H87" s="4">
        <v>17781.37</v>
      </c>
      <c r="I87" s="4">
        <v>44329.919999999998</v>
      </c>
      <c r="J87" s="4">
        <v>38504.29</v>
      </c>
      <c r="K87" s="4">
        <v>119651.75</v>
      </c>
      <c r="L87" s="4">
        <v>127891.81</v>
      </c>
      <c r="M87" s="4">
        <v>190356.34</v>
      </c>
      <c r="N87" s="4">
        <v>161520.90000000002</v>
      </c>
      <c r="O87" s="4">
        <v>170432.50999999998</v>
      </c>
      <c r="P87" s="4">
        <v>132138.31</v>
      </c>
      <c r="Q87" s="4">
        <v>21446.620000000003</v>
      </c>
      <c r="R87" s="4">
        <v>70167.28</v>
      </c>
      <c r="S87" s="4"/>
      <c r="T87" s="4">
        <v>28038.030000000002</v>
      </c>
      <c r="U87" s="4">
        <v>52670.540000000008</v>
      </c>
      <c r="V87" s="4">
        <v>140285.85999999999</v>
      </c>
      <c r="W87" s="4">
        <v>86193.68</v>
      </c>
      <c r="X87" s="4">
        <v>118738.31999999999</v>
      </c>
      <c r="Y87" s="4">
        <v>61177.56</v>
      </c>
      <c r="Z87" s="4">
        <v>19672.599999999999</v>
      </c>
      <c r="AA87" s="4">
        <v>202840.05000000002</v>
      </c>
      <c r="AB87" s="4">
        <f t="shared" si="10"/>
        <v>2312060.8700000006</v>
      </c>
    </row>
    <row r="88" spans="1:28" x14ac:dyDescent="0.2">
      <c r="A88" s="3">
        <v>43678</v>
      </c>
      <c r="B88" s="4">
        <v>377892.31</v>
      </c>
      <c r="C88" s="4">
        <v>41478.47</v>
      </c>
      <c r="D88" s="4">
        <v>34576.399999999994</v>
      </c>
      <c r="E88" s="4">
        <v>121446.65999999999</v>
      </c>
      <c r="F88" s="4">
        <v>31033.17</v>
      </c>
      <c r="G88" s="4">
        <v>26578.86</v>
      </c>
      <c r="H88" s="4">
        <v>17901.82</v>
      </c>
      <c r="I88" s="4">
        <v>42969.79</v>
      </c>
      <c r="J88" s="4">
        <v>35016.300000000003</v>
      </c>
      <c r="K88" s="4">
        <v>124614.43</v>
      </c>
      <c r="L88" s="4">
        <v>128199.99999999999</v>
      </c>
      <c r="M88" s="4">
        <v>188433.31</v>
      </c>
      <c r="N88" s="4">
        <v>168830.47999999998</v>
      </c>
      <c r="O88" s="4">
        <v>171076.38</v>
      </c>
      <c r="P88" s="4">
        <v>134653.04999999999</v>
      </c>
      <c r="Q88" s="4">
        <v>21940.1</v>
      </c>
      <c r="R88" s="4">
        <v>67555.64</v>
      </c>
      <c r="S88" s="4"/>
      <c r="T88" s="4">
        <v>28752.66</v>
      </c>
      <c r="U88" s="4">
        <v>53531.090000000004</v>
      </c>
      <c r="V88" s="4">
        <v>146763.64000000001</v>
      </c>
      <c r="W88" s="4">
        <v>88496.6</v>
      </c>
      <c r="X88" s="4">
        <v>108004.17</v>
      </c>
      <c r="Y88" s="4">
        <v>63748.030000000006</v>
      </c>
      <c r="Z88" s="4">
        <v>20958.97</v>
      </c>
      <c r="AA88" s="4">
        <v>229776.36000000002</v>
      </c>
      <c r="AB88" s="4">
        <f t="shared" si="10"/>
        <v>2474228.6900000004</v>
      </c>
    </row>
    <row r="89" spans="1:28" x14ac:dyDescent="0.2">
      <c r="A89" s="3">
        <v>43709</v>
      </c>
      <c r="B89" s="4">
        <v>188704</v>
      </c>
      <c r="C89" s="4">
        <v>41704.67</v>
      </c>
      <c r="D89" s="4">
        <v>19883.59</v>
      </c>
      <c r="E89" s="4">
        <v>92497.26</v>
      </c>
      <c r="F89" s="4">
        <v>26278.730000000003</v>
      </c>
      <c r="G89" s="4">
        <v>33284.980000000003</v>
      </c>
      <c r="H89" s="4">
        <v>21081.47</v>
      </c>
      <c r="I89" s="4">
        <v>25184.81</v>
      </c>
      <c r="J89" s="4">
        <v>23360.57</v>
      </c>
      <c r="K89" s="4">
        <v>142797.31</v>
      </c>
      <c r="L89" s="4">
        <v>220148.49000000002</v>
      </c>
      <c r="M89" s="4">
        <v>225141.95999999996</v>
      </c>
      <c r="N89" s="4">
        <v>465993.53999999992</v>
      </c>
      <c r="O89" s="4">
        <v>214700.91999999998</v>
      </c>
      <c r="P89" s="4">
        <v>99515.81</v>
      </c>
      <c r="Q89" s="4">
        <v>4823.3</v>
      </c>
      <c r="R89" s="4">
        <v>72180.87</v>
      </c>
      <c r="S89" s="4"/>
      <c r="T89" s="4">
        <v>11815.43</v>
      </c>
      <c r="U89" s="4">
        <v>74350.23000000001</v>
      </c>
      <c r="V89" s="4">
        <v>88812.959999999992</v>
      </c>
      <c r="W89" s="4">
        <v>65286.45</v>
      </c>
      <c r="X89" s="4">
        <v>66166.559999999998</v>
      </c>
      <c r="Y89" s="4">
        <v>51813.649999999994</v>
      </c>
      <c r="Z89" s="4">
        <v>12122.619999999999</v>
      </c>
      <c r="AA89" s="4">
        <v>543323.62</v>
      </c>
      <c r="AB89" s="4">
        <f t="shared" si="10"/>
        <v>2830973.8</v>
      </c>
    </row>
    <row r="90" spans="1:28" x14ac:dyDescent="0.2">
      <c r="A90" s="3">
        <v>43739</v>
      </c>
      <c r="B90" s="4">
        <v>338628.47</v>
      </c>
      <c r="C90" s="4">
        <v>53187.29</v>
      </c>
      <c r="D90" s="4">
        <v>45502.290000000008</v>
      </c>
      <c r="E90" s="4">
        <v>108184.18</v>
      </c>
      <c r="F90" s="4">
        <v>46061.55</v>
      </c>
      <c r="G90" s="4">
        <v>36925.199999999997</v>
      </c>
      <c r="H90" s="4">
        <v>18449.86</v>
      </c>
      <c r="I90" s="4">
        <v>55858.8</v>
      </c>
      <c r="J90" s="4">
        <v>45615.659999999996</v>
      </c>
      <c r="K90" s="4">
        <v>137417.98000000001</v>
      </c>
      <c r="L90" s="4">
        <v>118991.13</v>
      </c>
      <c r="M90" s="4">
        <v>176109.12</v>
      </c>
      <c r="N90" s="4">
        <v>162971.07999999996</v>
      </c>
      <c r="O90" s="4">
        <v>166123.18</v>
      </c>
      <c r="P90" s="4">
        <v>158414.63</v>
      </c>
      <c r="Q90" s="4">
        <v>25752.89</v>
      </c>
      <c r="R90" s="4">
        <v>61362.3</v>
      </c>
      <c r="S90" s="4"/>
      <c r="T90" s="4">
        <v>29941.29</v>
      </c>
      <c r="U90" s="4">
        <v>51923.37</v>
      </c>
      <c r="V90" s="4">
        <v>181418.64</v>
      </c>
      <c r="W90" s="4">
        <v>115369.89</v>
      </c>
      <c r="X90" s="4">
        <v>136205.19</v>
      </c>
      <c r="Y90" s="4">
        <v>93925.53</v>
      </c>
      <c r="Z90" s="4">
        <v>28666.52</v>
      </c>
      <c r="AA90" s="4">
        <v>246141.87</v>
      </c>
      <c r="AB90" s="4">
        <f t="shared" si="10"/>
        <v>2639147.91</v>
      </c>
    </row>
    <row r="91" spans="1:28" x14ac:dyDescent="0.2">
      <c r="A91" s="3">
        <v>43770</v>
      </c>
      <c r="B91" s="4">
        <v>269741.59999999998</v>
      </c>
      <c r="C91" s="4">
        <v>48012.020000000004</v>
      </c>
      <c r="D91" s="4">
        <v>33825.99</v>
      </c>
      <c r="E91" s="4">
        <v>112225.31</v>
      </c>
      <c r="F91" s="4">
        <v>36737.160000000003</v>
      </c>
      <c r="G91" s="4">
        <v>29270.07</v>
      </c>
      <c r="H91" s="4">
        <v>18843.879999999997</v>
      </c>
      <c r="I91" s="4">
        <v>44984.060000000005</v>
      </c>
      <c r="J91" s="4">
        <v>38455.020000000004</v>
      </c>
      <c r="K91" s="4">
        <v>142941.03999999998</v>
      </c>
      <c r="L91" s="4">
        <v>120444.53</v>
      </c>
      <c r="M91" s="4">
        <v>179412.82</v>
      </c>
      <c r="N91" s="4">
        <v>169199.18</v>
      </c>
      <c r="O91" s="4">
        <v>171023.94</v>
      </c>
      <c r="P91" s="4">
        <v>127645.48000000001</v>
      </c>
      <c r="Q91" s="4">
        <v>21618.21</v>
      </c>
      <c r="R91" s="4">
        <v>63665.599999999999</v>
      </c>
      <c r="S91" s="4"/>
      <c r="T91" s="4">
        <v>23132.54</v>
      </c>
      <c r="U91" s="4">
        <v>53845.149999999994</v>
      </c>
      <c r="V91" s="4">
        <v>142924.76999999999</v>
      </c>
      <c r="W91" s="4">
        <v>92884.430000000008</v>
      </c>
      <c r="X91" s="4">
        <v>106658.11000000002</v>
      </c>
      <c r="Y91" s="4">
        <v>75719.760000000009</v>
      </c>
      <c r="Z91" s="4">
        <v>22157.22</v>
      </c>
      <c r="AA91" s="4">
        <v>212837.01</v>
      </c>
      <c r="AB91" s="4">
        <f t="shared" si="10"/>
        <v>2358204.9000000004</v>
      </c>
    </row>
    <row r="92" spans="1:28" x14ac:dyDescent="0.2">
      <c r="A92" s="3">
        <v>43800</v>
      </c>
      <c r="B92" s="4">
        <v>452594.55000000005</v>
      </c>
      <c r="C92" s="4">
        <v>59338.64</v>
      </c>
      <c r="D92" s="4">
        <v>48297.22</v>
      </c>
      <c r="E92" s="4">
        <v>107274.94999999998</v>
      </c>
      <c r="F92" s="4">
        <v>49003.229999999996</v>
      </c>
      <c r="G92" s="4">
        <v>47829.229999999996</v>
      </c>
      <c r="H92" s="4">
        <v>31427.85</v>
      </c>
      <c r="I92" s="4">
        <v>62497.98000000001</v>
      </c>
      <c r="J92" s="4">
        <v>36220.86</v>
      </c>
      <c r="K92" s="4">
        <v>95982.87</v>
      </c>
      <c r="L92" s="4">
        <v>243222.89</v>
      </c>
      <c r="M92" s="4">
        <v>253740.27000000002</v>
      </c>
      <c r="N92" s="4">
        <v>465286.44000000006</v>
      </c>
      <c r="O92" s="4">
        <v>232384.25</v>
      </c>
      <c r="P92" s="4">
        <v>162511.72</v>
      </c>
      <c r="Q92" s="4">
        <v>97975.03</v>
      </c>
      <c r="R92" s="4">
        <v>91424.419999999984</v>
      </c>
      <c r="S92" s="4">
        <v>41444.649999999994</v>
      </c>
      <c r="T92" s="4">
        <v>41808.83</v>
      </c>
      <c r="U92" s="4">
        <v>74475.02</v>
      </c>
      <c r="V92" s="4">
        <v>215005.43</v>
      </c>
      <c r="W92" s="4">
        <v>112816.48000000001</v>
      </c>
      <c r="X92" s="4">
        <v>235108.67000000004</v>
      </c>
      <c r="Y92" s="4">
        <v>102348.78</v>
      </c>
      <c r="Z92" s="4">
        <v>27034.29</v>
      </c>
      <c r="AA92" s="4">
        <v>548766.51</v>
      </c>
      <c r="AB92" s="4">
        <f t="shared" si="10"/>
        <v>3935821.0599999996</v>
      </c>
    </row>
    <row r="93" spans="1:28" ht="15.75" thickBot="1" x14ac:dyDescent="0.25">
      <c r="A93" s="1" t="s">
        <v>174</v>
      </c>
      <c r="B93" s="5">
        <f>SUM(B81:B92)</f>
        <v>4001658.330000001</v>
      </c>
      <c r="C93" s="5">
        <f t="shared" ref="C93:Z93" si="11">SUM(C81:C92)</f>
        <v>667717.6</v>
      </c>
      <c r="D93" s="5">
        <f t="shared" si="11"/>
        <v>534828.90999999992</v>
      </c>
      <c r="E93" s="5">
        <f t="shared" si="11"/>
        <v>1472712.44</v>
      </c>
      <c r="F93" s="5">
        <f t="shared" si="11"/>
        <v>553488.81999999995</v>
      </c>
      <c r="G93" s="5">
        <f t="shared" si="11"/>
        <v>446216.02999999997</v>
      </c>
      <c r="H93" s="5">
        <f t="shared" si="11"/>
        <v>288980.82999999996</v>
      </c>
      <c r="I93" s="5">
        <f t="shared" si="11"/>
        <v>616553.31999999995</v>
      </c>
      <c r="J93" s="5">
        <f t="shared" si="11"/>
        <v>529596.48</v>
      </c>
      <c r="K93" s="5">
        <f t="shared" si="11"/>
        <v>1634734.15</v>
      </c>
      <c r="L93" s="5">
        <f t="shared" si="11"/>
        <v>2013930.12</v>
      </c>
      <c r="M93" s="5">
        <f t="shared" si="11"/>
        <v>2566995.7799999998</v>
      </c>
      <c r="N93" s="5">
        <f t="shared" si="11"/>
        <v>3006710.2</v>
      </c>
      <c r="O93" s="5">
        <f t="shared" si="11"/>
        <v>2506533.2800000003</v>
      </c>
      <c r="P93" s="5">
        <f t="shared" si="11"/>
        <v>1899942.9800000002</v>
      </c>
      <c r="Q93" s="5">
        <f t="shared" si="11"/>
        <v>335885.52</v>
      </c>
      <c r="R93" s="5">
        <f t="shared" si="11"/>
        <v>945055.10000000009</v>
      </c>
      <c r="S93" s="5">
        <f t="shared" si="11"/>
        <v>41444.649999999994</v>
      </c>
      <c r="T93" s="5">
        <f t="shared" si="11"/>
        <v>377844.36999999994</v>
      </c>
      <c r="U93" s="5">
        <f t="shared" si="11"/>
        <v>762662.97000000009</v>
      </c>
      <c r="V93" s="5">
        <f t="shared" si="11"/>
        <v>2266623.4600000004</v>
      </c>
      <c r="W93" s="5">
        <f t="shared" si="11"/>
        <v>1335355.7799999998</v>
      </c>
      <c r="X93" s="5">
        <f t="shared" si="11"/>
        <v>1784036.04</v>
      </c>
      <c r="Y93" s="5">
        <f t="shared" si="11"/>
        <v>1027414.9100000003</v>
      </c>
      <c r="Z93" s="5">
        <f t="shared" si="11"/>
        <v>336379.29</v>
      </c>
      <c r="AA93" s="5">
        <f>SUM(AA81:AA92)</f>
        <v>3498612.4400000004</v>
      </c>
      <c r="AB93" s="5">
        <f>SUM(AB81:AB92)</f>
        <v>35451913.800000004</v>
      </c>
    </row>
    <row r="94" spans="1:28" ht="15.75" thickTop="1" x14ac:dyDescent="0.2"/>
    <row r="95" spans="1:28" x14ac:dyDescent="0.2">
      <c r="A95" s="3">
        <v>43101</v>
      </c>
      <c r="B95" s="4">
        <v>359907.65</v>
      </c>
      <c r="C95" s="4">
        <v>67583.28</v>
      </c>
      <c r="D95" s="4">
        <v>45522.2</v>
      </c>
      <c r="E95" s="4">
        <v>142986.19</v>
      </c>
      <c r="F95" s="4">
        <v>54422.229999999996</v>
      </c>
      <c r="G95" s="4">
        <v>44225.42</v>
      </c>
      <c r="H95" s="4">
        <v>26669.059999999998</v>
      </c>
      <c r="I95" s="4">
        <v>63342.12999999999</v>
      </c>
      <c r="J95" s="4">
        <v>53496.21</v>
      </c>
      <c r="K95" s="4">
        <v>154023.91</v>
      </c>
      <c r="L95" s="4">
        <v>175902.38</v>
      </c>
      <c r="M95" s="4">
        <v>255714.64</v>
      </c>
      <c r="N95" s="4">
        <v>288551.69</v>
      </c>
      <c r="O95" s="4">
        <v>410734.44000000006</v>
      </c>
      <c r="P95" s="4">
        <v>185870.53999999998</v>
      </c>
      <c r="Q95" s="4">
        <v>42665.72</v>
      </c>
      <c r="R95" s="4">
        <v>90225.88</v>
      </c>
      <c r="S95" s="4"/>
      <c r="T95" s="4">
        <v>40445.49</v>
      </c>
      <c r="U95" s="4">
        <v>79551.709999999992</v>
      </c>
      <c r="V95" s="4">
        <v>235916.02</v>
      </c>
      <c r="W95" s="4">
        <v>148098.59000000003</v>
      </c>
      <c r="X95" s="4">
        <v>190253.74</v>
      </c>
      <c r="Y95" s="4">
        <v>92488.349999999991</v>
      </c>
      <c r="Z95" s="4">
        <v>35259.58</v>
      </c>
      <c r="AA95" s="4">
        <v>315428.11000000004</v>
      </c>
      <c r="AB95" s="4">
        <f>SUM(B95:AA95)</f>
        <v>3599285.16</v>
      </c>
    </row>
    <row r="96" spans="1:28" x14ac:dyDescent="0.2">
      <c r="A96" s="3">
        <v>43132</v>
      </c>
      <c r="B96" s="4">
        <v>324976.29999999993</v>
      </c>
      <c r="C96" s="4">
        <v>58431.429999999993</v>
      </c>
      <c r="D96" s="4">
        <v>61985.16</v>
      </c>
      <c r="E96" s="4">
        <v>120712.16999999998</v>
      </c>
      <c r="F96" s="4">
        <v>46467.03</v>
      </c>
      <c r="G96" s="4">
        <v>37972.39</v>
      </c>
      <c r="H96" s="4">
        <v>27520.63</v>
      </c>
      <c r="I96" s="4">
        <v>53330.53</v>
      </c>
      <c r="J96" s="4">
        <v>46421.64</v>
      </c>
      <c r="K96" s="4">
        <v>131533.14000000001</v>
      </c>
      <c r="L96" s="4">
        <v>150346.94</v>
      </c>
      <c r="M96" s="4">
        <v>217178.36</v>
      </c>
      <c r="N96" s="4">
        <v>243862.07</v>
      </c>
      <c r="O96" s="4">
        <v>157993.4</v>
      </c>
      <c r="P96" s="4">
        <v>159169.15000000002</v>
      </c>
      <c r="Q96" s="4">
        <v>37356.730000000003</v>
      </c>
      <c r="R96" s="4">
        <v>77071.59</v>
      </c>
      <c r="S96" s="4"/>
      <c r="T96" s="4">
        <v>33294.67</v>
      </c>
      <c r="U96" s="4">
        <v>67730.41</v>
      </c>
      <c r="V96" s="4">
        <v>201758.9</v>
      </c>
      <c r="W96" s="4">
        <v>134241.60000000001</v>
      </c>
      <c r="X96" s="4">
        <v>162869.81</v>
      </c>
      <c r="Y96" s="4">
        <v>79612.449999999983</v>
      </c>
      <c r="Z96" s="4">
        <v>30028.18</v>
      </c>
      <c r="AA96" s="4">
        <v>266827.53999999998</v>
      </c>
      <c r="AB96" s="4">
        <f t="shared" ref="AB96:AB106" si="12">SUM(B96:AA96)</f>
        <v>2928692.22</v>
      </c>
    </row>
    <row r="97" spans="1:28" x14ac:dyDescent="0.2">
      <c r="A97" s="3">
        <v>43160</v>
      </c>
      <c r="B97" s="4">
        <v>581505.98</v>
      </c>
      <c r="C97" s="4">
        <v>87347.95</v>
      </c>
      <c r="D97" s="4">
        <v>80096.53</v>
      </c>
      <c r="E97" s="4">
        <v>138504.00999999998</v>
      </c>
      <c r="F97" s="4">
        <v>66352.549999999988</v>
      </c>
      <c r="G97" s="4">
        <v>45565.46</v>
      </c>
      <c r="H97" s="4">
        <v>32219.989999999998</v>
      </c>
      <c r="I97" s="4">
        <v>479748.95999999996</v>
      </c>
      <c r="J97" s="4">
        <v>99561.639999999985</v>
      </c>
      <c r="K97" s="4">
        <v>193300.57000000004</v>
      </c>
      <c r="L97" s="4">
        <v>244512.49999999997</v>
      </c>
      <c r="M97" s="4">
        <v>229692.78</v>
      </c>
      <c r="N97" s="4">
        <v>369176.55</v>
      </c>
      <c r="O97" s="4">
        <v>440766.53</v>
      </c>
      <c r="P97" s="4">
        <v>183313.54000000004</v>
      </c>
      <c r="Q97" s="4">
        <v>41970.610000000008</v>
      </c>
      <c r="R97" s="4">
        <v>190927.72999999998</v>
      </c>
      <c r="S97" s="4"/>
      <c r="T97" s="4">
        <v>134316.15</v>
      </c>
      <c r="U97" s="4">
        <v>80372.010000000009</v>
      </c>
      <c r="V97" s="4">
        <v>338955.79000000004</v>
      </c>
      <c r="W97" s="4">
        <v>127100.97999999998</v>
      </c>
      <c r="X97" s="4">
        <v>192110.84</v>
      </c>
      <c r="Y97" s="4">
        <v>315306.38</v>
      </c>
      <c r="Z97" s="4">
        <v>34226.080000000002</v>
      </c>
      <c r="AA97" s="4">
        <v>328317.39</v>
      </c>
      <c r="AB97" s="4">
        <f t="shared" si="12"/>
        <v>5055269.5</v>
      </c>
    </row>
    <row r="98" spans="1:28" x14ac:dyDescent="0.2">
      <c r="A98" s="3">
        <v>43191</v>
      </c>
      <c r="B98" s="4">
        <v>314053.03999999998</v>
      </c>
      <c r="C98" s="4">
        <v>51520.83</v>
      </c>
      <c r="D98" s="4">
        <v>37346.409999999996</v>
      </c>
      <c r="E98" s="4">
        <v>105699.29000000001</v>
      </c>
      <c r="F98" s="4">
        <v>173469.03</v>
      </c>
      <c r="G98" s="4">
        <v>121852.05</v>
      </c>
      <c r="H98" s="4">
        <v>19608.7</v>
      </c>
      <c r="I98" s="4">
        <v>46519.1</v>
      </c>
      <c r="J98" s="4">
        <v>38669.99</v>
      </c>
      <c r="K98" s="4">
        <v>121739.11</v>
      </c>
      <c r="L98" s="4">
        <v>180860.84999999998</v>
      </c>
      <c r="M98" s="4">
        <v>198005.8</v>
      </c>
      <c r="N98" s="4">
        <v>236457.90999999997</v>
      </c>
      <c r="O98" s="4">
        <v>147938.34</v>
      </c>
      <c r="P98" s="4">
        <v>154724.03</v>
      </c>
      <c r="Q98" s="4">
        <v>31821.980000000003</v>
      </c>
      <c r="R98" s="4">
        <v>75336.289999999994</v>
      </c>
      <c r="S98" s="4"/>
      <c r="T98" s="4">
        <v>24914.080000000002</v>
      </c>
      <c r="U98" s="4">
        <v>52695.37</v>
      </c>
      <c r="V98" s="4">
        <v>172651.71999999997</v>
      </c>
      <c r="W98" s="4">
        <v>106541.19</v>
      </c>
      <c r="X98" s="4">
        <v>150084.03</v>
      </c>
      <c r="Y98" s="4">
        <v>84490.93</v>
      </c>
      <c r="Z98" s="4">
        <v>45389.15</v>
      </c>
      <c r="AA98" s="4">
        <v>315531.43</v>
      </c>
      <c r="AB98" s="4">
        <f t="shared" si="12"/>
        <v>3007920.65</v>
      </c>
    </row>
    <row r="99" spans="1:28" x14ac:dyDescent="0.2">
      <c r="A99" s="3">
        <v>43221</v>
      </c>
      <c r="B99" s="4">
        <v>332753.97000000003</v>
      </c>
      <c r="C99" s="4">
        <v>55419.39</v>
      </c>
      <c r="D99" s="4">
        <v>39805.629999999997</v>
      </c>
      <c r="E99" s="4">
        <v>109506.82</v>
      </c>
      <c r="F99" s="4">
        <v>45191.839999999997</v>
      </c>
      <c r="G99" s="4">
        <v>35668.54</v>
      </c>
      <c r="H99" s="4">
        <v>21390.149999999998</v>
      </c>
      <c r="I99" s="4">
        <v>46477.649999999994</v>
      </c>
      <c r="J99" s="4">
        <v>41329.72</v>
      </c>
      <c r="K99" s="4">
        <v>140023.71000000002</v>
      </c>
      <c r="L99" s="4">
        <v>124126.58</v>
      </c>
      <c r="M99" s="4">
        <v>233294.18</v>
      </c>
      <c r="N99" s="4">
        <v>243663.96000000002</v>
      </c>
      <c r="O99" s="4">
        <v>172145.63</v>
      </c>
      <c r="P99" s="4">
        <v>161440.66</v>
      </c>
      <c r="Q99" s="4">
        <v>34016.46</v>
      </c>
      <c r="R99" s="4">
        <v>82286.69</v>
      </c>
      <c r="S99" s="4"/>
      <c r="T99" s="4">
        <v>26676.449999999997</v>
      </c>
      <c r="U99" s="4">
        <v>57610.47</v>
      </c>
      <c r="V99" s="4">
        <v>183139.43</v>
      </c>
      <c r="W99" s="4">
        <v>99368.53</v>
      </c>
      <c r="X99" s="4">
        <v>154529.95000000001</v>
      </c>
      <c r="Y99" s="4">
        <v>87071.45</v>
      </c>
      <c r="Z99" s="4">
        <v>29124.15</v>
      </c>
      <c r="AA99" s="4">
        <v>274297.25</v>
      </c>
      <c r="AB99" s="4">
        <f t="shared" si="12"/>
        <v>2830359.26</v>
      </c>
    </row>
    <row r="100" spans="1:28" x14ac:dyDescent="0.2">
      <c r="A100" s="3">
        <v>43252</v>
      </c>
      <c r="B100" s="4">
        <v>450842.91</v>
      </c>
      <c r="C100" s="4">
        <v>61228.800000000003</v>
      </c>
      <c r="D100" s="4">
        <v>49997.869999999995</v>
      </c>
      <c r="E100" s="4">
        <v>139575.81</v>
      </c>
      <c r="F100" s="4">
        <v>85110.329999999987</v>
      </c>
      <c r="G100" s="4">
        <v>64307.599999999991</v>
      </c>
      <c r="H100" s="4">
        <v>31136.379999999997</v>
      </c>
      <c r="I100" s="4">
        <v>50144.31</v>
      </c>
      <c r="J100" s="4">
        <v>44743.409999999996</v>
      </c>
      <c r="K100" s="4">
        <v>130349.68</v>
      </c>
      <c r="L100" s="4">
        <v>286373.57</v>
      </c>
      <c r="M100" s="4">
        <v>256462.85</v>
      </c>
      <c r="N100" s="4">
        <v>213426.58999999997</v>
      </c>
      <c r="O100" s="4">
        <v>340358.42999999993</v>
      </c>
      <c r="P100" s="4">
        <v>121197.92000000003</v>
      </c>
      <c r="Q100" s="4">
        <v>32365.199999999997</v>
      </c>
      <c r="R100" s="4">
        <v>71801.600000000006</v>
      </c>
      <c r="S100" s="4"/>
      <c r="T100" s="4">
        <v>36878.799999999996</v>
      </c>
      <c r="U100" s="4">
        <v>80708.77</v>
      </c>
      <c r="V100" s="4">
        <v>160067.38999999998</v>
      </c>
      <c r="W100" s="4">
        <v>90054.77</v>
      </c>
      <c r="X100" s="4">
        <v>151464.87</v>
      </c>
      <c r="Y100" s="4">
        <v>94653.47</v>
      </c>
      <c r="Z100" s="4">
        <v>26892.170000000002</v>
      </c>
      <c r="AA100" s="4">
        <v>306303.39</v>
      </c>
      <c r="AB100" s="4">
        <f t="shared" si="12"/>
        <v>3376446.8900000006</v>
      </c>
    </row>
    <row r="101" spans="1:28" x14ac:dyDescent="0.2">
      <c r="A101" s="3">
        <v>43282</v>
      </c>
      <c r="B101" s="4">
        <v>289134.46999999997</v>
      </c>
      <c r="C101" s="4">
        <v>45901.3</v>
      </c>
      <c r="D101" s="4">
        <v>32588.309999999998</v>
      </c>
      <c r="E101" s="4">
        <v>121252.57999999999</v>
      </c>
      <c r="F101" s="4">
        <v>33568.86</v>
      </c>
      <c r="G101" s="4">
        <v>29707.670000000002</v>
      </c>
      <c r="H101" s="4">
        <v>16269.480000000003</v>
      </c>
      <c r="I101" s="4">
        <v>45065.58</v>
      </c>
      <c r="J101" s="4">
        <v>36513.4</v>
      </c>
      <c r="K101" s="4">
        <v>125882.03999999998</v>
      </c>
      <c r="L101" s="4">
        <v>135065.95000000001</v>
      </c>
      <c r="M101" s="4">
        <v>195258.09999999998</v>
      </c>
      <c r="N101" s="4">
        <v>220460.96000000002</v>
      </c>
      <c r="O101" s="4">
        <v>154075.77000000002</v>
      </c>
      <c r="P101" s="4">
        <v>134725.76999999999</v>
      </c>
      <c r="Q101" s="4">
        <v>17780.66</v>
      </c>
      <c r="R101" s="4">
        <v>70161.64</v>
      </c>
      <c r="S101" s="4"/>
      <c r="T101" s="4">
        <v>26920.16</v>
      </c>
      <c r="U101" s="4">
        <v>60692.67</v>
      </c>
      <c r="V101" s="4">
        <v>147692.94</v>
      </c>
      <c r="W101" s="4">
        <v>96723.5</v>
      </c>
      <c r="X101" s="4">
        <v>119798.93</v>
      </c>
      <c r="Y101" s="4">
        <v>74889.109999999986</v>
      </c>
      <c r="Z101" s="4">
        <v>23867.88</v>
      </c>
      <c r="AA101" s="4">
        <v>415565.85000000009</v>
      </c>
      <c r="AB101" s="4">
        <f t="shared" si="12"/>
        <v>2669563.5799999991</v>
      </c>
    </row>
    <row r="102" spans="1:28" x14ac:dyDescent="0.2">
      <c r="A102" s="3">
        <v>43313</v>
      </c>
      <c r="B102" s="4">
        <v>281503.73</v>
      </c>
      <c r="C102" s="4">
        <v>44875.239999999991</v>
      </c>
      <c r="D102" s="4">
        <v>32196.969999999994</v>
      </c>
      <c r="E102" s="4">
        <v>122229.03</v>
      </c>
      <c r="F102" s="4">
        <v>33493.520000000004</v>
      </c>
      <c r="G102" s="4">
        <v>29690.78</v>
      </c>
      <c r="H102" s="4">
        <v>16880.480000000003</v>
      </c>
      <c r="I102" s="4">
        <v>45351.7</v>
      </c>
      <c r="J102" s="4">
        <v>35786.589999999997</v>
      </c>
      <c r="K102" s="4">
        <v>147558.78999999998</v>
      </c>
      <c r="L102" s="4">
        <v>137429.93</v>
      </c>
      <c r="M102" s="4">
        <v>192716.07</v>
      </c>
      <c r="N102" s="4">
        <v>166204.13999999998</v>
      </c>
      <c r="O102" s="4">
        <v>153959.02000000002</v>
      </c>
      <c r="P102" s="4">
        <v>135061.59</v>
      </c>
      <c r="Q102" s="4">
        <v>24345.649999999998</v>
      </c>
      <c r="R102" s="4">
        <v>65802.92</v>
      </c>
      <c r="S102" s="4"/>
      <c r="T102" s="4">
        <v>27712.2</v>
      </c>
      <c r="U102" s="4">
        <v>60706.42</v>
      </c>
      <c r="V102" s="4">
        <v>146192.60999999999</v>
      </c>
      <c r="W102" s="4">
        <v>98137.31</v>
      </c>
      <c r="X102" s="4">
        <v>98590.54</v>
      </c>
      <c r="Y102" s="4">
        <v>75428.160000000003</v>
      </c>
      <c r="Z102" s="4">
        <v>24180.730000000003</v>
      </c>
      <c r="AA102" s="4">
        <v>221571.5</v>
      </c>
      <c r="AB102" s="4">
        <f t="shared" si="12"/>
        <v>2417605.6199999996</v>
      </c>
    </row>
    <row r="103" spans="1:28" x14ac:dyDescent="0.2">
      <c r="A103" s="3">
        <v>43344</v>
      </c>
      <c r="B103" s="4">
        <v>294112.49</v>
      </c>
      <c r="C103" s="4">
        <v>55851.75</v>
      </c>
      <c r="D103" s="4">
        <v>42376.759999999995</v>
      </c>
      <c r="E103" s="4">
        <v>115181.13</v>
      </c>
      <c r="F103" s="4">
        <v>30614.050000000003</v>
      </c>
      <c r="G103" s="4">
        <v>24872.110000000004</v>
      </c>
      <c r="H103" s="4">
        <v>21689.009999999995</v>
      </c>
      <c r="I103" s="4">
        <v>41325.939999999995</v>
      </c>
      <c r="J103" s="4">
        <v>37645.380000000005</v>
      </c>
      <c r="K103" s="4">
        <v>121291.20999999999</v>
      </c>
      <c r="L103" s="4">
        <v>141325.01</v>
      </c>
      <c r="M103" s="4">
        <v>185978.2</v>
      </c>
      <c r="N103" s="4">
        <v>178364.68</v>
      </c>
      <c r="O103" s="4">
        <v>210330.36000000002</v>
      </c>
      <c r="P103" s="4">
        <v>92421.319999999978</v>
      </c>
      <c r="Q103" s="4">
        <v>19623.129999999997</v>
      </c>
      <c r="R103" s="4">
        <v>68285.5</v>
      </c>
      <c r="S103" s="4"/>
      <c r="T103" s="4">
        <v>35901.360000000001</v>
      </c>
      <c r="U103" s="4">
        <v>68979.289999999994</v>
      </c>
      <c r="V103" s="4">
        <v>138305.24</v>
      </c>
      <c r="W103" s="4">
        <v>72589.39</v>
      </c>
      <c r="X103" s="4">
        <v>97715.64</v>
      </c>
      <c r="Y103" s="4">
        <v>42276.990000000013</v>
      </c>
      <c r="Z103" s="4">
        <v>18838.09</v>
      </c>
      <c r="AA103" s="4">
        <v>172092.88</v>
      </c>
      <c r="AB103" s="4">
        <f t="shared" si="12"/>
        <v>2327986.9099999997</v>
      </c>
    </row>
    <row r="104" spans="1:28" x14ac:dyDescent="0.2">
      <c r="A104" s="3">
        <v>43374</v>
      </c>
      <c r="B104" s="4">
        <v>274980.03999999992</v>
      </c>
      <c r="C104" s="4">
        <v>45529.929999999993</v>
      </c>
      <c r="D104" s="4">
        <v>28719.469999999998</v>
      </c>
      <c r="E104" s="4">
        <v>104740.25</v>
      </c>
      <c r="F104" s="4">
        <v>34927.83</v>
      </c>
      <c r="G104" s="4">
        <v>28606.26</v>
      </c>
      <c r="H104" s="4">
        <v>17544.050000000003</v>
      </c>
      <c r="I104" s="4">
        <v>42200.509999999995</v>
      </c>
      <c r="J104" s="4">
        <v>36242.33</v>
      </c>
      <c r="K104" s="4">
        <v>130700.01000000001</v>
      </c>
      <c r="L104" s="4">
        <v>115714.07</v>
      </c>
      <c r="M104" s="4">
        <v>159130.40000000002</v>
      </c>
      <c r="N104" s="4">
        <v>155288.87</v>
      </c>
      <c r="O104" s="4">
        <v>146763.81999999998</v>
      </c>
      <c r="P104" s="4">
        <v>121555.89</v>
      </c>
      <c r="Q104" s="4">
        <v>22115.27</v>
      </c>
      <c r="R104" s="4">
        <v>58603.86</v>
      </c>
      <c r="S104" s="4"/>
      <c r="T104" s="4">
        <v>24260.22</v>
      </c>
      <c r="U104" s="4">
        <v>47386.78</v>
      </c>
      <c r="V104" s="4">
        <v>145987.53000000003</v>
      </c>
      <c r="W104" s="4">
        <v>92003.13</v>
      </c>
      <c r="X104" s="4">
        <v>116427.56999999999</v>
      </c>
      <c r="Y104" s="4">
        <v>69393.03</v>
      </c>
      <c r="Z104" s="4">
        <v>21024.03</v>
      </c>
      <c r="AA104" s="4">
        <v>214070.95</v>
      </c>
      <c r="AB104" s="4">
        <f t="shared" si="12"/>
        <v>2253916.1</v>
      </c>
    </row>
    <row r="105" spans="1:28" x14ac:dyDescent="0.2">
      <c r="A105" s="3">
        <v>43405</v>
      </c>
      <c r="B105" s="4">
        <v>112385.14000000004</v>
      </c>
      <c r="C105" s="4">
        <v>45704.89</v>
      </c>
      <c r="D105" s="4">
        <v>29213.99</v>
      </c>
      <c r="E105" s="4">
        <v>104553.20999999999</v>
      </c>
      <c r="F105" s="4">
        <v>35167.67</v>
      </c>
      <c r="G105" s="4">
        <v>28427.859999999997</v>
      </c>
      <c r="H105" s="4">
        <v>17664.669999999998</v>
      </c>
      <c r="I105" s="4">
        <v>41711.97</v>
      </c>
      <c r="J105" s="4">
        <v>36745.229999999996</v>
      </c>
      <c r="K105" s="4">
        <v>140270.93</v>
      </c>
      <c r="L105" s="4">
        <v>139674.24000000002</v>
      </c>
      <c r="M105" s="4">
        <v>163185.06</v>
      </c>
      <c r="N105" s="4">
        <v>157205.09</v>
      </c>
      <c r="O105" s="4">
        <v>148702.27000000002</v>
      </c>
      <c r="P105" s="4">
        <v>121708.39</v>
      </c>
      <c r="Q105" s="4">
        <v>21968.260000000002</v>
      </c>
      <c r="R105" s="4">
        <v>63626.37</v>
      </c>
      <c r="S105" s="4"/>
      <c r="T105" s="4">
        <v>24946.11</v>
      </c>
      <c r="U105" s="4">
        <v>48252.08</v>
      </c>
      <c r="V105" s="4">
        <v>145255.78</v>
      </c>
      <c r="W105" s="4">
        <v>91957.1</v>
      </c>
      <c r="X105" s="4">
        <v>127866.00999999998</v>
      </c>
      <c r="Y105" s="4">
        <v>69152.240000000005</v>
      </c>
      <c r="Z105" s="4">
        <v>21433.88</v>
      </c>
      <c r="AA105" s="4">
        <v>349688.25</v>
      </c>
      <c r="AB105" s="4">
        <f t="shared" si="12"/>
        <v>2286466.6900000004</v>
      </c>
    </row>
    <row r="106" spans="1:28" x14ac:dyDescent="0.2">
      <c r="A106" s="3">
        <v>43435</v>
      </c>
      <c r="B106" s="4">
        <v>275151.75</v>
      </c>
      <c r="C106" s="4">
        <v>73353.19</v>
      </c>
      <c r="D106" s="4">
        <v>50689.67</v>
      </c>
      <c r="E106" s="4">
        <v>148859.88</v>
      </c>
      <c r="F106" s="4">
        <v>47122.92</v>
      </c>
      <c r="G106" s="4">
        <v>40420.07</v>
      </c>
      <c r="H106" s="4">
        <v>29293.89</v>
      </c>
      <c r="I106" s="4">
        <v>58528.11</v>
      </c>
      <c r="J106" s="4">
        <v>51022.1</v>
      </c>
      <c r="K106" s="4">
        <v>159727.38</v>
      </c>
      <c r="L106" s="4">
        <v>149420.48000000001</v>
      </c>
      <c r="M106" s="4">
        <v>265345.34000000003</v>
      </c>
      <c r="N106" s="4">
        <v>236780.76</v>
      </c>
      <c r="O106" s="4">
        <v>280348.61</v>
      </c>
      <c r="P106" s="4">
        <v>163525.16</v>
      </c>
      <c r="Q106" s="4">
        <v>46039.56</v>
      </c>
      <c r="R106" s="4">
        <v>85111.57</v>
      </c>
      <c r="S106" s="4"/>
      <c r="T106" s="4">
        <v>35605.74</v>
      </c>
      <c r="U106" s="4">
        <v>89523.55</v>
      </c>
      <c r="V106" s="4">
        <v>180861.05</v>
      </c>
      <c r="W106" s="4">
        <v>111899.16</v>
      </c>
      <c r="X106" s="4">
        <v>100518.84999999998</v>
      </c>
      <c r="Y106" s="4">
        <v>106884.04999999999</v>
      </c>
      <c r="Z106" s="4">
        <v>26889.11</v>
      </c>
      <c r="AA106" s="4">
        <v>235982.47999999998</v>
      </c>
      <c r="AB106" s="4">
        <f t="shared" si="12"/>
        <v>3048904.4299999997</v>
      </c>
    </row>
    <row r="107" spans="1:28" ht="15.75" thickBot="1" x14ac:dyDescent="0.25">
      <c r="A107" s="1" t="s">
        <v>173</v>
      </c>
      <c r="B107" s="5">
        <f>SUM(B95:B106)</f>
        <v>3891307.47</v>
      </c>
      <c r="C107" s="5">
        <f t="shared" ref="C107:AA107" si="13">SUM(C95:C106)</f>
        <v>692747.98</v>
      </c>
      <c r="D107" s="5">
        <f t="shared" si="13"/>
        <v>530538.97</v>
      </c>
      <c r="E107" s="5">
        <f t="shared" si="13"/>
        <v>1473800.37</v>
      </c>
      <c r="F107" s="5">
        <f t="shared" si="13"/>
        <v>685907.86</v>
      </c>
      <c r="G107" s="5">
        <f t="shared" si="13"/>
        <v>531316.20999999985</v>
      </c>
      <c r="H107" s="5">
        <f t="shared" si="13"/>
        <v>277886.49</v>
      </c>
      <c r="I107" s="5">
        <f t="shared" si="13"/>
        <v>1013746.4899999998</v>
      </c>
      <c r="J107" s="5">
        <f t="shared" si="13"/>
        <v>558177.64</v>
      </c>
      <c r="K107" s="5">
        <f t="shared" si="13"/>
        <v>1696400.48</v>
      </c>
      <c r="L107" s="5">
        <f t="shared" si="13"/>
        <v>1980752.4999999998</v>
      </c>
      <c r="M107" s="5">
        <f t="shared" si="13"/>
        <v>2551961.7799999998</v>
      </c>
      <c r="N107" s="5">
        <f t="shared" si="13"/>
        <v>2709443.2699999996</v>
      </c>
      <c r="O107" s="5">
        <f t="shared" si="13"/>
        <v>2764116.62</v>
      </c>
      <c r="P107" s="5">
        <f t="shared" si="13"/>
        <v>1734713.96</v>
      </c>
      <c r="Q107" s="5">
        <f t="shared" si="13"/>
        <v>372069.23000000004</v>
      </c>
      <c r="R107" s="5">
        <f t="shared" si="13"/>
        <v>999241.6399999999</v>
      </c>
      <c r="S107" s="5"/>
      <c r="T107" s="5">
        <f t="shared" si="13"/>
        <v>471871.42999999993</v>
      </c>
      <c r="U107" s="5">
        <f t="shared" si="13"/>
        <v>794209.53</v>
      </c>
      <c r="V107" s="5">
        <f t="shared" si="13"/>
        <v>2196784.4</v>
      </c>
      <c r="W107" s="5">
        <f t="shared" si="13"/>
        <v>1268715.25</v>
      </c>
      <c r="X107" s="5">
        <f t="shared" si="13"/>
        <v>1662230.7800000003</v>
      </c>
      <c r="Y107" s="5">
        <f t="shared" si="13"/>
        <v>1191646.6100000001</v>
      </c>
      <c r="Z107" s="5">
        <f t="shared" si="13"/>
        <v>337153.03</v>
      </c>
      <c r="AA107" s="5">
        <f t="shared" si="13"/>
        <v>3415677.02</v>
      </c>
      <c r="AB107" s="5">
        <f>SUM(AB95:AB106)</f>
        <v>35802417.010000005</v>
      </c>
    </row>
    <row r="108" spans="1:28" ht="15.75" thickTop="1" x14ac:dyDescent="0.2"/>
    <row r="109" spans="1:28" x14ac:dyDescent="0.2">
      <c r="A109" s="3">
        <v>42736</v>
      </c>
      <c r="B109" s="4">
        <v>357082.16</v>
      </c>
      <c r="C109" s="4">
        <v>58750.05</v>
      </c>
      <c r="D109" s="4">
        <v>43387.71</v>
      </c>
      <c r="E109" s="4">
        <v>135087.62</v>
      </c>
      <c r="F109" s="4">
        <v>47564.73</v>
      </c>
      <c r="G109" s="4">
        <v>37334.550000000003</v>
      </c>
      <c r="H109" s="4">
        <v>23164.01</v>
      </c>
      <c r="I109" s="4">
        <v>56875.79</v>
      </c>
      <c r="J109" s="4">
        <v>46451.09</v>
      </c>
      <c r="K109" s="4">
        <v>135995.98000000001</v>
      </c>
      <c r="L109" s="4">
        <v>150217.06</v>
      </c>
      <c r="M109" s="4">
        <v>212190.2</v>
      </c>
      <c r="N109" s="4">
        <v>284812.28000000003</v>
      </c>
      <c r="O109" s="4">
        <v>161165.53</v>
      </c>
      <c r="P109" s="4">
        <v>165133.06</v>
      </c>
      <c r="Q109" s="4">
        <v>36713.050000000003</v>
      </c>
      <c r="R109" s="4">
        <v>78951.42</v>
      </c>
      <c r="S109" s="4"/>
      <c r="T109" s="4">
        <v>36090.49</v>
      </c>
      <c r="U109" s="4">
        <v>76358.61</v>
      </c>
      <c r="V109" s="4">
        <v>237246.77</v>
      </c>
      <c r="W109" s="4">
        <v>151342.39999999999</v>
      </c>
      <c r="X109" s="4">
        <v>167902.97</v>
      </c>
      <c r="Y109" s="4">
        <v>76731.070000000007</v>
      </c>
      <c r="Z109" s="4">
        <v>32185.96</v>
      </c>
      <c r="AA109" s="4">
        <v>311301.59999999998</v>
      </c>
      <c r="AB109" s="4">
        <f>SUM(B109:AA109)</f>
        <v>3120036.16</v>
      </c>
    </row>
    <row r="110" spans="1:28" x14ac:dyDescent="0.2">
      <c r="A110" s="3">
        <v>42767</v>
      </c>
      <c r="B110" s="4">
        <v>313845.3</v>
      </c>
      <c r="C110" s="4">
        <v>49935.72</v>
      </c>
      <c r="D110" s="4">
        <v>37659.26</v>
      </c>
      <c r="E110" s="4">
        <v>113391.9</v>
      </c>
      <c r="F110" s="4">
        <v>41245.980000000003</v>
      </c>
      <c r="G110" s="4">
        <v>33428.22</v>
      </c>
      <c r="H110" s="4">
        <v>20683.45</v>
      </c>
      <c r="I110" s="4">
        <v>59797.06</v>
      </c>
      <c r="J110" s="4">
        <v>37909.800000000003</v>
      </c>
      <c r="K110" s="4">
        <v>141359.5</v>
      </c>
      <c r="L110" s="4">
        <v>127102.75</v>
      </c>
      <c r="M110" s="4">
        <v>196780.83</v>
      </c>
      <c r="N110" s="4">
        <v>253734.2</v>
      </c>
      <c r="O110" s="4">
        <v>148049.4</v>
      </c>
      <c r="P110" s="4">
        <v>132956.9</v>
      </c>
      <c r="Q110" s="4">
        <v>31301.86</v>
      </c>
      <c r="R110" s="4">
        <v>86498.95</v>
      </c>
      <c r="S110" s="4"/>
      <c r="T110" s="4">
        <v>30843.47</v>
      </c>
      <c r="U110" s="4">
        <v>64003.46</v>
      </c>
      <c r="V110" s="4">
        <v>209657.59</v>
      </c>
      <c r="W110" s="4">
        <v>131008.22</v>
      </c>
      <c r="X110" s="4">
        <v>143922.14000000001</v>
      </c>
      <c r="Y110" s="4">
        <v>66732.240000000005</v>
      </c>
      <c r="Z110" s="4">
        <v>27829.63</v>
      </c>
      <c r="AA110" s="4">
        <v>269055.24</v>
      </c>
      <c r="AB110" s="4">
        <f t="shared" ref="AB110:AB120" si="14">SUM(B110:AA110)</f>
        <v>2768733.0700000003</v>
      </c>
    </row>
    <row r="111" spans="1:28" x14ac:dyDescent="0.2">
      <c r="A111" s="3">
        <v>42795</v>
      </c>
      <c r="B111" s="4">
        <v>242062.05</v>
      </c>
      <c r="C111" s="4">
        <v>71650.490000000005</v>
      </c>
      <c r="D111" s="4">
        <v>34013.879999999997</v>
      </c>
      <c r="E111" s="4">
        <v>109380.34</v>
      </c>
      <c r="F111" s="4">
        <v>65600.56</v>
      </c>
      <c r="G111" s="4">
        <v>49429.03</v>
      </c>
      <c r="H111" s="4">
        <v>26281.51</v>
      </c>
      <c r="I111" s="4">
        <v>50495.83</v>
      </c>
      <c r="J111" s="4">
        <v>48889.95</v>
      </c>
      <c r="K111" s="4">
        <v>139864.51</v>
      </c>
      <c r="L111" s="4">
        <v>202249.34</v>
      </c>
      <c r="M111" s="4">
        <v>215028.91</v>
      </c>
      <c r="N111" s="4">
        <v>156153.10999999999</v>
      </c>
      <c r="O111" s="4">
        <v>204576.15</v>
      </c>
      <c r="P111" s="4">
        <v>173937.66</v>
      </c>
      <c r="Q111" s="4">
        <v>40594.54</v>
      </c>
      <c r="R111" s="4">
        <v>76174.259999999995</v>
      </c>
      <c r="S111" s="4"/>
      <c r="T111" s="4">
        <v>51053.37</v>
      </c>
      <c r="U111" s="4">
        <v>55107.59</v>
      </c>
      <c r="V111" s="4">
        <v>140071.32999999999</v>
      </c>
      <c r="W111" s="4">
        <v>82321.27</v>
      </c>
      <c r="X111" s="4">
        <v>177979.63</v>
      </c>
      <c r="Y111" s="4">
        <v>151417.29</v>
      </c>
      <c r="Z111" s="4">
        <v>33373.15</v>
      </c>
      <c r="AA111" s="4">
        <v>205338.69</v>
      </c>
      <c r="AB111" s="4">
        <f t="shared" si="14"/>
        <v>2803044.4399999995</v>
      </c>
    </row>
    <row r="112" spans="1:28" x14ac:dyDescent="0.2">
      <c r="A112" s="3">
        <v>42826</v>
      </c>
      <c r="B112" s="4">
        <v>361608.63</v>
      </c>
      <c r="C112" s="4">
        <v>68934.350000000006</v>
      </c>
      <c r="D112" s="4">
        <v>38018.540000000008</v>
      </c>
      <c r="E112" s="4">
        <v>95102.55</v>
      </c>
      <c r="F112" s="4">
        <v>93748.53</v>
      </c>
      <c r="G112" s="4">
        <v>59775.820000000007</v>
      </c>
      <c r="H112" s="4">
        <v>17737.480000000003</v>
      </c>
      <c r="I112" s="4">
        <v>65860.45</v>
      </c>
      <c r="J112" s="4">
        <v>36809.869999999995</v>
      </c>
      <c r="K112" s="4">
        <v>115020.13</v>
      </c>
      <c r="L112" s="4">
        <v>103436.81999999999</v>
      </c>
      <c r="M112" s="4">
        <v>187514.82</v>
      </c>
      <c r="N112" s="4">
        <v>224598.3</v>
      </c>
      <c r="O112" s="4">
        <v>134799.74</v>
      </c>
      <c r="P112" s="4">
        <v>188840.7</v>
      </c>
      <c r="Q112" s="4">
        <v>36613.730000000003</v>
      </c>
      <c r="R112" s="4">
        <v>59011.42</v>
      </c>
      <c r="S112" s="4"/>
      <c r="T112" s="4">
        <v>66659.02</v>
      </c>
      <c r="U112" s="4">
        <v>50750.84</v>
      </c>
      <c r="V112" s="4">
        <v>214096.69999999998</v>
      </c>
      <c r="W112" s="4">
        <v>136623.69</v>
      </c>
      <c r="X112" s="4">
        <v>193345.32</v>
      </c>
      <c r="Y112" s="4">
        <v>161419.5</v>
      </c>
      <c r="Z112" s="4">
        <v>36710.559999999998</v>
      </c>
      <c r="AA112" s="4">
        <v>233912.41999999998</v>
      </c>
      <c r="AB112" s="4">
        <f t="shared" si="14"/>
        <v>2980949.93</v>
      </c>
    </row>
    <row r="113" spans="1:28" x14ac:dyDescent="0.2">
      <c r="A113" s="3">
        <v>42856</v>
      </c>
      <c r="B113" s="4">
        <v>302003.87</v>
      </c>
      <c r="C113" s="4">
        <v>51778.06</v>
      </c>
      <c r="D113" s="4">
        <v>34205.72</v>
      </c>
      <c r="E113" s="4">
        <v>96431.8</v>
      </c>
      <c r="F113" s="4">
        <v>25383.62</v>
      </c>
      <c r="G113" s="4">
        <v>32451.249999999996</v>
      </c>
      <c r="H113" s="4">
        <v>18125.099999999999</v>
      </c>
      <c r="I113" s="4">
        <v>42866.37</v>
      </c>
      <c r="J113" s="4">
        <v>37960.239999999991</v>
      </c>
      <c r="K113" s="4">
        <v>117156.9</v>
      </c>
      <c r="L113" s="4">
        <v>106453.62</v>
      </c>
      <c r="M113" s="4">
        <v>191104.59999999998</v>
      </c>
      <c r="N113" s="4">
        <v>231282.72999999998</v>
      </c>
      <c r="O113" s="4">
        <v>136808.65</v>
      </c>
      <c r="P113" s="4">
        <v>156406.99000000002</v>
      </c>
      <c r="Q113" s="4">
        <v>32535.11</v>
      </c>
      <c r="R113" s="4">
        <v>60056.83</v>
      </c>
      <c r="S113" s="4"/>
      <c r="T113" s="4">
        <v>24590.080000000002</v>
      </c>
      <c r="U113" s="4">
        <v>51622.729999999996</v>
      </c>
      <c r="V113" s="4">
        <v>171279.25</v>
      </c>
      <c r="W113" s="4">
        <v>105102.86</v>
      </c>
      <c r="X113" s="4">
        <v>106542.64000000001</v>
      </c>
      <c r="Y113" s="4">
        <v>92444.760000000009</v>
      </c>
      <c r="Z113" s="4">
        <v>26850.81</v>
      </c>
      <c r="AA113" s="4">
        <v>255168.21000000002</v>
      </c>
      <c r="AB113" s="4">
        <f t="shared" si="14"/>
        <v>2506612.8000000003</v>
      </c>
    </row>
    <row r="114" spans="1:28" x14ac:dyDescent="0.2">
      <c r="A114" s="3">
        <v>42887</v>
      </c>
      <c r="B114" s="4">
        <v>424212.18000000005</v>
      </c>
      <c r="C114" s="4">
        <v>59770.179999999993</v>
      </c>
      <c r="D114" s="4">
        <v>67738.12</v>
      </c>
      <c r="E114" s="4">
        <v>156796.87000000002</v>
      </c>
      <c r="F114" s="4">
        <v>36670.410000000003</v>
      </c>
      <c r="G114" s="4">
        <v>28517.91</v>
      </c>
      <c r="H114" s="4">
        <v>29215.730000000003</v>
      </c>
      <c r="I114" s="4">
        <v>52813.929999999993</v>
      </c>
      <c r="J114" s="4">
        <v>47151.180000000008</v>
      </c>
      <c r="K114" s="4">
        <v>168786.82</v>
      </c>
      <c r="L114" s="4">
        <v>236782.31</v>
      </c>
      <c r="M114" s="4">
        <v>255489.76</v>
      </c>
      <c r="N114" s="4">
        <v>154413.63</v>
      </c>
      <c r="O114" s="4">
        <v>204240.25</v>
      </c>
      <c r="P114" s="4">
        <v>149745.31</v>
      </c>
      <c r="Q114" s="4">
        <v>30279.71</v>
      </c>
      <c r="R114" s="4">
        <v>94311.549999999988</v>
      </c>
      <c r="S114" s="4"/>
      <c r="T114" s="4">
        <v>31222.33</v>
      </c>
      <c r="U114" s="4">
        <v>74504.05</v>
      </c>
      <c r="V114" s="4">
        <v>182292.18</v>
      </c>
      <c r="W114" s="4">
        <v>115930.85</v>
      </c>
      <c r="X114" s="4">
        <v>164248.32000000001</v>
      </c>
      <c r="Y114" s="4">
        <v>61467.42</v>
      </c>
      <c r="Z114" s="4">
        <v>28009.03</v>
      </c>
      <c r="AA114" s="4">
        <v>195867.87</v>
      </c>
      <c r="AB114" s="4">
        <f t="shared" si="14"/>
        <v>3050477.9</v>
      </c>
    </row>
    <row r="115" spans="1:28" x14ac:dyDescent="0.2">
      <c r="A115" s="3">
        <v>42917</v>
      </c>
      <c r="B115" s="4">
        <v>284884.14</v>
      </c>
      <c r="C115" s="4">
        <v>42120.18</v>
      </c>
      <c r="D115" s="4">
        <v>28735.890000000003</v>
      </c>
      <c r="E115" s="4">
        <v>108012.90000000001</v>
      </c>
      <c r="F115" s="4">
        <v>32218.019999999997</v>
      </c>
      <c r="G115" s="4">
        <v>27126.54</v>
      </c>
      <c r="H115" s="4">
        <v>13707.510000000002</v>
      </c>
      <c r="I115" s="4">
        <v>51060.959999999999</v>
      </c>
      <c r="J115" s="4">
        <v>34172.340000000004</v>
      </c>
      <c r="K115" s="4">
        <v>112294.02</v>
      </c>
      <c r="L115" s="4">
        <v>117029.15</v>
      </c>
      <c r="M115" s="4">
        <v>181379.45</v>
      </c>
      <c r="N115" s="4">
        <v>189759.91000000003</v>
      </c>
      <c r="O115" s="4">
        <v>129587.09000000001</v>
      </c>
      <c r="P115" s="4">
        <v>130528.31</v>
      </c>
      <c r="Q115" s="4">
        <v>21631.120000000003</v>
      </c>
      <c r="R115" s="4">
        <v>68904.88</v>
      </c>
      <c r="S115" s="4"/>
      <c r="T115" s="4">
        <v>27576.449999999997</v>
      </c>
      <c r="U115" s="4">
        <v>57922.58</v>
      </c>
      <c r="V115" s="4">
        <v>149033.29</v>
      </c>
      <c r="W115" s="4">
        <v>100433.89000000001</v>
      </c>
      <c r="X115" s="4">
        <v>113075.11000000002</v>
      </c>
      <c r="Y115" s="4">
        <v>67483.56</v>
      </c>
      <c r="Z115" s="4">
        <v>22330.9</v>
      </c>
      <c r="AA115" s="4">
        <v>236892.57</v>
      </c>
      <c r="AB115" s="4">
        <f t="shared" si="14"/>
        <v>2347900.7600000007</v>
      </c>
    </row>
    <row r="116" spans="1:28" x14ac:dyDescent="0.2">
      <c r="A116" s="3">
        <v>42948</v>
      </c>
      <c r="B116" s="4">
        <v>275339.33</v>
      </c>
      <c r="C116" s="4">
        <v>45513.869999999995</v>
      </c>
      <c r="D116" s="4">
        <v>28648.239999999998</v>
      </c>
      <c r="E116" s="4">
        <v>104386.3</v>
      </c>
      <c r="F116" s="4">
        <v>36710.25</v>
      </c>
      <c r="G116" s="4">
        <v>37170.199999999997</v>
      </c>
      <c r="H116" s="4">
        <v>17319.02</v>
      </c>
      <c r="I116" s="4">
        <v>41503.919999999998</v>
      </c>
      <c r="J116" s="4">
        <v>32733.29</v>
      </c>
      <c r="K116" s="4">
        <v>108395.99</v>
      </c>
      <c r="L116" s="4">
        <v>119214.25</v>
      </c>
      <c r="M116" s="4">
        <v>177924.66999999998</v>
      </c>
      <c r="N116" s="4">
        <v>184109.5</v>
      </c>
      <c r="O116" s="4">
        <v>133176.80000000002</v>
      </c>
      <c r="P116" s="4">
        <v>124456.25000000001</v>
      </c>
      <c r="Q116" s="4">
        <v>24222.639999999999</v>
      </c>
      <c r="R116" s="4">
        <v>68946.92</v>
      </c>
      <c r="S116" s="4"/>
      <c r="T116" s="4">
        <v>28031.41</v>
      </c>
      <c r="U116" s="4">
        <v>56627.24</v>
      </c>
      <c r="V116" s="4">
        <v>143357.07</v>
      </c>
      <c r="W116" s="4">
        <v>102639.20000000001</v>
      </c>
      <c r="X116" s="4">
        <v>108845.76000000001</v>
      </c>
      <c r="Y116" s="4">
        <v>86845.550000000017</v>
      </c>
      <c r="Z116" s="4">
        <v>21440.89</v>
      </c>
      <c r="AA116" s="4">
        <v>227388.49</v>
      </c>
      <c r="AB116" s="4">
        <f t="shared" si="14"/>
        <v>2334947.0499999998</v>
      </c>
    </row>
    <row r="117" spans="1:28" x14ac:dyDescent="0.2">
      <c r="A117" s="3">
        <v>42979</v>
      </c>
      <c r="B117" s="4">
        <v>263492.93999999994</v>
      </c>
      <c r="C117" s="4">
        <v>57417.89</v>
      </c>
      <c r="D117" s="4">
        <v>50708.24</v>
      </c>
      <c r="E117" s="4">
        <v>125202.76999999999</v>
      </c>
      <c r="F117" s="4">
        <v>33224.559999999998</v>
      </c>
      <c r="G117" s="4">
        <v>32678.23</v>
      </c>
      <c r="H117" s="4">
        <v>26094.98</v>
      </c>
      <c r="I117" s="4">
        <v>47555.17</v>
      </c>
      <c r="J117" s="4">
        <v>40377.300000000003</v>
      </c>
      <c r="K117" s="4">
        <v>143210.64000000001</v>
      </c>
      <c r="L117" s="4">
        <v>175715.34</v>
      </c>
      <c r="M117" s="4">
        <v>207672.29000000004</v>
      </c>
      <c r="N117" s="4">
        <v>119921.66</v>
      </c>
      <c r="O117" s="4">
        <v>244486.23999999996</v>
      </c>
      <c r="P117" s="4">
        <v>135493.53000000003</v>
      </c>
      <c r="Q117" s="4">
        <v>20443.5</v>
      </c>
      <c r="R117" s="4">
        <v>54439</v>
      </c>
      <c r="S117" s="4"/>
      <c r="T117" s="4">
        <v>20565.5</v>
      </c>
      <c r="U117" s="4">
        <v>56835.350000000006</v>
      </c>
      <c r="V117" s="4">
        <v>127141.25</v>
      </c>
      <c r="W117" s="4">
        <v>81562.23000000001</v>
      </c>
      <c r="X117" s="4">
        <v>126964.07000000002</v>
      </c>
      <c r="Y117" s="4">
        <v>80752.95</v>
      </c>
      <c r="Z117" s="4">
        <v>25412.39</v>
      </c>
      <c r="AA117" s="4">
        <v>214510.25</v>
      </c>
      <c r="AB117" s="4">
        <f t="shared" si="14"/>
        <v>2511878.2700000005</v>
      </c>
    </row>
    <row r="118" spans="1:28" x14ac:dyDescent="0.2">
      <c r="A118" s="3">
        <v>43009</v>
      </c>
      <c r="B118" s="4">
        <v>262195.88</v>
      </c>
      <c r="C118" s="4">
        <v>43629.51</v>
      </c>
      <c r="D118" s="4">
        <v>24865.309999999998</v>
      </c>
      <c r="E118" s="4">
        <v>105254.01000000001</v>
      </c>
      <c r="F118" s="4">
        <v>31051.78</v>
      </c>
      <c r="G118" s="4">
        <v>26454.44</v>
      </c>
      <c r="H118" s="4">
        <v>16479.059999999998</v>
      </c>
      <c r="I118" s="4">
        <v>39374.26</v>
      </c>
      <c r="J118" s="4">
        <v>35605.35</v>
      </c>
      <c r="K118" s="4">
        <v>143490.25</v>
      </c>
      <c r="L118" s="4">
        <v>120389.25</v>
      </c>
      <c r="M118" s="4">
        <v>176845.3</v>
      </c>
      <c r="N118" s="4">
        <v>175251.5</v>
      </c>
      <c r="O118" s="4">
        <v>134152.63</v>
      </c>
      <c r="P118" s="4">
        <v>132674.76999999999</v>
      </c>
      <c r="Q118" s="4">
        <v>23933.64</v>
      </c>
      <c r="R118" s="4">
        <v>59274.740000000005</v>
      </c>
      <c r="S118" s="4"/>
      <c r="T118" s="4">
        <v>23543.11</v>
      </c>
      <c r="U118" s="4">
        <v>47878.54</v>
      </c>
      <c r="V118" s="4">
        <v>138622.68</v>
      </c>
      <c r="W118" s="4">
        <v>92141.48000000001</v>
      </c>
      <c r="X118" s="4">
        <v>116171.79000000001</v>
      </c>
      <c r="Y118" s="4">
        <v>63690.350000000006</v>
      </c>
      <c r="Z118" s="4">
        <v>22476.95</v>
      </c>
      <c r="AA118" s="4">
        <v>217190.09999999998</v>
      </c>
      <c r="AB118" s="4">
        <f t="shared" si="14"/>
        <v>2272636.6799999997</v>
      </c>
    </row>
    <row r="119" spans="1:28" x14ac:dyDescent="0.2">
      <c r="A119" s="3">
        <v>43040</v>
      </c>
      <c r="B119" s="4">
        <v>486037.20999999996</v>
      </c>
      <c r="C119" s="4">
        <v>44837.85</v>
      </c>
      <c r="D119" s="4">
        <v>25660.600000000002</v>
      </c>
      <c r="E119" s="4">
        <v>109819.93</v>
      </c>
      <c r="F119" s="4">
        <v>32522.71</v>
      </c>
      <c r="G119" s="4">
        <v>27272.79</v>
      </c>
      <c r="H119" s="4">
        <v>17565.769999999997</v>
      </c>
      <c r="I119" s="4">
        <v>40474.179999999993</v>
      </c>
      <c r="J119" s="4">
        <v>37007.11</v>
      </c>
      <c r="K119" s="4">
        <v>147339.26</v>
      </c>
      <c r="L119" s="4">
        <v>130555.17000000001</v>
      </c>
      <c r="M119" s="4">
        <v>189761.87</v>
      </c>
      <c r="N119" s="4">
        <v>411052.86</v>
      </c>
      <c r="O119" s="4">
        <v>136287.16000000003</v>
      </c>
      <c r="P119" s="4">
        <v>138550.33999999997</v>
      </c>
      <c r="Q119" s="4">
        <v>24104.07</v>
      </c>
      <c r="R119" s="4">
        <v>64775.259999999995</v>
      </c>
      <c r="S119" s="4"/>
      <c r="T119" s="4">
        <v>23870.89</v>
      </c>
      <c r="U119" s="4">
        <v>51045.26</v>
      </c>
      <c r="V119" s="4">
        <v>137916.33999999997</v>
      </c>
      <c r="W119" s="4">
        <v>97176.150000000009</v>
      </c>
      <c r="X119" s="4">
        <v>118074.47</v>
      </c>
      <c r="Y119" s="4">
        <v>66062.36</v>
      </c>
      <c r="Z119" s="4">
        <v>23606.01</v>
      </c>
      <c r="AA119" s="4">
        <v>407147.9</v>
      </c>
      <c r="AB119" s="4">
        <f t="shared" si="14"/>
        <v>2988523.5199999991</v>
      </c>
    </row>
    <row r="120" spans="1:28" x14ac:dyDescent="0.2">
      <c r="A120" s="3">
        <v>43070</v>
      </c>
      <c r="B120" s="4">
        <v>320970.31</v>
      </c>
      <c r="C120" s="4">
        <v>59025.06</v>
      </c>
      <c r="D120" s="4">
        <v>59522.749999999993</v>
      </c>
      <c r="E120" s="4">
        <v>103764.28999999998</v>
      </c>
      <c r="F120" s="4">
        <v>50711.46</v>
      </c>
      <c r="G120" s="4">
        <v>39081.769999999997</v>
      </c>
      <c r="H120" s="4">
        <v>21656.639999999999</v>
      </c>
      <c r="I120" s="4">
        <v>52895.28</v>
      </c>
      <c r="J120" s="4">
        <v>40426.35</v>
      </c>
      <c r="K120" s="4">
        <v>98367.65</v>
      </c>
      <c r="L120" s="4">
        <v>124114.29000000001</v>
      </c>
      <c r="M120" s="4">
        <v>137605.24</v>
      </c>
      <c r="N120" s="4">
        <v>128586.91999999997</v>
      </c>
      <c r="O120" s="4">
        <v>218254.83000000002</v>
      </c>
      <c r="P120" s="4">
        <v>116673.17000000001</v>
      </c>
      <c r="Q120" s="4">
        <v>26235.600000000002</v>
      </c>
      <c r="R120" s="4">
        <v>64518.53</v>
      </c>
      <c r="S120" s="4"/>
      <c r="T120" s="4">
        <v>34498.370000000003</v>
      </c>
      <c r="U120" s="4">
        <v>55643.1</v>
      </c>
      <c r="V120" s="4">
        <v>196375</v>
      </c>
      <c r="W120" s="4">
        <v>105999</v>
      </c>
      <c r="X120" s="4">
        <v>145371.57</v>
      </c>
      <c r="Y120" s="4">
        <v>89329.25</v>
      </c>
      <c r="Z120" s="4">
        <v>22046.370000000003</v>
      </c>
      <c r="AA120" s="4">
        <v>196249.64999999997</v>
      </c>
      <c r="AB120" s="4">
        <f t="shared" si="14"/>
        <v>2507922.4500000002</v>
      </c>
    </row>
    <row r="121" spans="1:28" ht="15.75" thickBot="1" x14ac:dyDescent="0.25">
      <c r="A121" s="1" t="s">
        <v>172</v>
      </c>
      <c r="B121" s="5">
        <f>SUM(B109:B120)</f>
        <v>3893734.0000000005</v>
      </c>
      <c r="C121" s="5">
        <f t="shared" ref="C121:AB121" si="15">SUM(C109:C120)</f>
        <v>653363.21</v>
      </c>
      <c r="D121" s="5">
        <f t="shared" si="15"/>
        <v>473164.25999999995</v>
      </c>
      <c r="E121" s="5">
        <f t="shared" si="15"/>
        <v>1362631.28</v>
      </c>
      <c r="F121" s="5">
        <f t="shared" si="15"/>
        <v>526652.6100000001</v>
      </c>
      <c r="G121" s="5">
        <f t="shared" si="15"/>
        <v>430720.75</v>
      </c>
      <c r="H121" s="5">
        <f t="shared" si="15"/>
        <v>248030.26</v>
      </c>
      <c r="I121" s="5">
        <f t="shared" si="15"/>
        <v>601573.19999999995</v>
      </c>
      <c r="J121" s="5">
        <f t="shared" si="15"/>
        <v>475493.86999999994</v>
      </c>
      <c r="K121" s="5">
        <f t="shared" si="15"/>
        <v>1571281.6500000001</v>
      </c>
      <c r="L121" s="5">
        <f t="shared" si="15"/>
        <v>1713259.3499999999</v>
      </c>
      <c r="M121" s="5">
        <f t="shared" si="15"/>
        <v>2329297.9400000004</v>
      </c>
      <c r="N121" s="5">
        <f t="shared" si="15"/>
        <v>2513676.6</v>
      </c>
      <c r="O121" s="5">
        <f t="shared" si="15"/>
        <v>1985584.4700000002</v>
      </c>
      <c r="P121" s="5">
        <f t="shared" si="15"/>
        <v>1745396.9900000002</v>
      </c>
      <c r="Q121" s="5">
        <f t="shared" si="15"/>
        <v>348608.57</v>
      </c>
      <c r="R121" s="5">
        <f t="shared" si="15"/>
        <v>835863.76</v>
      </c>
      <c r="S121" s="5"/>
      <c r="T121" s="5">
        <f t="shared" si="15"/>
        <v>398544.49</v>
      </c>
      <c r="U121" s="5">
        <f t="shared" si="15"/>
        <v>698299.35</v>
      </c>
      <c r="V121" s="5">
        <f t="shared" si="15"/>
        <v>2047089.4499999997</v>
      </c>
      <c r="W121" s="5">
        <f t="shared" si="15"/>
        <v>1302281.24</v>
      </c>
      <c r="X121" s="5">
        <f t="shared" si="15"/>
        <v>1682443.7900000003</v>
      </c>
      <c r="Y121" s="5">
        <f t="shared" si="15"/>
        <v>1064376.3</v>
      </c>
      <c r="Z121" s="5">
        <f t="shared" si="15"/>
        <v>322272.65000000002</v>
      </c>
      <c r="AA121" s="5">
        <f t="shared" si="15"/>
        <v>2970022.9899999998</v>
      </c>
      <c r="AB121" s="5">
        <f t="shared" si="15"/>
        <v>32193663.030000001</v>
      </c>
    </row>
    <row r="122" spans="1:28" ht="15.75" thickTop="1" x14ac:dyDescent="0.2"/>
    <row r="123" spans="1:28" x14ac:dyDescent="0.2">
      <c r="A123" s="3">
        <v>42370</v>
      </c>
      <c r="B123" s="4">
        <v>443587.44</v>
      </c>
      <c r="C123" s="4">
        <v>67632.259999999995</v>
      </c>
      <c r="D123" s="4">
        <v>60114.35</v>
      </c>
      <c r="E123" s="4">
        <v>126661</v>
      </c>
      <c r="F123" s="4">
        <v>55237.82</v>
      </c>
      <c r="G123" s="4">
        <v>42071.85</v>
      </c>
      <c r="H123" s="4">
        <v>27918.91</v>
      </c>
      <c r="I123" s="4">
        <v>58934.8</v>
      </c>
      <c r="J123" s="4">
        <v>55235.25</v>
      </c>
      <c r="K123" s="4">
        <v>143523.4</v>
      </c>
      <c r="L123" s="4">
        <v>154498.1</v>
      </c>
      <c r="M123" s="4">
        <v>249506.54</v>
      </c>
      <c r="N123" s="4">
        <v>354630.25</v>
      </c>
      <c r="O123" s="4">
        <v>184507.35</v>
      </c>
      <c r="P123" s="4">
        <v>199983.89</v>
      </c>
      <c r="Q123" s="4">
        <v>43844.62</v>
      </c>
      <c r="R123" s="4">
        <v>75928.5</v>
      </c>
      <c r="S123" s="4"/>
      <c r="T123" s="4">
        <v>40073.839999999997</v>
      </c>
      <c r="U123" s="4">
        <v>79284.88</v>
      </c>
      <c r="V123" s="4">
        <v>248876.77</v>
      </c>
      <c r="W123" s="4">
        <v>159033.57999999999</v>
      </c>
      <c r="X123" s="4">
        <v>191359.33</v>
      </c>
      <c r="Y123" s="4">
        <v>119717.73</v>
      </c>
      <c r="Z123" s="4">
        <v>39706.11</v>
      </c>
      <c r="AA123" s="4">
        <v>360474.73</v>
      </c>
      <c r="AB123" s="4">
        <f t="shared" ref="AB123:AB134" si="16">SUM(B123:AA123)</f>
        <v>3582343.3000000003</v>
      </c>
    </row>
    <row r="124" spans="1:28" x14ac:dyDescent="0.2">
      <c r="A124" s="3">
        <v>42401</v>
      </c>
      <c r="B124" s="4">
        <v>391467.51</v>
      </c>
      <c r="C124" s="4">
        <v>60333.01</v>
      </c>
      <c r="D124" s="4">
        <v>58826.239999999998</v>
      </c>
      <c r="E124" s="4">
        <v>110024.15</v>
      </c>
      <c r="F124" s="4">
        <v>46264.77</v>
      </c>
      <c r="G124" s="4">
        <v>35137.699999999997</v>
      </c>
      <c r="H124" s="4">
        <v>24699.24</v>
      </c>
      <c r="I124" s="4">
        <v>52141.29</v>
      </c>
      <c r="J124" s="4">
        <v>47617.04</v>
      </c>
      <c r="K124" s="4">
        <v>108148.07</v>
      </c>
      <c r="L124" s="4">
        <v>163033.23000000001</v>
      </c>
      <c r="M124" s="4">
        <v>217661.78</v>
      </c>
      <c r="N124" s="4">
        <v>311309.96000000002</v>
      </c>
      <c r="O124" s="4">
        <v>194447.63</v>
      </c>
      <c r="P124" s="4">
        <v>174321.95</v>
      </c>
      <c r="Q124" s="4">
        <v>41200.5</v>
      </c>
      <c r="R124" s="4">
        <v>76536.039999999994</v>
      </c>
      <c r="S124" s="4"/>
      <c r="T124" s="4">
        <v>33995.089999999997</v>
      </c>
      <c r="U124" s="4">
        <v>71198.86</v>
      </c>
      <c r="V124" s="4">
        <v>216748.48</v>
      </c>
      <c r="W124" s="4">
        <v>138655.09</v>
      </c>
      <c r="X124" s="4">
        <v>167780.08</v>
      </c>
      <c r="Y124" s="4">
        <v>102947.68</v>
      </c>
      <c r="Z124" s="4">
        <v>33897.449999999997</v>
      </c>
      <c r="AA124" s="4">
        <v>369060.54</v>
      </c>
      <c r="AB124" s="4">
        <f t="shared" si="16"/>
        <v>3247453.38</v>
      </c>
    </row>
    <row r="125" spans="1:28" x14ac:dyDescent="0.2">
      <c r="A125" s="3">
        <v>42430</v>
      </c>
      <c r="B125" s="4">
        <v>160738.4</v>
      </c>
      <c r="C125" s="4">
        <v>61718.05</v>
      </c>
      <c r="D125" s="4">
        <v>2324.3099999999995</v>
      </c>
      <c r="E125" s="4">
        <v>124198.93</v>
      </c>
      <c r="F125" s="4">
        <v>26382.79</v>
      </c>
      <c r="G125" s="4">
        <v>25610.25</v>
      </c>
      <c r="H125" s="4">
        <v>21583.95</v>
      </c>
      <c r="I125" s="4">
        <v>46737.46</v>
      </c>
      <c r="J125" s="4">
        <v>47431.63</v>
      </c>
      <c r="K125" s="4">
        <v>118537.08</v>
      </c>
      <c r="L125" s="4">
        <v>126349.44</v>
      </c>
      <c r="M125" s="4">
        <v>156660.10999999999</v>
      </c>
      <c r="N125" s="4">
        <v>140597.47</v>
      </c>
      <c r="O125" s="4">
        <v>91135.52</v>
      </c>
      <c r="P125" s="4">
        <v>142517.99</v>
      </c>
      <c r="Q125" s="4">
        <v>15988.6</v>
      </c>
      <c r="R125" s="4">
        <v>74747.72</v>
      </c>
      <c r="S125" s="4"/>
      <c r="T125" s="4">
        <v>19314.5</v>
      </c>
      <c r="U125" s="4">
        <v>50564.57</v>
      </c>
      <c r="V125" s="4">
        <v>172520.49</v>
      </c>
      <c r="W125" s="4">
        <v>105089.2</v>
      </c>
      <c r="X125" s="4">
        <v>102138.06</v>
      </c>
      <c r="Y125" s="4">
        <v>-10756</v>
      </c>
      <c r="Z125" s="4">
        <v>11808.06</v>
      </c>
      <c r="AA125" s="4">
        <v>206733.67</v>
      </c>
      <c r="AB125" s="4">
        <f t="shared" si="16"/>
        <v>2040672.2500000002</v>
      </c>
    </row>
    <row r="126" spans="1:28" x14ac:dyDescent="0.2">
      <c r="A126" s="3">
        <v>42461</v>
      </c>
      <c r="B126" s="4">
        <v>349707.3</v>
      </c>
      <c r="C126" s="4">
        <v>35991.81</v>
      </c>
      <c r="D126" s="4">
        <v>45773.06</v>
      </c>
      <c r="E126" s="4">
        <v>81456.62</v>
      </c>
      <c r="F126" s="4">
        <v>49624.41</v>
      </c>
      <c r="G126" s="4">
        <v>27606.15</v>
      </c>
      <c r="H126" s="4">
        <v>10677.01</v>
      </c>
      <c r="I126" s="4">
        <v>44397.93</v>
      </c>
      <c r="J126" s="4">
        <v>29823.63</v>
      </c>
      <c r="K126" s="4">
        <v>142761.18</v>
      </c>
      <c r="L126" s="4">
        <v>108098.24000000001</v>
      </c>
      <c r="M126" s="4">
        <v>187790.63</v>
      </c>
      <c r="N126" s="4">
        <v>250948.47</v>
      </c>
      <c r="O126" s="4">
        <v>155310.34</v>
      </c>
      <c r="P126" s="4">
        <v>126944.81</v>
      </c>
      <c r="Q126" s="4">
        <v>34306.629999999997</v>
      </c>
      <c r="R126" s="4">
        <v>55475.82</v>
      </c>
      <c r="S126" s="4"/>
      <c r="T126" s="4">
        <v>28273.360000000001</v>
      </c>
      <c r="U126" s="4">
        <v>54301.46</v>
      </c>
      <c r="V126" s="4">
        <v>177545</v>
      </c>
      <c r="W126" s="4">
        <v>110510.46</v>
      </c>
      <c r="X126" s="4">
        <v>162567.44</v>
      </c>
      <c r="Y126" s="4">
        <v>90907.09</v>
      </c>
      <c r="Z126" s="4">
        <v>30973.599999999999</v>
      </c>
      <c r="AA126" s="4">
        <v>270399.09000000003</v>
      </c>
      <c r="AB126" s="4">
        <f t="shared" si="16"/>
        <v>2662171.54</v>
      </c>
    </row>
    <row r="127" spans="1:28" x14ac:dyDescent="0.2">
      <c r="A127" s="3">
        <v>42491</v>
      </c>
      <c r="B127" s="4">
        <v>370798.3</v>
      </c>
      <c r="C127" s="4">
        <v>32494.400000000001</v>
      </c>
      <c r="D127" s="4">
        <v>48034.77</v>
      </c>
      <c r="E127" s="4">
        <v>104009.63</v>
      </c>
      <c r="F127" s="4">
        <v>49674.43</v>
      </c>
      <c r="G127" s="4">
        <v>33146.19</v>
      </c>
      <c r="H127" s="4">
        <v>7923.96</v>
      </c>
      <c r="I127" s="4">
        <v>47717.37</v>
      </c>
      <c r="J127" s="4">
        <v>23661.27</v>
      </c>
      <c r="K127" s="4">
        <v>154818.35</v>
      </c>
      <c r="L127" s="4">
        <v>115380.57</v>
      </c>
      <c r="M127" s="4">
        <v>194979.84</v>
      </c>
      <c r="N127" s="4">
        <v>266556.21000000002</v>
      </c>
      <c r="O127" s="4">
        <v>175755.35</v>
      </c>
      <c r="P127" s="4">
        <v>112457.1</v>
      </c>
      <c r="Q127" s="4">
        <v>36115.21</v>
      </c>
      <c r="R127" s="4">
        <v>61856.11</v>
      </c>
      <c r="S127" s="4"/>
      <c r="T127" s="4">
        <v>29250.63</v>
      </c>
      <c r="U127" s="4">
        <v>54061.31</v>
      </c>
      <c r="V127" s="4">
        <v>187801.31</v>
      </c>
      <c r="W127" s="4">
        <v>119528.28</v>
      </c>
      <c r="X127" s="4">
        <v>169746.97</v>
      </c>
      <c r="Y127" s="4">
        <v>106698.8</v>
      </c>
      <c r="Z127" s="4">
        <v>32474.22</v>
      </c>
      <c r="AA127" s="4">
        <v>296027.34999999998</v>
      </c>
      <c r="AB127" s="4">
        <f t="shared" si="16"/>
        <v>2830967.9300000006</v>
      </c>
    </row>
    <row r="128" spans="1:28" x14ac:dyDescent="0.2">
      <c r="A128" s="3">
        <v>42522</v>
      </c>
      <c r="B128" s="4">
        <v>419034.69</v>
      </c>
      <c r="C128" s="4">
        <v>112847.46</v>
      </c>
      <c r="D128" s="4">
        <v>95602.18</v>
      </c>
      <c r="E128" s="4">
        <v>177324.41</v>
      </c>
      <c r="F128" s="4">
        <v>24687.339999999997</v>
      </c>
      <c r="G128" s="4">
        <v>50816.09</v>
      </c>
      <c r="H128" s="4">
        <v>40357.11</v>
      </c>
      <c r="I128" s="4">
        <v>110168.11999999998</v>
      </c>
      <c r="J128" s="4">
        <v>64094.599999999991</v>
      </c>
      <c r="K128" s="4">
        <v>109550.16</v>
      </c>
      <c r="L128" s="4">
        <v>119437.81</v>
      </c>
      <c r="M128" s="4">
        <v>245635.52000000002</v>
      </c>
      <c r="N128" s="4">
        <v>349999.79000000004</v>
      </c>
      <c r="O128" s="4">
        <v>168336.07</v>
      </c>
      <c r="P128" s="4">
        <v>268161.73</v>
      </c>
      <c r="Q128" s="4">
        <v>50917.72</v>
      </c>
      <c r="R128" s="4">
        <v>88392.320000000007</v>
      </c>
      <c r="S128" s="4"/>
      <c r="T128" s="4">
        <v>56599.510000000009</v>
      </c>
      <c r="U128" s="4">
        <v>46696.71</v>
      </c>
      <c r="V128" s="4">
        <v>298269.78000000003</v>
      </c>
      <c r="W128" s="4">
        <v>144391.48000000004</v>
      </c>
      <c r="X128" s="4">
        <v>204245.16</v>
      </c>
      <c r="Y128" s="4">
        <v>159946.29999999996</v>
      </c>
      <c r="Z128" s="4">
        <v>29908.090000000004</v>
      </c>
      <c r="AA128" s="4">
        <v>697406.09000000008</v>
      </c>
      <c r="AB128" s="4">
        <f t="shared" si="16"/>
        <v>4132826.24</v>
      </c>
    </row>
    <row r="129" spans="1:28" x14ac:dyDescent="0.2">
      <c r="A129" s="3">
        <v>42552</v>
      </c>
      <c r="B129" s="4">
        <v>241324.81</v>
      </c>
      <c r="C129" s="4">
        <v>36097.81</v>
      </c>
      <c r="D129" s="4">
        <v>32300.32</v>
      </c>
      <c r="E129" s="4">
        <v>90986.57</v>
      </c>
      <c r="F129" s="4">
        <v>28351.85</v>
      </c>
      <c r="G129" s="4">
        <v>24532.81</v>
      </c>
      <c r="H129" s="4">
        <v>8524.49</v>
      </c>
      <c r="I129" s="4">
        <v>34533.519999999997</v>
      </c>
      <c r="J129" s="4">
        <v>24397.7</v>
      </c>
      <c r="K129" s="4">
        <v>95932.2</v>
      </c>
      <c r="L129" s="4">
        <v>90785.84</v>
      </c>
      <c r="M129" s="4">
        <v>169978.9</v>
      </c>
      <c r="N129" s="4">
        <v>228904.28</v>
      </c>
      <c r="O129" s="4">
        <v>115138.42</v>
      </c>
      <c r="P129" s="4">
        <v>88623.99</v>
      </c>
      <c r="Q129" s="4">
        <v>20157.72</v>
      </c>
      <c r="R129" s="4">
        <v>62979.03</v>
      </c>
      <c r="S129" s="4"/>
      <c r="T129" s="4">
        <v>21611.19</v>
      </c>
      <c r="U129" s="4">
        <v>48435.63</v>
      </c>
      <c r="V129" s="4">
        <v>128273.26</v>
      </c>
      <c r="W129" s="4">
        <v>94533.55</v>
      </c>
      <c r="X129" s="4">
        <v>97894.48</v>
      </c>
      <c r="Y129" s="4">
        <v>61928.19</v>
      </c>
      <c r="Z129" s="4">
        <v>20867.8</v>
      </c>
      <c r="AA129" s="4">
        <v>262220.71000000002</v>
      </c>
      <c r="AB129" s="4">
        <f t="shared" si="16"/>
        <v>2129315.0699999998</v>
      </c>
    </row>
    <row r="130" spans="1:28" x14ac:dyDescent="0.2">
      <c r="A130" s="3">
        <v>42583</v>
      </c>
      <c r="B130" s="4">
        <v>232451.53</v>
      </c>
      <c r="C130" s="4">
        <v>40526.449999999997</v>
      </c>
      <c r="D130" s="4">
        <v>31728.99</v>
      </c>
      <c r="E130" s="4">
        <v>86974.64</v>
      </c>
      <c r="F130" s="4">
        <v>28339.99</v>
      </c>
      <c r="G130" s="4">
        <v>24595.62</v>
      </c>
      <c r="H130" s="4">
        <v>11861.29</v>
      </c>
      <c r="I130" s="4">
        <v>32777.760000000002</v>
      </c>
      <c r="J130" s="4">
        <v>29179.71</v>
      </c>
      <c r="K130" s="4">
        <v>91039</v>
      </c>
      <c r="L130" s="4">
        <v>88922.82</v>
      </c>
      <c r="M130" s="4">
        <v>160784.38</v>
      </c>
      <c r="N130" s="4">
        <v>216592.15</v>
      </c>
      <c r="O130" s="4">
        <v>106199.23</v>
      </c>
      <c r="P130" s="4">
        <v>104963.79</v>
      </c>
      <c r="Q130" s="4">
        <v>19221.87</v>
      </c>
      <c r="R130" s="4">
        <v>56375.59</v>
      </c>
      <c r="S130" s="4"/>
      <c r="T130" s="4">
        <v>21910.65</v>
      </c>
      <c r="U130" s="4">
        <v>46672.93</v>
      </c>
      <c r="V130" s="4">
        <v>125039.03999999999</v>
      </c>
      <c r="W130" s="4">
        <v>90028.27</v>
      </c>
      <c r="X130" s="4">
        <v>95053.73</v>
      </c>
      <c r="Y130" s="4">
        <v>60938.18</v>
      </c>
      <c r="Z130" s="4">
        <v>20344.72</v>
      </c>
      <c r="AA130" s="4">
        <v>250540.16</v>
      </c>
      <c r="AB130" s="4">
        <f t="shared" si="16"/>
        <v>2073062.49</v>
      </c>
    </row>
    <row r="131" spans="1:28" x14ac:dyDescent="0.2">
      <c r="A131" s="3">
        <v>42614</v>
      </c>
      <c r="B131" s="4">
        <v>477857.57</v>
      </c>
      <c r="C131" s="4">
        <v>66524.42</v>
      </c>
      <c r="D131" s="4">
        <v>27585.63</v>
      </c>
      <c r="E131" s="4">
        <v>142604.76</v>
      </c>
      <c r="F131" s="4">
        <v>53329.23</v>
      </c>
      <c r="G131" s="4">
        <v>45723.25</v>
      </c>
      <c r="H131" s="4">
        <v>19451.21</v>
      </c>
      <c r="I131" s="4">
        <v>77162.86</v>
      </c>
      <c r="J131" s="4">
        <v>61307.96</v>
      </c>
      <c r="K131" s="4">
        <v>149512.51</v>
      </c>
      <c r="L131" s="4">
        <v>199219.53</v>
      </c>
      <c r="M131" s="4">
        <v>194036.02</v>
      </c>
      <c r="N131" s="4">
        <v>101278.36</v>
      </c>
      <c r="O131" s="4">
        <v>179207.31</v>
      </c>
      <c r="P131" s="4">
        <v>231518.86</v>
      </c>
      <c r="Q131" s="4">
        <v>31021.05</v>
      </c>
      <c r="R131" s="4">
        <v>80451.8</v>
      </c>
      <c r="S131" s="4"/>
      <c r="T131" s="4">
        <v>72952.539999999994</v>
      </c>
      <c r="U131" s="4">
        <v>73825.03</v>
      </c>
      <c r="V131" s="4">
        <v>254258.18</v>
      </c>
      <c r="W131" s="4">
        <v>138992.54999999999</v>
      </c>
      <c r="X131" s="4">
        <v>185858.06</v>
      </c>
      <c r="Y131" s="4">
        <v>101194.63</v>
      </c>
      <c r="Z131" s="4">
        <v>39459.550000000003</v>
      </c>
      <c r="AA131" s="4">
        <v>174889.47</v>
      </c>
      <c r="AB131" s="4">
        <f t="shared" si="16"/>
        <v>3179222.34</v>
      </c>
    </row>
    <row r="132" spans="1:28" x14ac:dyDescent="0.2">
      <c r="A132" s="3">
        <v>42644</v>
      </c>
      <c r="B132" s="4">
        <v>232368.09</v>
      </c>
      <c r="C132" s="4">
        <v>44353.1</v>
      </c>
      <c r="D132" s="4">
        <v>28986.39</v>
      </c>
      <c r="E132" s="4">
        <v>82849.919999999998</v>
      </c>
      <c r="F132" s="4">
        <v>26389.3</v>
      </c>
      <c r="G132" s="4">
        <v>27455.08</v>
      </c>
      <c r="H132" s="4">
        <v>16046.02</v>
      </c>
      <c r="I132" s="4">
        <v>37736.980000000003</v>
      </c>
      <c r="J132" s="4">
        <v>27963.759999999998</v>
      </c>
      <c r="K132" s="4">
        <v>78190.8</v>
      </c>
      <c r="L132" s="4">
        <v>82422.58</v>
      </c>
      <c r="M132" s="4">
        <v>150397.79999999999</v>
      </c>
      <c r="N132" s="4">
        <v>190091.91</v>
      </c>
      <c r="O132" s="4">
        <v>109162.04</v>
      </c>
      <c r="P132" s="4">
        <v>101635.29</v>
      </c>
      <c r="Q132" s="4">
        <v>19183.759999999998</v>
      </c>
      <c r="R132" s="4">
        <v>51582.92</v>
      </c>
      <c r="S132" s="4"/>
      <c r="T132" s="4">
        <v>18865.77</v>
      </c>
      <c r="U132" s="4">
        <v>42767.59</v>
      </c>
      <c r="V132" s="4">
        <v>113721.31</v>
      </c>
      <c r="W132" s="4">
        <v>72424.97</v>
      </c>
      <c r="X132" s="4">
        <v>92967.3</v>
      </c>
      <c r="Y132" s="4">
        <v>63432.58</v>
      </c>
      <c r="Z132" s="4">
        <v>19033.27</v>
      </c>
      <c r="AA132" s="4">
        <v>225577.23</v>
      </c>
      <c r="AB132" s="4">
        <f t="shared" si="16"/>
        <v>1955605.7600000002</v>
      </c>
    </row>
    <row r="133" spans="1:28" x14ac:dyDescent="0.2">
      <c r="A133" s="3">
        <v>42675</v>
      </c>
      <c r="B133" s="4">
        <v>230298.41</v>
      </c>
      <c r="C133" s="4">
        <v>38107.050000000003</v>
      </c>
      <c r="D133" s="4">
        <v>28462.98</v>
      </c>
      <c r="E133" s="4">
        <v>81468.89</v>
      </c>
      <c r="F133" s="4">
        <v>25089.97</v>
      </c>
      <c r="G133" s="4">
        <v>26101.59</v>
      </c>
      <c r="H133" s="4">
        <v>12258.76</v>
      </c>
      <c r="I133" s="4">
        <v>31299.65</v>
      </c>
      <c r="J133" s="4">
        <v>29077.16</v>
      </c>
      <c r="K133" s="4">
        <v>104604.87</v>
      </c>
      <c r="L133" s="4">
        <v>80912.27</v>
      </c>
      <c r="M133" s="4">
        <v>138668.13</v>
      </c>
      <c r="N133" s="4">
        <v>185462.31</v>
      </c>
      <c r="O133" s="4">
        <v>101282.9</v>
      </c>
      <c r="P133" s="4">
        <v>72988.33</v>
      </c>
      <c r="Q133" s="4">
        <v>18814.7</v>
      </c>
      <c r="R133" s="4">
        <v>48167.87</v>
      </c>
      <c r="S133" s="4"/>
      <c r="T133" s="4">
        <v>18426.96</v>
      </c>
      <c r="U133" s="4">
        <v>42120.27</v>
      </c>
      <c r="V133" s="4">
        <v>110053.68</v>
      </c>
      <c r="W133" s="4">
        <v>76489.47</v>
      </c>
      <c r="X133" s="4">
        <v>92825.77</v>
      </c>
      <c r="Y133" s="4">
        <v>57092.02</v>
      </c>
      <c r="Z133" s="4">
        <v>18700.93</v>
      </c>
      <c r="AA133" s="4">
        <v>213320.73</v>
      </c>
      <c r="AB133" s="4">
        <f t="shared" si="16"/>
        <v>1882095.67</v>
      </c>
    </row>
    <row r="134" spans="1:28" x14ac:dyDescent="0.2">
      <c r="A134" s="3">
        <v>42705</v>
      </c>
      <c r="B134" s="4">
        <v>333034.84000000003</v>
      </c>
      <c r="C134" s="4">
        <v>53440.18</v>
      </c>
      <c r="D134" s="4">
        <v>21924.25</v>
      </c>
      <c r="E134" s="4">
        <v>195372.51</v>
      </c>
      <c r="F134" s="4">
        <v>48197.78</v>
      </c>
      <c r="G134" s="4">
        <v>31092</v>
      </c>
      <c r="H134" s="4">
        <v>31904.84</v>
      </c>
      <c r="I134" s="4">
        <v>53701.42</v>
      </c>
      <c r="J134" s="4">
        <v>53928.99</v>
      </c>
      <c r="K134" s="4">
        <v>256843.02</v>
      </c>
      <c r="L134" s="4">
        <v>255369.41</v>
      </c>
      <c r="M134" s="4">
        <v>381249.59</v>
      </c>
      <c r="N134" s="4">
        <v>303006.89</v>
      </c>
      <c r="O134" s="4">
        <v>364045.29000000004</v>
      </c>
      <c r="P134" s="4">
        <v>197229.83</v>
      </c>
      <c r="Q134" s="4">
        <v>31492.52</v>
      </c>
      <c r="R134" s="4">
        <v>108458.72999999998</v>
      </c>
      <c r="S134" s="4"/>
      <c r="T134" s="4">
        <v>55576.75</v>
      </c>
      <c r="U134" s="4">
        <v>80945.33</v>
      </c>
      <c r="V134" s="4">
        <v>225873.15</v>
      </c>
      <c r="W134" s="4">
        <v>154878.54999999999</v>
      </c>
      <c r="X134" s="4">
        <v>158537.90000000002</v>
      </c>
      <c r="Y134" s="4">
        <v>83178.820000000007</v>
      </c>
      <c r="Z134" s="4">
        <v>29750.800000000003</v>
      </c>
      <c r="AA134" s="4">
        <v>376716.48</v>
      </c>
      <c r="AB134" s="4">
        <f t="shared" si="16"/>
        <v>3885749.8699999996</v>
      </c>
    </row>
    <row r="135" spans="1:28" ht="15.75" thickBot="1" x14ac:dyDescent="0.25">
      <c r="A135" s="3" t="s">
        <v>171</v>
      </c>
      <c r="B135" s="5">
        <f>SUM(B123:B134)</f>
        <v>3882668.8899999997</v>
      </c>
      <c r="C135" s="5">
        <f t="shared" ref="C135:AB135" si="17">SUM(C123:C134)</f>
        <v>650066.00000000012</v>
      </c>
      <c r="D135" s="5">
        <f t="shared" si="17"/>
        <v>481663.47</v>
      </c>
      <c r="E135" s="5">
        <f t="shared" si="17"/>
        <v>1403932.03</v>
      </c>
      <c r="F135" s="5">
        <f t="shared" si="17"/>
        <v>461569.67999999993</v>
      </c>
      <c r="G135" s="5">
        <f t="shared" si="17"/>
        <v>393888.58</v>
      </c>
      <c r="H135" s="5">
        <f t="shared" si="17"/>
        <v>233206.78999999998</v>
      </c>
      <c r="I135" s="5">
        <f t="shared" si="17"/>
        <v>627309.16</v>
      </c>
      <c r="J135" s="5">
        <f t="shared" si="17"/>
        <v>493718.7</v>
      </c>
      <c r="K135" s="5">
        <f t="shared" si="17"/>
        <v>1553460.6400000001</v>
      </c>
      <c r="L135" s="5">
        <f t="shared" si="17"/>
        <v>1584429.84</v>
      </c>
      <c r="M135" s="5">
        <f t="shared" si="17"/>
        <v>2447349.2399999998</v>
      </c>
      <c r="N135" s="5">
        <f t="shared" si="17"/>
        <v>2899378.0500000003</v>
      </c>
      <c r="O135" s="5">
        <f t="shared" si="17"/>
        <v>1944527.45</v>
      </c>
      <c r="P135" s="5">
        <f t="shared" si="17"/>
        <v>1821347.56</v>
      </c>
      <c r="Q135" s="5">
        <f t="shared" si="17"/>
        <v>362264.9</v>
      </c>
      <c r="R135" s="5">
        <f t="shared" si="17"/>
        <v>840952.45</v>
      </c>
      <c r="S135" s="5"/>
      <c r="T135" s="5">
        <f t="shared" si="17"/>
        <v>416850.79000000004</v>
      </c>
      <c r="U135" s="5">
        <f t="shared" si="17"/>
        <v>690874.57</v>
      </c>
      <c r="V135" s="5">
        <f t="shared" si="17"/>
        <v>2258980.4500000002</v>
      </c>
      <c r="W135" s="5">
        <f t="shared" si="17"/>
        <v>1404555.4500000002</v>
      </c>
      <c r="X135" s="5">
        <f t="shared" si="17"/>
        <v>1720974.2800000003</v>
      </c>
      <c r="Y135" s="5">
        <f t="shared" si="17"/>
        <v>997226.02</v>
      </c>
      <c r="Z135" s="5">
        <f t="shared" si="17"/>
        <v>326924.59999999998</v>
      </c>
      <c r="AA135" s="5">
        <f t="shared" si="17"/>
        <v>3703366.25</v>
      </c>
      <c r="AB135" s="5">
        <f t="shared" si="17"/>
        <v>33601485.839999996</v>
      </c>
    </row>
    <row r="136" spans="1:28" ht="15.75" thickTop="1" x14ac:dyDescent="0.2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x14ac:dyDescent="0.2">
      <c r="A137" s="3">
        <v>42005</v>
      </c>
      <c r="B137" s="4">
        <v>479350.61</v>
      </c>
      <c r="C137" s="4">
        <v>76633.600000000006</v>
      </c>
      <c r="D137" s="4">
        <v>63481.08</v>
      </c>
      <c r="E137" s="4">
        <v>131930.35</v>
      </c>
      <c r="F137" s="4">
        <v>68962.66</v>
      </c>
      <c r="G137" s="4">
        <v>50490.9</v>
      </c>
      <c r="H137" s="4">
        <v>32246.71</v>
      </c>
      <c r="I137" s="4">
        <v>67107.360000000001</v>
      </c>
      <c r="J137" s="4">
        <v>62369.69</v>
      </c>
      <c r="K137" s="4">
        <v>150761.25</v>
      </c>
      <c r="L137" s="4">
        <v>160843.84</v>
      </c>
      <c r="M137" s="4">
        <v>259765.25</v>
      </c>
      <c r="N137" s="4">
        <v>362162.92</v>
      </c>
      <c r="O137" s="4">
        <v>201722.71</v>
      </c>
      <c r="P137" s="4">
        <v>230732.08</v>
      </c>
      <c r="Q137" s="4">
        <v>53076.78</v>
      </c>
      <c r="R137" s="4">
        <v>85457.279999999999</v>
      </c>
      <c r="S137" s="4"/>
      <c r="T137" s="4">
        <v>45345.23</v>
      </c>
      <c r="U137" s="4">
        <v>85947.99</v>
      </c>
      <c r="V137" s="4">
        <v>261476.49</v>
      </c>
      <c r="W137" s="4">
        <v>162483.70000000001</v>
      </c>
      <c r="X137" s="4">
        <v>228366.44</v>
      </c>
      <c r="Y137" s="4">
        <v>136373.45000000001</v>
      </c>
      <c r="Z137" s="4">
        <v>39603.050000000003</v>
      </c>
      <c r="AA137" s="4">
        <v>378653.56</v>
      </c>
      <c r="AB137" s="4">
        <f t="shared" ref="AB137:AB148" si="18">SUM(B137:AA137)</f>
        <v>3875344.9800000004</v>
      </c>
    </row>
    <row r="138" spans="1:28" x14ac:dyDescent="0.2">
      <c r="A138" s="3">
        <v>42036</v>
      </c>
      <c r="B138" s="4">
        <v>403067.46</v>
      </c>
      <c r="C138" s="4">
        <v>63270.98</v>
      </c>
      <c r="D138" s="4">
        <v>56098.52</v>
      </c>
      <c r="E138" s="4">
        <v>105977.57</v>
      </c>
      <c r="F138" s="4">
        <v>62564.480000000003</v>
      </c>
      <c r="G138" s="4">
        <v>50088.21</v>
      </c>
      <c r="H138" s="4">
        <v>26956.720000000001</v>
      </c>
      <c r="I138" s="4">
        <v>52395.07</v>
      </c>
      <c r="J138" s="4">
        <v>51243.25</v>
      </c>
      <c r="K138" s="4">
        <v>122045.71</v>
      </c>
      <c r="L138" s="4">
        <v>127912.58</v>
      </c>
      <c r="M138" s="4">
        <v>207582.55</v>
      </c>
      <c r="N138" s="4">
        <v>301280.15999999997</v>
      </c>
      <c r="O138" s="4">
        <v>167988.44</v>
      </c>
      <c r="P138" s="4">
        <v>183337.32</v>
      </c>
      <c r="Q138" s="4">
        <v>44710.07</v>
      </c>
      <c r="R138" s="4">
        <v>71961.38</v>
      </c>
      <c r="S138" s="4"/>
      <c r="T138" s="4">
        <v>37470.65</v>
      </c>
      <c r="U138" s="4">
        <v>70074.720000000001</v>
      </c>
      <c r="V138" s="4">
        <v>218074.82</v>
      </c>
      <c r="W138" s="4">
        <v>144655.85999999999</v>
      </c>
      <c r="X138" s="4">
        <v>199528.66</v>
      </c>
      <c r="Y138" s="4">
        <v>121284.57</v>
      </c>
      <c r="Z138" s="4">
        <v>37451.67</v>
      </c>
      <c r="AA138" s="4">
        <v>313714.96000000002</v>
      </c>
      <c r="AB138" s="4">
        <f t="shared" si="18"/>
        <v>3240736.3799999994</v>
      </c>
    </row>
    <row r="139" spans="1:28" x14ac:dyDescent="0.2">
      <c r="A139" s="3">
        <v>42064</v>
      </c>
      <c r="B139" s="4">
        <v>318195.96000000002</v>
      </c>
      <c r="C139" s="4">
        <v>102969.9</v>
      </c>
      <c r="D139" s="4">
        <v>46840.21</v>
      </c>
      <c r="E139" s="4">
        <v>167712.12</v>
      </c>
      <c r="F139" s="4">
        <v>42686.559999999998</v>
      </c>
      <c r="G139" s="4">
        <v>9843.7900000000009</v>
      </c>
      <c r="H139" s="4">
        <v>46437.25</v>
      </c>
      <c r="I139" s="4">
        <v>67894.53</v>
      </c>
      <c r="J139" s="4">
        <v>68003.710000000006</v>
      </c>
      <c r="K139" s="4">
        <v>184956.03</v>
      </c>
      <c r="L139" s="4">
        <v>187477.67</v>
      </c>
      <c r="M139" s="4">
        <v>330920.56</v>
      </c>
      <c r="N139" s="4">
        <v>283033.23</v>
      </c>
      <c r="O139" s="4">
        <v>207464.2</v>
      </c>
      <c r="P139" s="4">
        <v>162390.1</v>
      </c>
      <c r="Q139" s="4">
        <v>39819.47</v>
      </c>
      <c r="R139" s="4">
        <v>87012.65</v>
      </c>
      <c r="S139" s="4"/>
      <c r="T139" s="4">
        <v>27863.88</v>
      </c>
      <c r="U139" s="4">
        <v>72948.36</v>
      </c>
      <c r="V139" s="4">
        <v>217300.35000000003</v>
      </c>
      <c r="W139" s="4">
        <v>117622.65</v>
      </c>
      <c r="X139" s="4">
        <v>139818.84</v>
      </c>
      <c r="Y139" s="4">
        <v>109791.79</v>
      </c>
      <c r="Z139" s="4">
        <v>31408.61</v>
      </c>
      <c r="AA139" s="4">
        <v>258904.86</v>
      </c>
      <c r="AB139" s="4">
        <f t="shared" si="18"/>
        <v>3329317.2799999993</v>
      </c>
    </row>
    <row r="140" spans="1:28" x14ac:dyDescent="0.2">
      <c r="A140" s="3">
        <v>42095</v>
      </c>
      <c r="B140" s="4">
        <v>351585.73</v>
      </c>
      <c r="C140" s="4">
        <v>38828.79</v>
      </c>
      <c r="D140" s="4">
        <v>44290.04</v>
      </c>
      <c r="E140" s="4">
        <v>92877.98</v>
      </c>
      <c r="F140" s="4">
        <v>46701.279999999999</v>
      </c>
      <c r="G140" s="4">
        <v>28671.74</v>
      </c>
      <c r="H140" s="4">
        <v>17028.919999999998</v>
      </c>
      <c r="I140" s="4">
        <v>41838.86</v>
      </c>
      <c r="J140" s="4">
        <v>31091.08</v>
      </c>
      <c r="K140" s="4">
        <v>149219.85999999999</v>
      </c>
      <c r="L140" s="4">
        <v>123963.16</v>
      </c>
      <c r="M140" s="4">
        <v>182601.1</v>
      </c>
      <c r="N140" s="4">
        <v>237101.8</v>
      </c>
      <c r="O140" s="4">
        <v>148808.17000000001</v>
      </c>
      <c r="P140" s="4">
        <v>131689.9</v>
      </c>
      <c r="Q140" s="4">
        <v>35908.910000000003</v>
      </c>
      <c r="R140" s="4">
        <v>52583.24</v>
      </c>
      <c r="S140" s="4"/>
      <c r="T140" s="4">
        <v>29656.86</v>
      </c>
      <c r="U140" s="4">
        <v>55244.09</v>
      </c>
      <c r="V140" s="4">
        <v>176736.11</v>
      </c>
      <c r="W140" s="4">
        <v>110521.36</v>
      </c>
      <c r="X140" s="4">
        <v>161351.14000000001</v>
      </c>
      <c r="Y140" s="4">
        <v>94413.6</v>
      </c>
      <c r="Z140" s="4">
        <v>29305.69</v>
      </c>
      <c r="AA140" s="4">
        <v>272912</v>
      </c>
      <c r="AB140" s="4">
        <f t="shared" si="18"/>
        <v>2684931.41</v>
      </c>
    </row>
    <row r="141" spans="1:28" x14ac:dyDescent="0.2">
      <c r="A141" s="3">
        <v>42125</v>
      </c>
      <c r="B141" s="4">
        <v>353520.85</v>
      </c>
      <c r="C141" s="4">
        <v>51118.95</v>
      </c>
      <c r="D141" s="4">
        <v>44770.47</v>
      </c>
      <c r="E141" s="4">
        <v>92990.28</v>
      </c>
      <c r="F141" s="4">
        <v>47262.879999999997</v>
      </c>
      <c r="G141" s="4">
        <v>27177.33</v>
      </c>
      <c r="H141" s="4">
        <v>23493.38</v>
      </c>
      <c r="I141" s="4">
        <v>42085.98</v>
      </c>
      <c r="J141" s="4">
        <v>43247.09</v>
      </c>
      <c r="K141" s="4">
        <v>147278.84</v>
      </c>
      <c r="L141" s="4">
        <v>111694.02</v>
      </c>
      <c r="M141" s="4">
        <v>185309.04</v>
      </c>
      <c r="N141" s="4">
        <v>242743.69</v>
      </c>
      <c r="O141" s="4">
        <v>150958.39999999999</v>
      </c>
      <c r="P141" s="4">
        <v>165637.13</v>
      </c>
      <c r="Q141" s="4">
        <v>36235.69</v>
      </c>
      <c r="R141" s="4">
        <v>53588.61</v>
      </c>
      <c r="S141" s="4"/>
      <c r="T141" s="4">
        <v>29320.47</v>
      </c>
      <c r="U141" s="4">
        <v>56097.68</v>
      </c>
      <c r="V141" s="4">
        <v>176805.03</v>
      </c>
      <c r="W141" s="4">
        <v>111183.05</v>
      </c>
      <c r="X141" s="4">
        <v>165094.69</v>
      </c>
      <c r="Y141" s="4">
        <v>96688.93</v>
      </c>
      <c r="Z141" s="4">
        <v>29492.94</v>
      </c>
      <c r="AA141" s="4">
        <v>280695.28999999998</v>
      </c>
      <c r="AB141" s="4">
        <f t="shared" si="18"/>
        <v>2764490.7099999995</v>
      </c>
    </row>
    <row r="142" spans="1:28" x14ac:dyDescent="0.2">
      <c r="A142" s="3">
        <v>42156</v>
      </c>
      <c r="B142" s="4">
        <v>499859.88</v>
      </c>
      <c r="C142" s="4">
        <v>129144.13999999998</v>
      </c>
      <c r="D142" s="4">
        <v>75682.320000000007</v>
      </c>
      <c r="E142" s="4">
        <v>207568.95</v>
      </c>
      <c r="F142" s="4">
        <v>83231.399999999994</v>
      </c>
      <c r="G142" s="4">
        <v>77667.990000000005</v>
      </c>
      <c r="H142" s="4">
        <v>25331.83</v>
      </c>
      <c r="I142" s="4">
        <v>101548.61</v>
      </c>
      <c r="J142" s="4">
        <v>64461.429999999993</v>
      </c>
      <c r="K142" s="4">
        <v>147781.82</v>
      </c>
      <c r="L142" s="4">
        <v>149163.46</v>
      </c>
      <c r="M142" s="4">
        <v>208075.99</v>
      </c>
      <c r="N142" s="4">
        <v>328296.28000000003</v>
      </c>
      <c r="O142" s="4">
        <v>276588.05</v>
      </c>
      <c r="P142" s="4">
        <v>235296.56</v>
      </c>
      <c r="Q142" s="4">
        <v>51017.7</v>
      </c>
      <c r="R142" s="4">
        <v>107875.1</v>
      </c>
      <c r="S142" s="4"/>
      <c r="T142" s="4">
        <v>35670.42</v>
      </c>
      <c r="U142" s="4">
        <v>63621.119999999995</v>
      </c>
      <c r="V142" s="4">
        <v>299118.64</v>
      </c>
      <c r="W142" s="4">
        <v>215634.99</v>
      </c>
      <c r="X142" s="4">
        <v>241301.51</v>
      </c>
      <c r="Y142" s="4">
        <v>158036.12</v>
      </c>
      <c r="Z142" s="4">
        <v>51106.42</v>
      </c>
      <c r="AA142" s="4">
        <v>365253.38</v>
      </c>
      <c r="AB142" s="4">
        <f t="shared" si="18"/>
        <v>4198334.1100000003</v>
      </c>
    </row>
    <row r="143" spans="1:28" x14ac:dyDescent="0.2">
      <c r="A143" s="3">
        <v>42186</v>
      </c>
      <c r="B143" s="4">
        <v>269966.63</v>
      </c>
      <c r="C143" s="4">
        <v>36549.71</v>
      </c>
      <c r="D143" s="4">
        <v>42137</v>
      </c>
      <c r="E143" s="4">
        <v>116742.86</v>
      </c>
      <c r="F143" s="4">
        <v>45951.34</v>
      </c>
      <c r="G143" s="4">
        <v>28034.85</v>
      </c>
      <c r="H143" s="4">
        <v>10156.35</v>
      </c>
      <c r="I143" s="4">
        <v>41787.82</v>
      </c>
      <c r="J143" s="4">
        <v>32536.76</v>
      </c>
      <c r="K143" s="4">
        <v>123905.46</v>
      </c>
      <c r="L143" s="4">
        <v>107702.18</v>
      </c>
      <c r="M143" s="4">
        <v>201420.29</v>
      </c>
      <c r="N143" s="4">
        <v>272830.03000000003</v>
      </c>
      <c r="O143" s="4">
        <v>136620.85999999999</v>
      </c>
      <c r="P143" s="4">
        <v>108688.69</v>
      </c>
      <c r="Q143" s="4">
        <v>26420.17</v>
      </c>
      <c r="R143" s="4">
        <v>66138.62</v>
      </c>
      <c r="S143" s="4"/>
      <c r="T143" s="4">
        <v>22070.080000000002</v>
      </c>
      <c r="U143" s="4">
        <v>58310.51</v>
      </c>
      <c r="V143" s="4">
        <v>144904.43</v>
      </c>
      <c r="W143" s="4">
        <v>96857.09</v>
      </c>
      <c r="X143" s="4">
        <v>113511.6</v>
      </c>
      <c r="Y143" s="4">
        <v>62481.32</v>
      </c>
      <c r="Z143" s="4">
        <v>24632.11</v>
      </c>
      <c r="AA143" s="4">
        <v>322636.58</v>
      </c>
      <c r="AB143" s="4">
        <f t="shared" si="18"/>
        <v>2512993.34</v>
      </c>
    </row>
    <row r="144" spans="1:28" x14ac:dyDescent="0.2">
      <c r="A144" s="3">
        <v>42217</v>
      </c>
      <c r="B144" s="4">
        <v>288270.08000000002</v>
      </c>
      <c r="C144" s="4">
        <v>48497.75</v>
      </c>
      <c r="D144" s="4">
        <v>40495.54</v>
      </c>
      <c r="E144" s="4">
        <v>114826.9</v>
      </c>
      <c r="F144" s="4">
        <v>56542.61</v>
      </c>
      <c r="G144" s="4">
        <v>29823.1</v>
      </c>
      <c r="H144" s="4">
        <v>18700.25</v>
      </c>
      <c r="I144" s="4">
        <v>43460.42</v>
      </c>
      <c r="J144" s="4">
        <v>38031.519999999997</v>
      </c>
      <c r="K144" s="4">
        <v>122242.96</v>
      </c>
      <c r="L144" s="4">
        <v>103214.37</v>
      </c>
      <c r="M144" s="4">
        <v>194765.73</v>
      </c>
      <c r="N144" s="4">
        <v>264919.90000000002</v>
      </c>
      <c r="O144" s="4">
        <v>130007.34</v>
      </c>
      <c r="P144" s="4">
        <v>134510.69</v>
      </c>
      <c r="Q144" s="4">
        <v>25849.45</v>
      </c>
      <c r="R144" s="4">
        <v>64119.07</v>
      </c>
      <c r="S144" s="4"/>
      <c r="T144" s="4">
        <v>25224.28</v>
      </c>
      <c r="U144" s="4">
        <v>57153.73</v>
      </c>
      <c r="V144" s="4">
        <v>153697.98000000001</v>
      </c>
      <c r="W144" s="4">
        <v>99863.09</v>
      </c>
      <c r="X144" s="4">
        <v>124414.49</v>
      </c>
      <c r="Y144" s="4">
        <v>78612.88</v>
      </c>
      <c r="Z144" s="4">
        <v>25082.97</v>
      </c>
      <c r="AA144" s="4">
        <v>313553.53000000003</v>
      </c>
      <c r="AB144" s="4">
        <f t="shared" si="18"/>
        <v>2595880.63</v>
      </c>
    </row>
    <row r="145" spans="1:28" x14ac:dyDescent="0.2">
      <c r="A145" s="3">
        <v>42248</v>
      </c>
      <c r="B145" s="4">
        <v>98858.48</v>
      </c>
      <c r="C145" s="4">
        <v>35569.699999999997</v>
      </c>
      <c r="D145" s="4">
        <v>2149.2199999999993</v>
      </c>
      <c r="E145" s="4">
        <v>67242.720000000001</v>
      </c>
      <c r="F145" s="4">
        <v>-4641.1400000000012</v>
      </c>
      <c r="G145" s="4">
        <v>11437.66</v>
      </c>
      <c r="H145" s="4">
        <v>4279.99</v>
      </c>
      <c r="I145" s="4">
        <v>4882.78</v>
      </c>
      <c r="J145" s="4">
        <v>16430.080000000002</v>
      </c>
      <c r="K145" s="4">
        <v>69484.600000000006</v>
      </c>
      <c r="L145" s="4">
        <v>111049.88</v>
      </c>
      <c r="M145" s="4">
        <v>153865.84</v>
      </c>
      <c r="N145" s="4">
        <v>212219.44</v>
      </c>
      <c r="O145" s="4">
        <v>72226.850000000006</v>
      </c>
      <c r="P145" s="4">
        <v>58101.83</v>
      </c>
      <c r="Q145" s="4">
        <v>1314.1000000000004</v>
      </c>
      <c r="R145" s="4">
        <v>78269.47</v>
      </c>
      <c r="S145" s="4"/>
      <c r="T145" s="4">
        <v>13713.56</v>
      </c>
      <c r="U145" s="4">
        <v>63644.7</v>
      </c>
      <c r="V145" s="4">
        <v>44421.15</v>
      </c>
      <c r="W145" s="4">
        <v>28797.19</v>
      </c>
      <c r="X145" s="4">
        <v>922.81999999999971</v>
      </c>
      <c r="Y145" s="4">
        <v>20712.349999999999</v>
      </c>
      <c r="Z145" s="4">
        <v>4129.9799999999996</v>
      </c>
      <c r="AA145" s="4">
        <v>488825.59</v>
      </c>
      <c r="AB145" s="4">
        <f t="shared" si="18"/>
        <v>1657908.84</v>
      </c>
    </row>
    <row r="146" spans="1:28" x14ac:dyDescent="0.2">
      <c r="A146" s="3">
        <v>42278</v>
      </c>
      <c r="B146" s="4">
        <v>271587.15999999997</v>
      </c>
      <c r="C146" s="4">
        <v>44819.68</v>
      </c>
      <c r="D146" s="4">
        <v>32780.769999999997</v>
      </c>
      <c r="E146" s="4">
        <v>97203.47</v>
      </c>
      <c r="F146" s="4">
        <v>31535.89</v>
      </c>
      <c r="G146" s="4">
        <v>27411.64</v>
      </c>
      <c r="H146" s="4">
        <v>17647.060000000001</v>
      </c>
      <c r="I146" s="4">
        <v>43654.44</v>
      </c>
      <c r="J146" s="4">
        <v>36040.17</v>
      </c>
      <c r="K146" s="4">
        <v>128914.66</v>
      </c>
      <c r="L146" s="4">
        <v>92059.09</v>
      </c>
      <c r="M146" s="4">
        <v>152553.01999999999</v>
      </c>
      <c r="N146" s="4">
        <v>228744.18</v>
      </c>
      <c r="O146" s="4">
        <v>117329.08</v>
      </c>
      <c r="P146" s="4">
        <v>128062.54</v>
      </c>
      <c r="Q146" s="4">
        <v>24845.66</v>
      </c>
      <c r="R146" s="4">
        <v>57344.68</v>
      </c>
      <c r="S146" s="4"/>
      <c r="T146" s="4">
        <v>20474.12</v>
      </c>
      <c r="U146" s="4">
        <v>48822.66</v>
      </c>
      <c r="V146" s="4">
        <v>139785.29999999999</v>
      </c>
      <c r="W146" s="4">
        <v>94299.92</v>
      </c>
      <c r="X146" s="4">
        <v>115801.44</v>
      </c>
      <c r="Y146" s="4">
        <v>75317.03</v>
      </c>
      <c r="Z146" s="4">
        <v>20964.68</v>
      </c>
      <c r="AA146" s="4">
        <v>252559.03</v>
      </c>
      <c r="AB146" s="4">
        <f t="shared" si="18"/>
        <v>2300557.3699999996</v>
      </c>
    </row>
    <row r="147" spans="1:28" x14ac:dyDescent="0.2">
      <c r="A147" s="3">
        <v>42309</v>
      </c>
      <c r="B147" s="4">
        <v>340471.15</v>
      </c>
      <c r="C147" s="4">
        <v>72440.820000000007</v>
      </c>
      <c r="D147" s="4">
        <v>45438.84</v>
      </c>
      <c r="E147" s="4">
        <v>130038</v>
      </c>
      <c r="F147" s="4">
        <v>42434.81</v>
      </c>
      <c r="G147" s="4">
        <v>37424.800000000003</v>
      </c>
      <c r="H147" s="4">
        <v>25752.5</v>
      </c>
      <c r="I147" s="4">
        <v>42412.76</v>
      </c>
      <c r="J147" s="4">
        <v>43301.41</v>
      </c>
      <c r="K147" s="4">
        <v>175586.14</v>
      </c>
      <c r="L147" s="4">
        <v>105288.41</v>
      </c>
      <c r="M147" s="4">
        <v>204455.13</v>
      </c>
      <c r="N147" s="4">
        <v>308664.58</v>
      </c>
      <c r="O147" s="4">
        <v>146842.48000000001</v>
      </c>
      <c r="P147" s="4">
        <v>147465.82999999999</v>
      </c>
      <c r="Q147" s="4">
        <v>34137.800000000003</v>
      </c>
      <c r="R147" s="4">
        <v>76444.39</v>
      </c>
      <c r="S147" s="4"/>
      <c r="T147" s="4">
        <v>27807.7</v>
      </c>
      <c r="U147" s="4">
        <v>49584.93</v>
      </c>
      <c r="V147" s="4">
        <v>184288.5</v>
      </c>
      <c r="W147" s="4">
        <v>121199.01</v>
      </c>
      <c r="X147" s="4">
        <v>148599.07</v>
      </c>
      <c r="Y147" s="4">
        <v>111840.84</v>
      </c>
      <c r="Z147" s="4">
        <v>29516.79</v>
      </c>
      <c r="AA147" s="4">
        <v>330266.18</v>
      </c>
      <c r="AB147" s="4">
        <f t="shared" si="18"/>
        <v>2981702.8699999996</v>
      </c>
    </row>
    <row r="148" spans="1:28" x14ac:dyDescent="0.2">
      <c r="A148" s="3">
        <v>42339</v>
      </c>
      <c r="B148" s="4">
        <v>403994.06</v>
      </c>
      <c r="C148" s="4">
        <v>70105.820000000007</v>
      </c>
      <c r="D148" s="4">
        <v>62249.51</v>
      </c>
      <c r="E148" s="4">
        <v>135267.01</v>
      </c>
      <c r="F148" s="4">
        <v>52934.31</v>
      </c>
      <c r="G148" s="4">
        <v>61625.26</v>
      </c>
      <c r="H148" s="4">
        <v>16691.009999999998</v>
      </c>
      <c r="I148" s="4">
        <v>73246.38</v>
      </c>
      <c r="J148" s="4">
        <v>49020.820000000007</v>
      </c>
      <c r="K148" s="4">
        <v>153118.9</v>
      </c>
      <c r="L148" s="4">
        <v>166640.91</v>
      </c>
      <c r="M148" s="4">
        <v>296039.83</v>
      </c>
      <c r="N148" s="4">
        <v>330368.16999999993</v>
      </c>
      <c r="O148" s="4">
        <v>205097.91</v>
      </c>
      <c r="P148" s="4">
        <v>184781</v>
      </c>
      <c r="Q148" s="4">
        <v>34594.39</v>
      </c>
      <c r="R148" s="4">
        <v>84809.710000000021</v>
      </c>
      <c r="S148" s="4"/>
      <c r="T148" s="4">
        <v>45883.07</v>
      </c>
      <c r="U148" s="4">
        <v>78212.259999999995</v>
      </c>
      <c r="V148" s="4">
        <v>222064.43</v>
      </c>
      <c r="W148" s="4">
        <v>133264.16</v>
      </c>
      <c r="X148" s="4">
        <v>169618.21</v>
      </c>
      <c r="Y148" s="4">
        <v>106084.44</v>
      </c>
      <c r="Z148" s="4">
        <v>42283.27</v>
      </c>
      <c r="AA148" s="4">
        <v>405802.73</v>
      </c>
      <c r="AB148" s="4">
        <f t="shared" si="18"/>
        <v>3583797.5699999994</v>
      </c>
    </row>
    <row r="149" spans="1:28" ht="15.75" thickBot="1" x14ac:dyDescent="0.25">
      <c r="A149" s="3" t="s">
        <v>170</v>
      </c>
      <c r="B149" s="5">
        <f t="shared" ref="B149:AB149" si="19">SUM(B137:B148)</f>
        <v>4078728.05</v>
      </c>
      <c r="C149" s="5">
        <f t="shared" si="19"/>
        <v>769949.84000000008</v>
      </c>
      <c r="D149" s="5">
        <f t="shared" si="19"/>
        <v>556413.52</v>
      </c>
      <c r="E149" s="5">
        <f t="shared" si="19"/>
        <v>1460378.21</v>
      </c>
      <c r="F149" s="5">
        <f t="shared" si="19"/>
        <v>576167.07999999996</v>
      </c>
      <c r="G149" s="5">
        <f t="shared" si="19"/>
        <v>439697.2699999999</v>
      </c>
      <c r="H149" s="5">
        <f t="shared" si="19"/>
        <v>264721.96999999997</v>
      </c>
      <c r="I149" s="5">
        <f t="shared" si="19"/>
        <v>622315.01</v>
      </c>
      <c r="J149" s="5">
        <f t="shared" si="19"/>
        <v>535777.01</v>
      </c>
      <c r="K149" s="5">
        <f t="shared" si="19"/>
        <v>1675296.23</v>
      </c>
      <c r="L149" s="5">
        <f t="shared" si="19"/>
        <v>1547009.5699999996</v>
      </c>
      <c r="M149" s="5">
        <f t="shared" si="19"/>
        <v>2577354.33</v>
      </c>
      <c r="N149" s="5">
        <f t="shared" si="19"/>
        <v>3372364.38</v>
      </c>
      <c r="O149" s="5">
        <f t="shared" si="19"/>
        <v>1961654.4900000002</v>
      </c>
      <c r="P149" s="5">
        <f t="shared" si="19"/>
        <v>1870693.6700000002</v>
      </c>
      <c r="Q149" s="5">
        <f t="shared" si="19"/>
        <v>407930.18999999994</v>
      </c>
      <c r="R149" s="5">
        <f t="shared" si="19"/>
        <v>885604.2</v>
      </c>
      <c r="S149" s="5"/>
      <c r="T149" s="5">
        <f t="shared" si="19"/>
        <v>360500.32000000007</v>
      </c>
      <c r="U149" s="5">
        <f t="shared" si="19"/>
        <v>759662.75000000012</v>
      </c>
      <c r="V149" s="5">
        <f t="shared" si="19"/>
        <v>2238673.23</v>
      </c>
      <c r="W149" s="5">
        <f t="shared" si="19"/>
        <v>1436382.0699999998</v>
      </c>
      <c r="X149" s="5">
        <f t="shared" si="19"/>
        <v>1808328.9100000001</v>
      </c>
      <c r="Y149" s="5">
        <f t="shared" si="19"/>
        <v>1171637.32</v>
      </c>
      <c r="Z149" s="5">
        <f t="shared" si="19"/>
        <v>364978.17999999993</v>
      </c>
      <c r="AA149" s="5">
        <f t="shared" si="19"/>
        <v>3983777.69</v>
      </c>
      <c r="AB149" s="5">
        <f t="shared" si="19"/>
        <v>35725995.489999995</v>
      </c>
    </row>
    <row r="150" spans="1:28" ht="15.75" thickTop="1" x14ac:dyDescent="0.2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x14ac:dyDescent="0.2">
      <c r="A151" s="3">
        <v>41640</v>
      </c>
      <c r="B151" s="4">
        <v>490276.61</v>
      </c>
      <c r="C151" s="4">
        <v>75483.98</v>
      </c>
      <c r="D151" s="4">
        <v>65606.23</v>
      </c>
      <c r="E151" s="4">
        <v>127908.38</v>
      </c>
      <c r="F151" s="4">
        <v>70753.100000000006</v>
      </c>
      <c r="G151" s="4">
        <v>53821.91</v>
      </c>
      <c r="H151" s="4">
        <v>32215.99</v>
      </c>
      <c r="I151" s="4">
        <v>63019.02</v>
      </c>
      <c r="J151" s="4">
        <v>60857.61</v>
      </c>
      <c r="K151" s="4">
        <v>146389.91</v>
      </c>
      <c r="L151" s="4">
        <v>149137</v>
      </c>
      <c r="M151" s="4">
        <v>242388.4</v>
      </c>
      <c r="N151" s="4">
        <v>344187.4</v>
      </c>
      <c r="O151" s="4">
        <v>200034.54</v>
      </c>
      <c r="P151" s="4">
        <v>225934.14</v>
      </c>
      <c r="Q151" s="4">
        <v>54479.48</v>
      </c>
      <c r="R151" s="4">
        <v>82302.38</v>
      </c>
      <c r="S151" s="4"/>
      <c r="T151" s="4">
        <v>45161.95</v>
      </c>
      <c r="U151" s="4"/>
      <c r="V151" s="4">
        <v>264825.98</v>
      </c>
      <c r="W151" s="4">
        <v>169735.92</v>
      </c>
      <c r="X151" s="4">
        <v>234071.42</v>
      </c>
      <c r="Y151" s="4">
        <v>139727.99</v>
      </c>
      <c r="Z151" s="4">
        <v>42104.68</v>
      </c>
      <c r="AA151" s="4">
        <v>370590.79</v>
      </c>
      <c r="AB151" s="4">
        <f t="shared" ref="AB151:AB162" si="20">SUM(B151:AA151)</f>
        <v>3751014.81</v>
      </c>
    </row>
    <row r="152" spans="1:28" x14ac:dyDescent="0.2">
      <c r="A152" s="3">
        <v>41671</v>
      </c>
      <c r="B152" s="4">
        <v>424100.79</v>
      </c>
      <c r="C152" s="4">
        <v>65294.14</v>
      </c>
      <c r="D152" s="4">
        <v>57315.94</v>
      </c>
      <c r="E152" s="4">
        <v>111326.02</v>
      </c>
      <c r="F152" s="4">
        <v>62008.6</v>
      </c>
      <c r="G152" s="4">
        <v>47126.73</v>
      </c>
      <c r="H152" s="4">
        <v>29352.43</v>
      </c>
      <c r="I152" s="4">
        <v>54839.19</v>
      </c>
      <c r="J152" s="4">
        <v>52974.71</v>
      </c>
      <c r="K152" s="4">
        <v>128339.92</v>
      </c>
      <c r="L152" s="4">
        <v>137617.60999999999</v>
      </c>
      <c r="M152" s="4">
        <v>225137.2</v>
      </c>
      <c r="N152" s="4">
        <v>319872.23</v>
      </c>
      <c r="O152" s="4">
        <v>176093.71</v>
      </c>
      <c r="P152" s="4">
        <v>195942.1</v>
      </c>
      <c r="Q152" s="4">
        <v>46607.97</v>
      </c>
      <c r="R152" s="4">
        <v>73878.17</v>
      </c>
      <c r="S152" s="4"/>
      <c r="T152" s="4">
        <v>40597.879999999997</v>
      </c>
      <c r="U152" s="4"/>
      <c r="V152" s="4">
        <v>226924.2</v>
      </c>
      <c r="W152" s="4">
        <v>146286.1</v>
      </c>
      <c r="X152" s="4">
        <v>200264.11</v>
      </c>
      <c r="Y152" s="4">
        <v>121169.58</v>
      </c>
      <c r="Z152" s="4">
        <v>36578.080000000002</v>
      </c>
      <c r="AA152" s="4">
        <v>349336.37</v>
      </c>
      <c r="AB152" s="4">
        <f t="shared" si="20"/>
        <v>3328983.7800000003</v>
      </c>
    </row>
    <row r="153" spans="1:28" x14ac:dyDescent="0.2">
      <c r="A153" s="3">
        <v>41699</v>
      </c>
      <c r="B153" s="4">
        <v>425712.49</v>
      </c>
      <c r="C153" s="4">
        <v>107625.16</v>
      </c>
      <c r="D153" s="4">
        <v>54845.5</v>
      </c>
      <c r="E153" s="4">
        <v>127727.37</v>
      </c>
      <c r="F153" s="4">
        <v>50096.27</v>
      </c>
      <c r="G153" s="4">
        <v>56065.32</v>
      </c>
      <c r="H153" s="4">
        <v>39847.410000000003</v>
      </c>
      <c r="I153" s="4">
        <v>68826.94</v>
      </c>
      <c r="J153" s="4">
        <v>75530.149999999994</v>
      </c>
      <c r="K153" s="4">
        <v>169293.14</v>
      </c>
      <c r="L153" s="4">
        <v>161081.35999999999</v>
      </c>
      <c r="M153" s="4">
        <v>322350.81</v>
      </c>
      <c r="N153" s="4">
        <v>334082.09999999998</v>
      </c>
      <c r="O153" s="4">
        <v>189020.18</v>
      </c>
      <c r="P153" s="4">
        <v>261288.91000000003</v>
      </c>
      <c r="Q153" s="4">
        <v>30677.52</v>
      </c>
      <c r="R153" s="4">
        <v>87711.98</v>
      </c>
      <c r="S153" s="4"/>
      <c r="T153" s="4">
        <v>47251.89</v>
      </c>
      <c r="U153" s="4"/>
      <c r="V153" s="4">
        <v>263265.93</v>
      </c>
      <c r="W153" s="4">
        <v>167395.60999999999</v>
      </c>
      <c r="X153" s="4">
        <v>187263.98</v>
      </c>
      <c r="Y153" s="4">
        <v>108394.2</v>
      </c>
      <c r="Z153" s="4">
        <v>38057.78</v>
      </c>
      <c r="AA153" s="4">
        <v>369996.98</v>
      </c>
      <c r="AB153" s="4">
        <f t="shared" si="20"/>
        <v>3743408.9800000004</v>
      </c>
    </row>
    <row r="154" spans="1:28" x14ac:dyDescent="0.2">
      <c r="A154" s="3">
        <v>41730</v>
      </c>
      <c r="B154" s="4">
        <v>334011.99</v>
      </c>
      <c r="C154" s="4">
        <v>51036.5</v>
      </c>
      <c r="D154" s="4">
        <v>41856.29</v>
      </c>
      <c r="E154" s="4">
        <v>91877.61</v>
      </c>
      <c r="F154" s="4">
        <v>47831.38</v>
      </c>
      <c r="G154" s="4">
        <v>27026.31</v>
      </c>
      <c r="H154" s="4">
        <v>23396.28</v>
      </c>
      <c r="I154" s="4">
        <v>42331.45</v>
      </c>
      <c r="J154" s="4">
        <v>42985.39</v>
      </c>
      <c r="K154" s="4">
        <v>145892.6</v>
      </c>
      <c r="L154" s="4">
        <v>128123.53</v>
      </c>
      <c r="M154" s="4">
        <v>181875.57</v>
      </c>
      <c r="N154" s="4">
        <v>240586.27</v>
      </c>
      <c r="O154" s="4">
        <v>146566.88</v>
      </c>
      <c r="P154" s="4">
        <v>166995.94</v>
      </c>
      <c r="Q154" s="4">
        <v>35335.64</v>
      </c>
      <c r="R154" s="4">
        <v>63059.01</v>
      </c>
      <c r="S154" s="4"/>
      <c r="T154" s="4">
        <v>28357.56</v>
      </c>
      <c r="U154" s="4"/>
      <c r="V154" s="4">
        <v>172010.41</v>
      </c>
      <c r="W154" s="4">
        <v>107043.24</v>
      </c>
      <c r="X154" s="4">
        <v>167842.81</v>
      </c>
      <c r="Y154" s="4">
        <v>100116.85</v>
      </c>
      <c r="Z154" s="4">
        <v>28262.61</v>
      </c>
      <c r="AA154" s="4">
        <v>263439.02</v>
      </c>
      <c r="AB154" s="4">
        <f t="shared" si="20"/>
        <v>2677861.1399999997</v>
      </c>
    </row>
    <row r="155" spans="1:28" x14ac:dyDescent="0.2">
      <c r="A155" s="3">
        <v>41760</v>
      </c>
      <c r="B155" s="4">
        <v>349238.78</v>
      </c>
      <c r="C155" s="4">
        <v>56161.24</v>
      </c>
      <c r="D155" s="4">
        <v>40446.53</v>
      </c>
      <c r="E155" s="4">
        <v>92251.53</v>
      </c>
      <c r="F155" s="4">
        <v>44558.3</v>
      </c>
      <c r="G155" s="4">
        <v>25216.28</v>
      </c>
      <c r="H155" s="4">
        <v>23211.439999999999</v>
      </c>
      <c r="I155" s="4">
        <v>41843.17</v>
      </c>
      <c r="J155" s="4">
        <v>42757.04</v>
      </c>
      <c r="K155" s="4">
        <v>146404.56</v>
      </c>
      <c r="L155" s="4">
        <v>128569.97</v>
      </c>
      <c r="M155" s="4">
        <v>191048.11</v>
      </c>
      <c r="N155" s="4">
        <v>230586.68</v>
      </c>
      <c r="O155" s="4">
        <v>177238.34</v>
      </c>
      <c r="P155" s="4">
        <v>163946.59</v>
      </c>
      <c r="Q155" s="4">
        <v>33978.879999999997</v>
      </c>
      <c r="R155" s="4">
        <v>52376.41</v>
      </c>
      <c r="S155" s="4"/>
      <c r="T155" s="4">
        <v>29047.26</v>
      </c>
      <c r="U155" s="4"/>
      <c r="V155" s="4">
        <v>178568.28</v>
      </c>
      <c r="W155" s="4">
        <v>106502.88</v>
      </c>
      <c r="X155" s="4">
        <v>161348.99</v>
      </c>
      <c r="Y155" s="4">
        <v>95500.6</v>
      </c>
      <c r="Z155" s="4">
        <v>27867.37</v>
      </c>
      <c r="AA155" s="4">
        <v>271209.21000000002</v>
      </c>
      <c r="AB155" s="4">
        <f t="shared" si="20"/>
        <v>2709878.44</v>
      </c>
    </row>
    <row r="156" spans="1:28" x14ac:dyDescent="0.2">
      <c r="A156" s="3">
        <v>41791</v>
      </c>
      <c r="B156" s="4">
        <v>617033.06000000006</v>
      </c>
      <c r="C156" s="4">
        <v>128467.37</v>
      </c>
      <c r="D156" s="4">
        <v>84064.91</v>
      </c>
      <c r="E156" s="4">
        <v>191876.97</v>
      </c>
      <c r="F156" s="4">
        <v>96644.7</v>
      </c>
      <c r="G156" s="4">
        <v>78022.789999999994</v>
      </c>
      <c r="H156" s="4">
        <v>38796.75</v>
      </c>
      <c r="I156" s="4">
        <v>100913.68</v>
      </c>
      <c r="J156" s="4">
        <v>70799.41</v>
      </c>
      <c r="K156" s="4">
        <v>177870.23</v>
      </c>
      <c r="L156" s="4">
        <v>185183.87</v>
      </c>
      <c r="M156" s="4">
        <v>356438.86</v>
      </c>
      <c r="N156" s="4">
        <v>450535.00999999995</v>
      </c>
      <c r="O156" s="4">
        <v>316807.63</v>
      </c>
      <c r="P156" s="4">
        <v>228490.96999999997</v>
      </c>
      <c r="Q156" s="4">
        <v>52596.099999999991</v>
      </c>
      <c r="R156" s="4">
        <v>117277.85</v>
      </c>
      <c r="S156" s="4"/>
      <c r="T156" s="4">
        <v>52124.79</v>
      </c>
      <c r="U156" s="4"/>
      <c r="V156" s="4">
        <v>366601.72</v>
      </c>
      <c r="W156" s="4">
        <v>218430.15999999997</v>
      </c>
      <c r="X156" s="4">
        <v>297398.77</v>
      </c>
      <c r="Y156" s="4">
        <v>168458.90000000002</v>
      </c>
      <c r="Z156" s="4">
        <v>54673.79</v>
      </c>
      <c r="AA156" s="4">
        <v>489862.52</v>
      </c>
      <c r="AB156" s="4">
        <f t="shared" si="20"/>
        <v>4939370.8100000005</v>
      </c>
    </row>
    <row r="157" spans="1:28" x14ac:dyDescent="0.2">
      <c r="A157" s="3">
        <v>41821</v>
      </c>
      <c r="B157" s="4">
        <v>304497.64</v>
      </c>
      <c r="C157" s="4">
        <v>62279.79</v>
      </c>
      <c r="D157" s="4">
        <v>39743.17</v>
      </c>
      <c r="E157" s="4">
        <v>109161.36</v>
      </c>
      <c r="F157" s="4">
        <v>32623.119999999999</v>
      </c>
      <c r="G157" s="4">
        <v>28727.200000000001</v>
      </c>
      <c r="H157" s="4">
        <v>26805.97</v>
      </c>
      <c r="I157" s="4">
        <v>41443.1</v>
      </c>
      <c r="J157" s="4">
        <v>52240.2</v>
      </c>
      <c r="K157" s="4">
        <v>122731.2</v>
      </c>
      <c r="L157" s="4">
        <v>102353.38</v>
      </c>
      <c r="M157" s="4">
        <v>178007.56</v>
      </c>
      <c r="N157" s="4">
        <v>254471.04000000001</v>
      </c>
      <c r="O157" s="4">
        <v>136362.65</v>
      </c>
      <c r="P157" s="4">
        <v>201892.66</v>
      </c>
      <c r="Q157" s="4">
        <v>25767.65</v>
      </c>
      <c r="R157" s="4">
        <v>59180.03</v>
      </c>
      <c r="S157" s="4"/>
      <c r="T157" s="4">
        <v>22817.62</v>
      </c>
      <c r="U157" s="4"/>
      <c r="V157" s="4">
        <v>153580.6</v>
      </c>
      <c r="W157" s="4">
        <v>99254.87</v>
      </c>
      <c r="X157" s="4">
        <v>128619.71</v>
      </c>
      <c r="Y157" s="4">
        <v>77941.16</v>
      </c>
      <c r="Z157" s="4">
        <v>24866.11</v>
      </c>
      <c r="AA157" s="4">
        <v>304456.24</v>
      </c>
      <c r="AB157" s="4">
        <f t="shared" si="20"/>
        <v>2589824.0299999993</v>
      </c>
    </row>
    <row r="158" spans="1:28" x14ac:dyDescent="0.2">
      <c r="A158" s="3">
        <v>41852</v>
      </c>
      <c r="B158" s="4">
        <v>369457.47</v>
      </c>
      <c r="C158" s="4">
        <v>54350.49</v>
      </c>
      <c r="D158" s="4">
        <v>43501.97</v>
      </c>
      <c r="E158" s="4">
        <v>114628.33</v>
      </c>
      <c r="F158" s="4">
        <v>37810.129999999997</v>
      </c>
      <c r="G158" s="4">
        <v>32163.83</v>
      </c>
      <c r="H158" s="4">
        <v>26188.51</v>
      </c>
      <c r="I158" s="4">
        <v>86654.47</v>
      </c>
      <c r="J158" s="4">
        <v>40628.089999999997</v>
      </c>
      <c r="K158" s="4">
        <v>217217.5</v>
      </c>
      <c r="L158" s="4">
        <v>118498.43</v>
      </c>
      <c r="M158" s="4">
        <v>183666.41</v>
      </c>
      <c r="N158" s="4">
        <v>271364.82</v>
      </c>
      <c r="O158" s="4">
        <v>168683.63</v>
      </c>
      <c r="P158" s="4">
        <v>158739.75</v>
      </c>
      <c r="Q158" s="4">
        <v>29996.29</v>
      </c>
      <c r="R158" s="4">
        <v>101368.38</v>
      </c>
      <c r="S158" s="4"/>
      <c r="T158" s="4">
        <v>26122.13</v>
      </c>
      <c r="U158" s="4"/>
      <c r="V158" s="4">
        <v>177071.58</v>
      </c>
      <c r="W158" s="4">
        <v>113955.53</v>
      </c>
      <c r="X158" s="4">
        <v>143050.44</v>
      </c>
      <c r="Y158" s="4">
        <v>86080.11</v>
      </c>
      <c r="Z158" s="4">
        <v>27946.15</v>
      </c>
      <c r="AA158" s="4">
        <v>422385.29</v>
      </c>
      <c r="AB158" s="4">
        <f t="shared" si="20"/>
        <v>3051529.7299999991</v>
      </c>
    </row>
    <row r="159" spans="1:28" x14ac:dyDescent="0.2">
      <c r="A159" s="3">
        <v>41883</v>
      </c>
      <c r="B159" s="4">
        <v>299070.8</v>
      </c>
      <c r="C159" s="4">
        <v>60767.17</v>
      </c>
      <c r="D159" s="4">
        <v>38026.01</v>
      </c>
      <c r="E159" s="4">
        <v>114432.72</v>
      </c>
      <c r="F159" s="4">
        <v>57473.680000000008</v>
      </c>
      <c r="G159" s="4">
        <v>28654.34</v>
      </c>
      <c r="H159" s="4">
        <v>23744.58</v>
      </c>
      <c r="I159" s="4">
        <v>48145.82</v>
      </c>
      <c r="J159" s="4">
        <v>36255.99</v>
      </c>
      <c r="K159" s="4">
        <v>122858.57</v>
      </c>
      <c r="L159" s="4">
        <v>100079.92</v>
      </c>
      <c r="M159" s="4">
        <v>223190.64</v>
      </c>
      <c r="N159" s="4">
        <v>258465.01999999996</v>
      </c>
      <c r="O159" s="4">
        <v>110387.16</v>
      </c>
      <c r="P159" s="4">
        <v>127245.69</v>
      </c>
      <c r="Q159" s="4">
        <v>25018.47</v>
      </c>
      <c r="R159" s="4">
        <v>90289.95</v>
      </c>
      <c r="S159" s="4"/>
      <c r="T159" s="4">
        <v>36561.620000000003</v>
      </c>
      <c r="U159" s="4">
        <v>26517.5</v>
      </c>
      <c r="V159" s="4">
        <v>193136.61</v>
      </c>
      <c r="W159" s="4">
        <v>121267.17</v>
      </c>
      <c r="X159" s="4">
        <v>141341.82</v>
      </c>
      <c r="Y159" s="4">
        <v>99496.65</v>
      </c>
      <c r="Z159" s="4">
        <v>26628.21</v>
      </c>
      <c r="AA159" s="4">
        <v>328623.88</v>
      </c>
      <c r="AB159" s="4">
        <f t="shared" si="20"/>
        <v>2737679.9899999993</v>
      </c>
    </row>
    <row r="160" spans="1:28" x14ac:dyDescent="0.2">
      <c r="A160" s="3">
        <v>41913</v>
      </c>
      <c r="B160" s="4">
        <v>294196.01</v>
      </c>
      <c r="C160" s="4">
        <v>44866.39</v>
      </c>
      <c r="D160" s="4">
        <v>35332.1</v>
      </c>
      <c r="E160" s="4">
        <v>98320.79</v>
      </c>
      <c r="F160" s="4">
        <v>35709.49</v>
      </c>
      <c r="G160" s="4">
        <v>23583.19</v>
      </c>
      <c r="H160" s="4">
        <v>18637.87</v>
      </c>
      <c r="I160" s="4">
        <v>38196.839999999997</v>
      </c>
      <c r="J160" s="4">
        <v>38489.9</v>
      </c>
      <c r="K160" s="4">
        <v>140951.91</v>
      </c>
      <c r="L160" s="4">
        <v>99256.26</v>
      </c>
      <c r="M160" s="4">
        <v>169428.56</v>
      </c>
      <c r="N160" s="4">
        <v>234477.4</v>
      </c>
      <c r="O160" s="4">
        <v>126044.32</v>
      </c>
      <c r="P160" s="4">
        <v>135265.56</v>
      </c>
      <c r="Q160" s="4">
        <v>26681.58</v>
      </c>
      <c r="R160" s="4">
        <v>55146.42</v>
      </c>
      <c r="S160" s="4"/>
      <c r="T160" s="4">
        <v>23186.41</v>
      </c>
      <c r="U160" s="4">
        <v>53207.65</v>
      </c>
      <c r="V160" s="4">
        <v>146629.16</v>
      </c>
      <c r="W160" s="4">
        <v>97393.75</v>
      </c>
      <c r="X160" s="4">
        <v>127770.58</v>
      </c>
      <c r="Y160" s="4">
        <v>75971.11</v>
      </c>
      <c r="Z160" s="4">
        <v>22890.33</v>
      </c>
      <c r="AA160" s="4">
        <v>272152.73</v>
      </c>
      <c r="AB160" s="4">
        <f t="shared" si="20"/>
        <v>2433786.31</v>
      </c>
    </row>
    <row r="161" spans="1:28" x14ac:dyDescent="0.2">
      <c r="A161" s="3">
        <v>41944</v>
      </c>
      <c r="B161" s="4">
        <v>299873.25</v>
      </c>
      <c r="C161" s="4">
        <v>46375.78</v>
      </c>
      <c r="D161" s="4">
        <v>36528.92</v>
      </c>
      <c r="E161" s="4">
        <v>101107.91</v>
      </c>
      <c r="F161" s="4">
        <v>36841.46</v>
      </c>
      <c r="G161" s="4">
        <v>24280.400000000001</v>
      </c>
      <c r="H161" s="4">
        <v>23449.67</v>
      </c>
      <c r="I161" s="4">
        <v>39508.03</v>
      </c>
      <c r="J161" s="4">
        <v>39795.81</v>
      </c>
      <c r="K161" s="4">
        <v>145220.67000000001</v>
      </c>
      <c r="L161" s="4">
        <v>102364.57</v>
      </c>
      <c r="M161" s="4">
        <v>174134.13</v>
      </c>
      <c r="N161" s="4">
        <v>240305.46</v>
      </c>
      <c r="O161" s="4">
        <v>130483.43</v>
      </c>
      <c r="P161" s="4">
        <v>135835.44</v>
      </c>
      <c r="Q161" s="4">
        <v>27607.15</v>
      </c>
      <c r="R161" s="4">
        <v>56311.74</v>
      </c>
      <c r="S161" s="4"/>
      <c r="T161" s="4">
        <v>23920.3</v>
      </c>
      <c r="U161" s="4">
        <v>54276.92</v>
      </c>
      <c r="V161" s="4">
        <v>151004.54999999999</v>
      </c>
      <c r="W161" s="4">
        <v>100518.35</v>
      </c>
      <c r="X161" s="4">
        <v>132098.12</v>
      </c>
      <c r="Y161" s="4">
        <v>80505.83</v>
      </c>
      <c r="Z161" s="4">
        <v>23657.79</v>
      </c>
      <c r="AA161" s="4">
        <v>280005.46000000002</v>
      </c>
      <c r="AB161" s="4">
        <f t="shared" si="20"/>
        <v>2506011.14</v>
      </c>
    </row>
    <row r="162" spans="1:28" x14ac:dyDescent="0.2">
      <c r="A162" s="3">
        <v>41974</v>
      </c>
      <c r="B162" s="4">
        <v>317060</v>
      </c>
      <c r="C162" s="4">
        <v>68578.12</v>
      </c>
      <c r="D162" s="4">
        <v>40446.410000000003</v>
      </c>
      <c r="E162" s="4">
        <v>124191.82</v>
      </c>
      <c r="F162" s="4">
        <v>42135.94</v>
      </c>
      <c r="G162" s="4">
        <v>54860.86</v>
      </c>
      <c r="H162" s="4">
        <v>29507.07</v>
      </c>
      <c r="I162" s="4">
        <v>40780.300000000003</v>
      </c>
      <c r="J162" s="4">
        <v>43285.45</v>
      </c>
      <c r="K162" s="4">
        <v>117269.63</v>
      </c>
      <c r="L162" s="4">
        <v>83941.59</v>
      </c>
      <c r="M162" s="4">
        <v>267781.74</v>
      </c>
      <c r="N162" s="4">
        <v>321182.21999999997</v>
      </c>
      <c r="O162" s="4">
        <v>148743.18</v>
      </c>
      <c r="P162" s="4">
        <v>147594.34</v>
      </c>
      <c r="Q162" s="4">
        <v>31606.129999999997</v>
      </c>
      <c r="R162" s="4">
        <v>93227.88</v>
      </c>
      <c r="S162" s="4"/>
      <c r="T162" s="4">
        <v>36126.239999999998</v>
      </c>
      <c r="U162" s="4">
        <v>57579.55</v>
      </c>
      <c r="V162" s="4">
        <v>174075.95</v>
      </c>
      <c r="W162" s="4">
        <v>108935.7</v>
      </c>
      <c r="X162" s="4">
        <v>139040.45999999996</v>
      </c>
      <c r="Y162" s="4">
        <v>103608.00000000001</v>
      </c>
      <c r="Z162" s="4">
        <v>29087.27</v>
      </c>
      <c r="AA162" s="4">
        <v>281009.06</v>
      </c>
      <c r="AB162" s="4">
        <f t="shared" si="20"/>
        <v>2901654.91</v>
      </c>
    </row>
    <row r="163" spans="1:28" ht="15.75" thickBot="1" x14ac:dyDescent="0.25">
      <c r="A163" s="3" t="s">
        <v>168</v>
      </c>
      <c r="B163" s="5">
        <f t="shared" ref="B163:AB163" si="21">SUM(B151:B162)</f>
        <v>4524528.8899999997</v>
      </c>
      <c r="C163" s="5">
        <f t="shared" si="21"/>
        <v>821286.13000000012</v>
      </c>
      <c r="D163" s="5">
        <f t="shared" si="21"/>
        <v>577713.9800000001</v>
      </c>
      <c r="E163" s="5">
        <f t="shared" si="21"/>
        <v>1404810.81</v>
      </c>
      <c r="F163" s="5">
        <f t="shared" si="21"/>
        <v>614486.16999999993</v>
      </c>
      <c r="G163" s="5">
        <f t="shared" si="21"/>
        <v>479549.16000000009</v>
      </c>
      <c r="H163" s="5">
        <f t="shared" si="21"/>
        <v>335153.96999999997</v>
      </c>
      <c r="I163" s="5">
        <f t="shared" si="21"/>
        <v>666502.00999999989</v>
      </c>
      <c r="J163" s="5">
        <f t="shared" si="21"/>
        <v>596599.75</v>
      </c>
      <c r="K163" s="5">
        <f t="shared" si="21"/>
        <v>1780439.8399999999</v>
      </c>
      <c r="L163" s="5">
        <f t="shared" si="21"/>
        <v>1496207.49</v>
      </c>
      <c r="M163" s="5">
        <f t="shared" si="21"/>
        <v>2715447.9899999993</v>
      </c>
      <c r="N163" s="5">
        <f t="shared" si="21"/>
        <v>3500115.6499999994</v>
      </c>
      <c r="O163" s="5">
        <f t="shared" si="21"/>
        <v>2026465.6499999994</v>
      </c>
      <c r="P163" s="5">
        <f t="shared" si="21"/>
        <v>2149172.09</v>
      </c>
      <c r="Q163" s="5">
        <f t="shared" si="21"/>
        <v>420352.86000000004</v>
      </c>
      <c r="R163" s="5">
        <f t="shared" si="21"/>
        <v>932130.2</v>
      </c>
      <c r="S163" s="5"/>
      <c r="T163" s="5">
        <f t="shared" si="21"/>
        <v>411275.64999999997</v>
      </c>
      <c r="U163" s="5">
        <f t="shared" si="21"/>
        <v>191581.62</v>
      </c>
      <c r="V163" s="5">
        <f t="shared" si="21"/>
        <v>2467694.9700000002</v>
      </c>
      <c r="W163" s="5">
        <f t="shared" si="21"/>
        <v>1556719.2799999998</v>
      </c>
      <c r="X163" s="5">
        <f t="shared" si="21"/>
        <v>2060111.21</v>
      </c>
      <c r="Y163" s="5">
        <f t="shared" si="21"/>
        <v>1256970.9800000002</v>
      </c>
      <c r="Z163" s="5">
        <f t="shared" si="21"/>
        <v>382620.1700000001</v>
      </c>
      <c r="AA163" s="5">
        <f t="shared" si="21"/>
        <v>4003067.55</v>
      </c>
      <c r="AB163" s="5">
        <f t="shared" si="21"/>
        <v>37371004.069999993</v>
      </c>
    </row>
    <row r="164" spans="1:28" ht="15.75" thickTop="1" x14ac:dyDescent="0.2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x14ac:dyDescent="0.2">
      <c r="A165" s="3">
        <v>41275</v>
      </c>
      <c r="B165" s="4">
        <v>455285.75</v>
      </c>
      <c r="C165" s="4">
        <v>83316.460000000006</v>
      </c>
      <c r="D165" s="4">
        <v>60489.43</v>
      </c>
      <c r="E165" s="4">
        <v>127361.99</v>
      </c>
      <c r="F165" s="4">
        <v>65219.48</v>
      </c>
      <c r="G165" s="4">
        <v>46993.03</v>
      </c>
      <c r="H165" s="4">
        <v>32028.29</v>
      </c>
      <c r="I165" s="4">
        <v>37334.769999999997</v>
      </c>
      <c r="J165" s="4">
        <v>69506.11</v>
      </c>
      <c r="K165" s="4">
        <v>175603.5</v>
      </c>
      <c r="L165" s="4">
        <v>173898.34</v>
      </c>
      <c r="M165" s="4">
        <v>250022.54</v>
      </c>
      <c r="N165" s="4">
        <v>342621.41</v>
      </c>
      <c r="O165" s="4">
        <v>200966.02</v>
      </c>
      <c r="P165" s="4">
        <v>249777.05</v>
      </c>
      <c r="Q165" s="4">
        <v>52520.23</v>
      </c>
      <c r="R165" s="4">
        <v>78555.990000000005</v>
      </c>
      <c r="S165" s="4"/>
      <c r="T165" s="4">
        <v>42813.82</v>
      </c>
      <c r="U165" s="4"/>
      <c r="V165" s="4">
        <v>259614.68</v>
      </c>
      <c r="W165" s="4">
        <v>153734.47</v>
      </c>
      <c r="X165" s="4">
        <v>232927.09</v>
      </c>
      <c r="Y165" s="4">
        <v>139264.88</v>
      </c>
      <c r="Z165" s="4">
        <v>41774.839999999997</v>
      </c>
      <c r="AA165" s="4">
        <v>377699.45</v>
      </c>
      <c r="AB165" s="4">
        <f t="shared" ref="AB165:AB176" si="22">SUM(B165:AA165)</f>
        <v>3749329.62</v>
      </c>
    </row>
    <row r="166" spans="1:28" x14ac:dyDescent="0.2">
      <c r="A166" s="3">
        <v>41306</v>
      </c>
      <c r="B166" s="4">
        <v>446779.7</v>
      </c>
      <c r="C166" s="4">
        <v>73950.66</v>
      </c>
      <c r="D166" s="4">
        <v>54109.39</v>
      </c>
      <c r="E166" s="4">
        <v>110142.08</v>
      </c>
      <c r="F166" s="4">
        <v>73124.429999999993</v>
      </c>
      <c r="G166" s="4">
        <v>58701.26</v>
      </c>
      <c r="H166" s="4">
        <v>29445.5</v>
      </c>
      <c r="I166" s="4">
        <v>32735.59</v>
      </c>
      <c r="J166" s="4">
        <v>58949.09</v>
      </c>
      <c r="K166" s="4">
        <v>151870.9</v>
      </c>
      <c r="L166" s="4">
        <v>150472.48000000001</v>
      </c>
      <c r="M166" s="4">
        <v>214934.31</v>
      </c>
      <c r="N166" s="4">
        <v>308955.36</v>
      </c>
      <c r="O166" s="4">
        <v>173553.57</v>
      </c>
      <c r="P166" s="4">
        <v>192659.36</v>
      </c>
      <c r="Q166" s="4">
        <v>47416.79</v>
      </c>
      <c r="R166" s="4">
        <v>68131.77</v>
      </c>
      <c r="S166" s="4"/>
      <c r="T166" s="4">
        <v>42712.38</v>
      </c>
      <c r="U166" s="4"/>
      <c r="V166" s="4">
        <v>241201.83</v>
      </c>
      <c r="W166" s="4">
        <v>161443.29</v>
      </c>
      <c r="X166" s="4">
        <v>209118.46</v>
      </c>
      <c r="Y166" s="4">
        <v>123589.29</v>
      </c>
      <c r="Z166" s="4">
        <v>41387.480000000003</v>
      </c>
      <c r="AA166" s="4">
        <v>326736.33</v>
      </c>
      <c r="AB166" s="4">
        <f t="shared" si="22"/>
        <v>3392121.3000000003</v>
      </c>
    </row>
    <row r="167" spans="1:28" x14ac:dyDescent="0.2">
      <c r="A167" s="3">
        <v>41334</v>
      </c>
      <c r="B167" s="4">
        <v>159173.16</v>
      </c>
      <c r="C167" s="4">
        <v>20623.45</v>
      </c>
      <c r="D167" s="4">
        <v>32156.63</v>
      </c>
      <c r="E167" s="4">
        <v>72000.820000000007</v>
      </c>
      <c r="F167" s="4">
        <v>47617.47</v>
      </c>
      <c r="G167" s="4">
        <v>45373.02</v>
      </c>
      <c r="H167" s="4">
        <v>18847.11</v>
      </c>
      <c r="I167" s="4">
        <v>4720.84</v>
      </c>
      <c r="J167" s="4">
        <v>11682.05</v>
      </c>
      <c r="K167" s="4">
        <v>17046.580000000002</v>
      </c>
      <c r="L167" s="4">
        <v>31318.03</v>
      </c>
      <c r="M167" s="4">
        <v>187923.22</v>
      </c>
      <c r="N167" s="4">
        <v>270463.17</v>
      </c>
      <c r="O167" s="4">
        <v>126422.53</v>
      </c>
      <c r="P167" s="4">
        <v>88550.17</v>
      </c>
      <c r="Q167" s="4">
        <v>34981.29</v>
      </c>
      <c r="R167" s="4">
        <v>69099.259999999995</v>
      </c>
      <c r="S167" s="4"/>
      <c r="T167" s="4">
        <v>32393.69</v>
      </c>
      <c r="U167" s="4"/>
      <c r="V167" s="4">
        <v>115287.31</v>
      </c>
      <c r="W167" s="4">
        <v>124313.27000000002</v>
      </c>
      <c r="X167" s="4">
        <v>123385.49</v>
      </c>
      <c r="Y167" s="4">
        <v>52959.71</v>
      </c>
      <c r="Z167" s="4">
        <v>6106.86</v>
      </c>
      <c r="AA167" s="4">
        <v>251033.31</v>
      </c>
      <c r="AB167" s="4">
        <f t="shared" si="22"/>
        <v>1943478.4400000002</v>
      </c>
    </row>
    <row r="168" spans="1:28" x14ac:dyDescent="0.2">
      <c r="A168" s="3">
        <v>41365</v>
      </c>
      <c r="B168" s="4">
        <v>356806.36</v>
      </c>
      <c r="C168" s="4">
        <v>51939.21</v>
      </c>
      <c r="D168" s="4">
        <v>44466.81</v>
      </c>
      <c r="E168" s="4">
        <v>97991.14</v>
      </c>
      <c r="F168" s="4">
        <v>46896.99</v>
      </c>
      <c r="G168" s="4">
        <v>27444.1</v>
      </c>
      <c r="H168" s="4">
        <v>23888.89</v>
      </c>
      <c r="I168" s="4">
        <v>20362.259999999998</v>
      </c>
      <c r="J168" s="4">
        <v>45934.59</v>
      </c>
      <c r="K168" s="4">
        <v>152839.81</v>
      </c>
      <c r="L168" s="4">
        <v>112982.13</v>
      </c>
      <c r="M168" s="4">
        <v>188956.71</v>
      </c>
      <c r="N168" s="4">
        <v>250409.04</v>
      </c>
      <c r="O168" s="4">
        <v>154506.03</v>
      </c>
      <c r="P168" s="4">
        <v>174356.41</v>
      </c>
      <c r="Q168" s="4">
        <v>37614.54</v>
      </c>
      <c r="R168" s="4">
        <v>53650.55</v>
      </c>
      <c r="S168" s="4"/>
      <c r="T168" s="4">
        <v>30345.84</v>
      </c>
      <c r="U168" s="4"/>
      <c r="V168" s="4">
        <v>183487.66</v>
      </c>
      <c r="W168" s="4">
        <v>113473.49</v>
      </c>
      <c r="X168" s="4">
        <v>172077.12</v>
      </c>
      <c r="Y168" s="4">
        <v>98322.42</v>
      </c>
      <c r="Z168" s="4">
        <v>30160.34</v>
      </c>
      <c r="AA168" s="4">
        <v>292370.48</v>
      </c>
      <c r="AB168" s="4">
        <f t="shared" si="22"/>
        <v>2761282.92</v>
      </c>
    </row>
    <row r="169" spans="1:28" x14ac:dyDescent="0.2">
      <c r="A169" s="3">
        <v>41395</v>
      </c>
      <c r="B169" s="4">
        <v>379124.23</v>
      </c>
      <c r="C169" s="4">
        <v>54547.43</v>
      </c>
      <c r="D169" s="4">
        <v>45614.34</v>
      </c>
      <c r="E169" s="4">
        <v>98229.29</v>
      </c>
      <c r="F169" s="4">
        <v>48974.25</v>
      </c>
      <c r="G169" s="4">
        <v>32642.26</v>
      </c>
      <c r="H169" s="4">
        <v>25271.25</v>
      </c>
      <c r="I169" s="4">
        <v>22381.48</v>
      </c>
      <c r="J169" s="4">
        <v>45743.39</v>
      </c>
      <c r="K169" s="4">
        <v>156823.5</v>
      </c>
      <c r="L169" s="4">
        <v>122187.09</v>
      </c>
      <c r="M169" s="4">
        <v>203086.85</v>
      </c>
      <c r="N169" s="4">
        <v>257188.56</v>
      </c>
      <c r="O169" s="4">
        <v>163521.04999999999</v>
      </c>
      <c r="P169" s="4">
        <v>172468.13</v>
      </c>
      <c r="Q169" s="4">
        <v>38723.440000000002</v>
      </c>
      <c r="R169" s="4">
        <v>57213.56</v>
      </c>
      <c r="S169" s="4"/>
      <c r="T169" s="4">
        <v>33129</v>
      </c>
      <c r="U169" s="4"/>
      <c r="V169" s="4">
        <v>189844.06</v>
      </c>
      <c r="W169" s="4">
        <v>119127.61</v>
      </c>
      <c r="X169" s="4">
        <v>176954.55</v>
      </c>
      <c r="Y169" s="4">
        <v>104206.89</v>
      </c>
      <c r="Z169" s="4">
        <v>31003.67</v>
      </c>
      <c r="AA169" s="4">
        <v>310861.92</v>
      </c>
      <c r="AB169" s="4">
        <f t="shared" si="22"/>
        <v>2888867.8</v>
      </c>
    </row>
    <row r="170" spans="1:28" x14ac:dyDescent="0.2">
      <c r="A170" s="3">
        <v>41426</v>
      </c>
      <c r="B170" s="4">
        <v>409670.21</v>
      </c>
      <c r="C170" s="4">
        <v>65762.39</v>
      </c>
      <c r="D170" s="4">
        <v>55667.67</v>
      </c>
      <c r="E170" s="4">
        <v>140454.6</v>
      </c>
      <c r="F170" s="4">
        <v>65257.35</v>
      </c>
      <c r="G170" s="4">
        <v>50414.350000000006</v>
      </c>
      <c r="H170" s="4">
        <v>26288.910000000003</v>
      </c>
      <c r="I170" s="4">
        <v>46213.46</v>
      </c>
      <c r="J170" s="4">
        <v>51675.33</v>
      </c>
      <c r="K170" s="4">
        <v>136113.85</v>
      </c>
      <c r="L170" s="4">
        <v>75436.960000000006</v>
      </c>
      <c r="M170" s="4">
        <v>224352.45</v>
      </c>
      <c r="N170" s="4">
        <v>304525.82</v>
      </c>
      <c r="O170" s="4">
        <v>173245.22</v>
      </c>
      <c r="P170" s="4">
        <v>179910.41</v>
      </c>
      <c r="Q170" s="4">
        <v>33859.71</v>
      </c>
      <c r="R170" s="4">
        <v>72564.479999999996</v>
      </c>
      <c r="S170" s="4"/>
      <c r="T170" s="4">
        <v>26685.07</v>
      </c>
      <c r="U170" s="4"/>
      <c r="V170" s="4">
        <v>208110.52</v>
      </c>
      <c r="W170" s="4">
        <v>124512.61000000002</v>
      </c>
      <c r="X170" s="4">
        <v>162723.01</v>
      </c>
      <c r="Y170" s="4">
        <v>104359.31</v>
      </c>
      <c r="Z170" s="4">
        <v>34123.96</v>
      </c>
      <c r="AA170" s="4">
        <v>286593.68</v>
      </c>
      <c r="AB170" s="4">
        <f t="shared" si="22"/>
        <v>3058521.33</v>
      </c>
    </row>
    <row r="171" spans="1:28" x14ac:dyDescent="0.2">
      <c r="A171" s="3">
        <v>41456</v>
      </c>
      <c r="B171" s="4">
        <v>334179.76</v>
      </c>
      <c r="C171" s="4">
        <v>55770.52</v>
      </c>
      <c r="D171" s="4">
        <v>42596.86</v>
      </c>
      <c r="E171" s="4">
        <v>113503.69</v>
      </c>
      <c r="F171" s="4">
        <v>35999.82</v>
      </c>
      <c r="G171" s="4">
        <v>31750.18</v>
      </c>
      <c r="H171" s="4">
        <v>18874.64</v>
      </c>
      <c r="I171" s="4">
        <v>42640.959999999999</v>
      </c>
      <c r="J171" s="4">
        <v>42545</v>
      </c>
      <c r="K171" s="4">
        <v>141773.29</v>
      </c>
      <c r="L171" s="4">
        <v>116181.02</v>
      </c>
      <c r="M171" s="4">
        <v>186282.7</v>
      </c>
      <c r="N171" s="4">
        <v>268451.98</v>
      </c>
      <c r="O171" s="4">
        <v>144306.37</v>
      </c>
      <c r="P171" s="4">
        <v>184493.38</v>
      </c>
      <c r="Q171" s="4">
        <v>27653.3</v>
      </c>
      <c r="R171" s="4">
        <v>61972.12</v>
      </c>
      <c r="S171" s="4"/>
      <c r="T171" s="4">
        <v>23621.39</v>
      </c>
      <c r="U171" s="4"/>
      <c r="V171" s="4">
        <v>213244.33</v>
      </c>
      <c r="W171" s="4">
        <v>104297.45</v>
      </c>
      <c r="X171" s="4">
        <v>144006.54</v>
      </c>
      <c r="Y171" s="4">
        <v>84425.63</v>
      </c>
      <c r="Z171" s="4">
        <v>27456.97</v>
      </c>
      <c r="AA171" s="4">
        <v>319310.01</v>
      </c>
      <c r="AB171" s="4">
        <f t="shared" si="22"/>
        <v>2765337.91</v>
      </c>
    </row>
    <row r="172" spans="1:28" x14ac:dyDescent="0.2">
      <c r="A172" s="3">
        <v>41487</v>
      </c>
      <c r="B172" s="4">
        <v>327029.34000000003</v>
      </c>
      <c r="C172" s="4">
        <v>50796.87</v>
      </c>
      <c r="D172" s="4">
        <v>43938.03</v>
      </c>
      <c r="E172" s="4">
        <v>114660.54</v>
      </c>
      <c r="F172" s="4">
        <v>36900.39</v>
      </c>
      <c r="G172" s="4">
        <v>33192.94</v>
      </c>
      <c r="H172" s="4">
        <v>19337.68</v>
      </c>
      <c r="I172" s="4">
        <v>43566.720000000001</v>
      </c>
      <c r="J172" s="4">
        <v>41093.99</v>
      </c>
      <c r="K172" s="4">
        <v>143393.34</v>
      </c>
      <c r="L172" s="4">
        <v>122994.26</v>
      </c>
      <c r="M172" s="4">
        <v>196257.88</v>
      </c>
      <c r="N172" s="4">
        <v>273759.12</v>
      </c>
      <c r="O172" s="4">
        <v>148829.54999999999</v>
      </c>
      <c r="P172" s="4">
        <v>177245.98</v>
      </c>
      <c r="Q172" s="4">
        <v>29058.62</v>
      </c>
      <c r="R172" s="4">
        <v>63039.85</v>
      </c>
      <c r="S172" s="4"/>
      <c r="T172" s="4">
        <v>25429.52</v>
      </c>
      <c r="U172" s="4"/>
      <c r="V172" s="4">
        <v>155530.95000000001</v>
      </c>
      <c r="W172" s="4">
        <v>104149.99</v>
      </c>
      <c r="X172" s="4">
        <v>141136.04</v>
      </c>
      <c r="Y172" s="4">
        <v>84427.04</v>
      </c>
      <c r="Z172" s="4">
        <v>27989.56</v>
      </c>
      <c r="AA172" s="4">
        <v>335426.31</v>
      </c>
      <c r="AB172" s="4">
        <f t="shared" si="22"/>
        <v>2739184.5100000007</v>
      </c>
    </row>
    <row r="173" spans="1:28" x14ac:dyDescent="0.2">
      <c r="A173" s="3">
        <v>41518</v>
      </c>
      <c r="B173" s="4">
        <v>345380.55</v>
      </c>
      <c r="C173" s="4">
        <v>63699.81</v>
      </c>
      <c r="D173" s="4">
        <v>158844.99</v>
      </c>
      <c r="E173" s="4">
        <v>112617.96</v>
      </c>
      <c r="F173" s="4">
        <v>48433.39</v>
      </c>
      <c r="G173" s="4">
        <v>21223.279999999999</v>
      </c>
      <c r="H173" s="4">
        <v>30918.84</v>
      </c>
      <c r="I173" s="4">
        <v>55314.61</v>
      </c>
      <c r="J173" s="4">
        <v>46522.399999999994</v>
      </c>
      <c r="K173" s="4">
        <v>105379.18</v>
      </c>
      <c r="L173" s="4">
        <v>65466.53</v>
      </c>
      <c r="M173" s="4">
        <v>190048.02000000002</v>
      </c>
      <c r="N173" s="4">
        <v>297595.38</v>
      </c>
      <c r="O173" s="4">
        <v>123630.58</v>
      </c>
      <c r="P173" s="4">
        <v>105621.4</v>
      </c>
      <c r="Q173" s="4">
        <v>26249.7</v>
      </c>
      <c r="R173" s="4">
        <v>63738.5</v>
      </c>
      <c r="S173" s="4"/>
      <c r="T173" s="4">
        <v>33110.14</v>
      </c>
      <c r="U173" s="4"/>
      <c r="V173" s="4">
        <v>155294.45000000001</v>
      </c>
      <c r="W173" s="4">
        <v>111231.11000000002</v>
      </c>
      <c r="X173" s="4">
        <v>128389</v>
      </c>
      <c r="Y173" s="4">
        <v>99283.01999999999</v>
      </c>
      <c r="Z173" s="4">
        <v>25381.32</v>
      </c>
      <c r="AA173" s="4">
        <v>288746.31</v>
      </c>
      <c r="AB173" s="4">
        <f t="shared" si="22"/>
        <v>2702120.4699999997</v>
      </c>
    </row>
    <row r="174" spans="1:28" x14ac:dyDescent="0.2">
      <c r="A174" s="3">
        <v>41548</v>
      </c>
      <c r="B174" s="4">
        <v>318856.5</v>
      </c>
      <c r="C174" s="4">
        <v>48358.48</v>
      </c>
      <c r="D174" s="4">
        <v>39691.339999999997</v>
      </c>
      <c r="E174" s="4">
        <v>104580.03</v>
      </c>
      <c r="F174" s="4">
        <v>37634.78</v>
      </c>
      <c r="G174" s="4">
        <v>24732</v>
      </c>
      <c r="H174" s="4">
        <v>20295.12</v>
      </c>
      <c r="I174" s="4">
        <v>42167.88</v>
      </c>
      <c r="J174" s="4">
        <v>42640.63</v>
      </c>
      <c r="K174" s="4">
        <v>164761.94</v>
      </c>
      <c r="L174" s="4">
        <v>108620.31</v>
      </c>
      <c r="M174" s="4">
        <v>178636.82</v>
      </c>
      <c r="N174" s="4">
        <v>250550.42</v>
      </c>
      <c r="O174" s="4">
        <v>144030.04999999999</v>
      </c>
      <c r="P174" s="4">
        <v>155578.92000000001</v>
      </c>
      <c r="Q174" s="4">
        <v>28612.99</v>
      </c>
      <c r="R174" s="4">
        <v>57369.53</v>
      </c>
      <c r="S174" s="4"/>
      <c r="T174" s="4">
        <v>25831.95</v>
      </c>
      <c r="U174" s="4"/>
      <c r="V174" s="4">
        <v>163958.54999999999</v>
      </c>
      <c r="W174" s="4">
        <v>104635.05</v>
      </c>
      <c r="X174" s="4">
        <v>138595.10999999999</v>
      </c>
      <c r="Y174" s="4">
        <v>81760.52</v>
      </c>
      <c r="Z174" s="4">
        <v>27089.45</v>
      </c>
      <c r="AA174" s="4">
        <v>289340.92</v>
      </c>
      <c r="AB174" s="4">
        <f t="shared" si="22"/>
        <v>2598329.29</v>
      </c>
    </row>
    <row r="175" spans="1:28" x14ac:dyDescent="0.2">
      <c r="A175" s="3">
        <v>41579</v>
      </c>
      <c r="B175" s="4">
        <v>323644.90000000002</v>
      </c>
      <c r="C175" s="4">
        <v>50618.46</v>
      </c>
      <c r="D175" s="4">
        <v>43190.91</v>
      </c>
      <c r="E175" s="4">
        <v>109024.49</v>
      </c>
      <c r="F175" s="4">
        <v>44585.56</v>
      </c>
      <c r="G175" s="4">
        <v>29272.3</v>
      </c>
      <c r="H175" s="4">
        <v>22131.31</v>
      </c>
      <c r="I175" s="4">
        <v>44432.51</v>
      </c>
      <c r="J175" s="4">
        <v>45884.74</v>
      </c>
      <c r="K175" s="4">
        <v>171649.04</v>
      </c>
      <c r="L175" s="4">
        <v>111182.82</v>
      </c>
      <c r="M175" s="4">
        <v>179580.87</v>
      </c>
      <c r="N175" s="4">
        <v>277764.15000000002</v>
      </c>
      <c r="O175" s="4">
        <v>145333.43</v>
      </c>
      <c r="P175" s="4">
        <v>158583.64000000001</v>
      </c>
      <c r="Q175" s="4">
        <v>25874.78</v>
      </c>
      <c r="R175" s="4">
        <v>57497.9</v>
      </c>
      <c r="S175" s="4"/>
      <c r="T175" s="4">
        <v>28515.23</v>
      </c>
      <c r="U175" s="4"/>
      <c r="V175" s="4">
        <v>169246.55</v>
      </c>
      <c r="W175" s="4">
        <v>108651.11</v>
      </c>
      <c r="X175" s="4">
        <v>150973.45000000001</v>
      </c>
      <c r="Y175" s="4">
        <v>84997.35</v>
      </c>
      <c r="Z175" s="4">
        <v>29990.67</v>
      </c>
      <c r="AA175" s="4">
        <v>313958.71999999997</v>
      </c>
      <c r="AB175" s="4">
        <f t="shared" si="22"/>
        <v>2726584.8899999997</v>
      </c>
    </row>
    <row r="176" spans="1:28" x14ac:dyDescent="0.2">
      <c r="A176" s="3">
        <v>41609</v>
      </c>
      <c r="B176" s="4">
        <v>324455.53999999998</v>
      </c>
      <c r="C176" s="4">
        <v>77416.59</v>
      </c>
      <c r="D176" s="4">
        <v>38140.559999999998</v>
      </c>
      <c r="E176" s="4">
        <v>116539.02</v>
      </c>
      <c r="F176" s="4">
        <v>48133.03</v>
      </c>
      <c r="G176" s="4">
        <v>51801.03</v>
      </c>
      <c r="H176" s="4">
        <v>25199.52</v>
      </c>
      <c r="I176" s="4">
        <v>44172.62</v>
      </c>
      <c r="J176" s="4">
        <v>39714.69</v>
      </c>
      <c r="K176" s="4">
        <v>75630.600000000006</v>
      </c>
      <c r="L176" s="4">
        <v>99651.05</v>
      </c>
      <c r="M176" s="4">
        <v>229536.33</v>
      </c>
      <c r="N176" s="4">
        <v>315811.07</v>
      </c>
      <c r="O176" s="4">
        <v>118532.24</v>
      </c>
      <c r="P176" s="4">
        <v>127874.38</v>
      </c>
      <c r="Q176" s="4">
        <v>38687.26</v>
      </c>
      <c r="R176" s="4">
        <v>84561.93</v>
      </c>
      <c r="S176" s="4"/>
      <c r="T176" s="4">
        <v>24638.71</v>
      </c>
      <c r="U176" s="4"/>
      <c r="V176" s="4">
        <v>161006.46</v>
      </c>
      <c r="W176" s="4">
        <v>123241.75</v>
      </c>
      <c r="X176" s="4">
        <v>159156.37</v>
      </c>
      <c r="Y176" s="4">
        <v>115971.67</v>
      </c>
      <c r="Z176" s="4">
        <v>21155.49</v>
      </c>
      <c r="AA176" s="4">
        <v>325948.09000000003</v>
      </c>
      <c r="AB176" s="4">
        <f t="shared" si="22"/>
        <v>2786976</v>
      </c>
    </row>
    <row r="177" spans="1:28" ht="15.75" thickBot="1" x14ac:dyDescent="0.25">
      <c r="A177" s="3" t="s">
        <v>167</v>
      </c>
      <c r="B177" s="5">
        <f t="shared" ref="B177:AB177" si="23">SUM(B165:B176)</f>
        <v>4180385.9999999995</v>
      </c>
      <c r="C177" s="5">
        <f t="shared" si="23"/>
        <v>696800.33</v>
      </c>
      <c r="D177" s="5">
        <f t="shared" si="23"/>
        <v>658906.96</v>
      </c>
      <c r="E177" s="5">
        <f t="shared" si="23"/>
        <v>1317105.6500000001</v>
      </c>
      <c r="F177" s="5">
        <f t="shared" si="23"/>
        <v>598776.93999999994</v>
      </c>
      <c r="G177" s="5">
        <f t="shared" si="23"/>
        <v>453539.75</v>
      </c>
      <c r="H177" s="5">
        <f t="shared" si="23"/>
        <v>292527.06000000006</v>
      </c>
      <c r="I177" s="5">
        <f t="shared" si="23"/>
        <v>436043.7</v>
      </c>
      <c r="J177" s="5">
        <f t="shared" si="23"/>
        <v>541892.01</v>
      </c>
      <c r="K177" s="5">
        <f t="shared" si="23"/>
        <v>1592885.53</v>
      </c>
      <c r="L177" s="5">
        <f t="shared" si="23"/>
        <v>1290391.02</v>
      </c>
      <c r="M177" s="5">
        <f t="shared" si="23"/>
        <v>2429618.6999999997</v>
      </c>
      <c r="N177" s="5">
        <f t="shared" si="23"/>
        <v>3418095.4799999995</v>
      </c>
      <c r="O177" s="5">
        <f t="shared" si="23"/>
        <v>1816876.6400000001</v>
      </c>
      <c r="P177" s="5">
        <f t="shared" si="23"/>
        <v>1967119.23</v>
      </c>
      <c r="Q177" s="5">
        <f t="shared" si="23"/>
        <v>421252.65</v>
      </c>
      <c r="R177" s="5">
        <f t="shared" si="23"/>
        <v>787395.44</v>
      </c>
      <c r="S177" s="5"/>
      <c r="T177" s="5">
        <f t="shared" si="23"/>
        <v>369226.74</v>
      </c>
      <c r="U177" s="5"/>
      <c r="V177" s="5">
        <f t="shared" si="23"/>
        <v>2215827.35</v>
      </c>
      <c r="W177" s="5">
        <f t="shared" si="23"/>
        <v>1452811.2000000002</v>
      </c>
      <c r="X177" s="5">
        <f t="shared" si="23"/>
        <v>1939442.23</v>
      </c>
      <c r="Y177" s="5">
        <f t="shared" si="23"/>
        <v>1173567.73</v>
      </c>
      <c r="Z177" s="5">
        <f t="shared" si="23"/>
        <v>343620.61</v>
      </c>
      <c r="AA177" s="5">
        <f t="shared" si="23"/>
        <v>3718025.5299999993</v>
      </c>
      <c r="AB177" s="5">
        <f t="shared" si="23"/>
        <v>34112134.479999997</v>
      </c>
    </row>
    <row r="178" spans="1:28" ht="15.75" thickTop="1" x14ac:dyDescent="0.2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x14ac:dyDescent="0.2">
      <c r="A179" s="3">
        <v>40909</v>
      </c>
      <c r="B179" s="4">
        <v>563247.63</v>
      </c>
      <c r="C179" s="4">
        <v>85355.299999999988</v>
      </c>
      <c r="D179" s="4">
        <v>74686.11</v>
      </c>
      <c r="E179" s="4">
        <v>142049.31</v>
      </c>
      <c r="F179" s="4">
        <v>72121.45</v>
      </c>
      <c r="G179" s="4">
        <v>58885.01</v>
      </c>
      <c r="H179" s="4">
        <v>39152.679999999993</v>
      </c>
      <c r="I179" s="4">
        <v>50317.69</v>
      </c>
      <c r="J179" s="4">
        <v>78320.490000000005</v>
      </c>
      <c r="K179" s="4">
        <v>211165.64</v>
      </c>
      <c r="L179" s="4">
        <v>233602.15</v>
      </c>
      <c r="M179" s="4">
        <v>255553.12</v>
      </c>
      <c r="N179" s="4">
        <v>417401.01</v>
      </c>
      <c r="O179" s="4">
        <v>252287.73</v>
      </c>
      <c r="P179" s="4">
        <v>259962.37</v>
      </c>
      <c r="Q179" s="4">
        <v>59035.88</v>
      </c>
      <c r="R179" s="4">
        <v>91436.430000000008</v>
      </c>
      <c r="S179" s="4"/>
      <c r="T179" s="4">
        <v>45854.31</v>
      </c>
      <c r="U179" s="4"/>
      <c r="V179" s="4">
        <v>289626.33</v>
      </c>
      <c r="W179" s="4">
        <v>141614.72999999998</v>
      </c>
      <c r="X179" s="4">
        <v>278018.53999999998</v>
      </c>
      <c r="Y179" s="4">
        <v>173360.61</v>
      </c>
      <c r="Z179" s="4">
        <v>54017.279999999999</v>
      </c>
      <c r="AA179" s="4">
        <v>454139.57999999996</v>
      </c>
      <c r="AB179" s="4">
        <f t="shared" ref="AB179:AB190" si="24">SUM(B179:AA179)</f>
        <v>4381211.38</v>
      </c>
    </row>
    <row r="180" spans="1:28" x14ac:dyDescent="0.2">
      <c r="A180" s="3">
        <v>40940</v>
      </c>
      <c r="B180" s="4">
        <v>461254.49</v>
      </c>
      <c r="C180" s="4">
        <v>70282.429999999993</v>
      </c>
      <c r="D180" s="4">
        <v>65701.64</v>
      </c>
      <c r="E180" s="4">
        <v>119724.14</v>
      </c>
      <c r="F180" s="4">
        <v>60115.48</v>
      </c>
      <c r="G180" s="4">
        <v>49100.03</v>
      </c>
      <c r="H180" s="4">
        <v>32510.73</v>
      </c>
      <c r="I180" s="4">
        <v>35464.49</v>
      </c>
      <c r="J180" s="4">
        <v>65525.270000000004</v>
      </c>
      <c r="K180" s="4">
        <v>174370.14</v>
      </c>
      <c r="L180" s="4">
        <v>170990.17</v>
      </c>
      <c r="M180" s="4">
        <v>213045</v>
      </c>
      <c r="N180" s="4">
        <v>349128.04</v>
      </c>
      <c r="O180" s="4">
        <v>210382.7</v>
      </c>
      <c r="P180" s="4">
        <v>218782.51</v>
      </c>
      <c r="Q180" s="4">
        <v>49367.390000000007</v>
      </c>
      <c r="R180" s="4">
        <v>76247.570000000007</v>
      </c>
      <c r="S180" s="4"/>
      <c r="T180" s="4">
        <v>39833.070000000007</v>
      </c>
      <c r="U180" s="4"/>
      <c r="V180" s="4">
        <v>240840.84</v>
      </c>
      <c r="W180" s="4">
        <v>119257.04000000001</v>
      </c>
      <c r="X180" s="4">
        <v>232172.33000000002</v>
      </c>
      <c r="Y180" s="4">
        <v>131603.25</v>
      </c>
      <c r="Z180" s="4">
        <v>45351.150000000009</v>
      </c>
      <c r="AA180" s="4">
        <v>374901.30000000005</v>
      </c>
      <c r="AB180" s="4">
        <f t="shared" si="24"/>
        <v>3605951.1999999993</v>
      </c>
    </row>
    <row r="181" spans="1:28" x14ac:dyDescent="0.2">
      <c r="A181" s="3">
        <v>40969</v>
      </c>
      <c r="B181" s="4">
        <v>54748.349999999984</v>
      </c>
      <c r="C181" s="4">
        <v>43082.41</v>
      </c>
      <c r="D181" s="4">
        <v>5014.9100000000017</v>
      </c>
      <c r="E181" s="4">
        <v>41083.499999999993</v>
      </c>
      <c r="F181" s="4">
        <v>27757.800000000003</v>
      </c>
      <c r="G181" s="4">
        <v>6998.96</v>
      </c>
      <c r="H181" s="4">
        <v>4790.41</v>
      </c>
      <c r="I181" s="4">
        <v>4393.8499999999985</v>
      </c>
      <c r="J181" s="4">
        <v>14394.25</v>
      </c>
      <c r="K181" s="4">
        <v>30663.779999999988</v>
      </c>
      <c r="L181" s="4">
        <v>-11478.689999999999</v>
      </c>
      <c r="M181" s="4">
        <v>128189.25</v>
      </c>
      <c r="N181" s="4">
        <v>41703.609999999986</v>
      </c>
      <c r="O181" s="4">
        <v>-103.99000000000296</v>
      </c>
      <c r="P181" s="4">
        <v>89843.959999999992</v>
      </c>
      <c r="Q181" s="4">
        <v>18184.48</v>
      </c>
      <c r="R181" s="4">
        <v>16233.519999999999</v>
      </c>
      <c r="S181" s="4"/>
      <c r="T181" s="4">
        <v>18615.07</v>
      </c>
      <c r="U181" s="4"/>
      <c r="V181" s="4">
        <v>102195.85</v>
      </c>
      <c r="W181" s="4">
        <v>124961.85</v>
      </c>
      <c r="X181" s="4">
        <v>35072.289999999994</v>
      </c>
      <c r="Y181" s="4">
        <v>47024.04</v>
      </c>
      <c r="Z181" s="4">
        <v>1169.8699999999994</v>
      </c>
      <c r="AA181" s="4">
        <v>65402.780000000013</v>
      </c>
      <c r="AB181" s="4">
        <f t="shared" si="24"/>
        <v>909942.11</v>
      </c>
    </row>
    <row r="182" spans="1:28" x14ac:dyDescent="0.2">
      <c r="A182" s="3">
        <v>41000</v>
      </c>
      <c r="B182" s="4">
        <v>406644.67</v>
      </c>
      <c r="C182" s="4">
        <v>62342.17</v>
      </c>
      <c r="D182" s="4">
        <v>51377.149999999994</v>
      </c>
      <c r="E182" s="4">
        <v>110772.13</v>
      </c>
      <c r="F182" s="4">
        <v>75546.09</v>
      </c>
      <c r="G182" s="4">
        <v>60729.880000000005</v>
      </c>
      <c r="H182" s="4">
        <v>28026.35</v>
      </c>
      <c r="I182" s="4">
        <v>31835.420000000002</v>
      </c>
      <c r="J182" s="4">
        <v>52072.600000000006</v>
      </c>
      <c r="K182" s="4">
        <v>169311.02</v>
      </c>
      <c r="L182" s="4">
        <v>146845.13</v>
      </c>
      <c r="M182" s="4">
        <v>206425.91999999998</v>
      </c>
      <c r="N182" s="4">
        <v>295254.07</v>
      </c>
      <c r="O182" s="4">
        <v>197295.02</v>
      </c>
      <c r="P182" s="4">
        <v>208152.16</v>
      </c>
      <c r="Q182" s="4">
        <v>41906.78</v>
      </c>
      <c r="R182" s="4">
        <v>64893.34</v>
      </c>
      <c r="S182" s="4"/>
      <c r="T182" s="4">
        <v>30273.31</v>
      </c>
      <c r="U182" s="4"/>
      <c r="V182" s="4">
        <v>219316.7</v>
      </c>
      <c r="W182" s="4">
        <v>123923.13</v>
      </c>
      <c r="X182" s="4">
        <v>203232.62</v>
      </c>
      <c r="Y182" s="4">
        <v>113447.74</v>
      </c>
      <c r="Z182" s="4">
        <v>39925.850000000006</v>
      </c>
      <c r="AA182" s="4">
        <v>343102.83</v>
      </c>
      <c r="AB182" s="4">
        <f t="shared" si="24"/>
        <v>3282652.08</v>
      </c>
    </row>
    <row r="183" spans="1:28" x14ac:dyDescent="0.2">
      <c r="A183" s="3">
        <v>41030</v>
      </c>
      <c r="B183" s="4">
        <v>404340.71</v>
      </c>
      <c r="C183" s="4">
        <v>58727.48</v>
      </c>
      <c r="D183" s="4">
        <v>52567.360000000001</v>
      </c>
      <c r="E183" s="4">
        <v>116413.28</v>
      </c>
      <c r="F183" s="4">
        <v>65989.13</v>
      </c>
      <c r="G183" s="4">
        <v>57740.299999999996</v>
      </c>
      <c r="H183" s="4">
        <v>28003.599999999999</v>
      </c>
      <c r="I183" s="4">
        <v>34516.15</v>
      </c>
      <c r="J183" s="4">
        <v>51599.18</v>
      </c>
      <c r="K183" s="4">
        <v>168895.09999999998</v>
      </c>
      <c r="L183" s="4">
        <v>144036.69</v>
      </c>
      <c r="M183" s="4">
        <v>205859.05</v>
      </c>
      <c r="N183" s="4">
        <v>293178.58</v>
      </c>
      <c r="O183" s="4">
        <v>195892.14</v>
      </c>
      <c r="P183" s="4">
        <v>206603.07</v>
      </c>
      <c r="Q183" s="4">
        <v>41412.270000000004</v>
      </c>
      <c r="R183" s="4">
        <v>64595.97</v>
      </c>
      <c r="S183" s="4"/>
      <c r="T183" s="4">
        <v>30241.699999999997</v>
      </c>
      <c r="U183" s="4"/>
      <c r="V183" s="4">
        <v>225897.5</v>
      </c>
      <c r="W183" s="4">
        <v>123480.15000000001</v>
      </c>
      <c r="X183" s="4">
        <v>201377.30000000002</v>
      </c>
      <c r="Y183" s="4">
        <v>116537.48999999999</v>
      </c>
      <c r="Z183" s="4">
        <v>39797.699999999997</v>
      </c>
      <c r="AA183" s="4">
        <v>341187.71</v>
      </c>
      <c r="AB183" s="4">
        <f t="shared" si="24"/>
        <v>3268889.6100000003</v>
      </c>
    </row>
    <row r="184" spans="1:28" x14ac:dyDescent="0.2">
      <c r="A184" s="3">
        <v>41061</v>
      </c>
      <c r="B184" s="4">
        <v>156123.07999999999</v>
      </c>
      <c r="C184" s="4">
        <v>34853.46</v>
      </c>
      <c r="D184" s="4">
        <v>23171.599999999999</v>
      </c>
      <c r="E184" s="4">
        <v>68066.06</v>
      </c>
      <c r="F184" s="4">
        <v>16847.839999999997</v>
      </c>
      <c r="G184" s="4">
        <v>-23018.240000000002</v>
      </c>
      <c r="H184" s="4">
        <v>7787.96</v>
      </c>
      <c r="I184" s="4">
        <v>-9987.0499999999993</v>
      </c>
      <c r="J184" s="4">
        <v>20240.879999999997</v>
      </c>
      <c r="K184" s="4">
        <v>114825.95999999999</v>
      </c>
      <c r="L184" s="4">
        <v>16211.330000000002</v>
      </c>
      <c r="M184" s="4">
        <v>144229.74</v>
      </c>
      <c r="N184" s="4">
        <v>169980.52000000002</v>
      </c>
      <c r="O184" s="4">
        <v>31679.47</v>
      </c>
      <c r="P184" s="4">
        <v>46621.570000000007</v>
      </c>
      <c r="Q184" s="4">
        <v>21176.15</v>
      </c>
      <c r="R184" s="4">
        <v>32132.079999999998</v>
      </c>
      <c r="S184" s="4"/>
      <c r="T184" s="4">
        <v>28566.809999999998</v>
      </c>
      <c r="U184" s="4"/>
      <c r="V184" s="4">
        <v>69829.64</v>
      </c>
      <c r="W184" s="4">
        <v>74315.5</v>
      </c>
      <c r="X184" s="4">
        <v>65169.48</v>
      </c>
      <c r="Y184" s="4">
        <v>51074.34</v>
      </c>
      <c r="Z184" s="4">
        <v>3804.51</v>
      </c>
      <c r="AA184" s="4">
        <v>173812.14</v>
      </c>
      <c r="AB184" s="4">
        <f t="shared" si="24"/>
        <v>1337514.83</v>
      </c>
    </row>
    <row r="185" spans="1:28" x14ac:dyDescent="0.2">
      <c r="A185" s="3">
        <v>41091</v>
      </c>
      <c r="B185" s="4">
        <v>328419.32999999996</v>
      </c>
      <c r="C185" s="4">
        <v>49802.05</v>
      </c>
      <c r="D185" s="4">
        <v>42431.69</v>
      </c>
      <c r="E185" s="4">
        <v>111323.93</v>
      </c>
      <c r="F185" s="4">
        <v>37093.85</v>
      </c>
      <c r="G185" s="4">
        <v>34181.47</v>
      </c>
      <c r="H185" s="4">
        <v>18138.91</v>
      </c>
      <c r="I185" s="4">
        <v>21587.050000000003</v>
      </c>
      <c r="J185" s="4">
        <v>45655.579999999994</v>
      </c>
      <c r="K185" s="4">
        <v>145037.29999999999</v>
      </c>
      <c r="L185" s="4">
        <v>131075.62</v>
      </c>
      <c r="M185" s="4">
        <v>173576.69999999998</v>
      </c>
      <c r="N185" s="4">
        <v>285224.31</v>
      </c>
      <c r="O185" s="4">
        <v>156747.65000000002</v>
      </c>
      <c r="P185" s="4">
        <v>159078.53</v>
      </c>
      <c r="Q185" s="4">
        <v>31617.71</v>
      </c>
      <c r="R185" s="4">
        <v>64489.62</v>
      </c>
      <c r="S185" s="4"/>
      <c r="T185" s="4">
        <v>27425.420000000002</v>
      </c>
      <c r="U185" s="4"/>
      <c r="V185" s="4">
        <v>170038.62999999998</v>
      </c>
      <c r="W185" s="4">
        <v>107627.12</v>
      </c>
      <c r="X185" s="4">
        <v>144144.07</v>
      </c>
      <c r="Y185" s="4">
        <v>85915.139999999985</v>
      </c>
      <c r="Z185" s="4">
        <v>31962.170000000002</v>
      </c>
      <c r="AA185" s="4">
        <v>341996.04</v>
      </c>
      <c r="AB185" s="4">
        <f t="shared" si="24"/>
        <v>2744589.8899999997</v>
      </c>
    </row>
    <row r="186" spans="1:28" x14ac:dyDescent="0.2">
      <c r="A186" s="3">
        <v>41122</v>
      </c>
      <c r="B186" s="4">
        <v>333669.08</v>
      </c>
      <c r="C186" s="4">
        <v>52171.82</v>
      </c>
      <c r="D186" s="4">
        <v>42604.009999999995</v>
      </c>
      <c r="E186" s="4">
        <v>117636.28</v>
      </c>
      <c r="F186" s="4">
        <v>38011.980000000003</v>
      </c>
      <c r="G186" s="4">
        <v>34999.14</v>
      </c>
      <c r="H186" s="4">
        <v>18233.82</v>
      </c>
      <c r="I186" s="4">
        <v>22340.240000000002</v>
      </c>
      <c r="J186" s="4">
        <v>47703.16</v>
      </c>
      <c r="K186" s="4">
        <v>146561.94</v>
      </c>
      <c r="L186" s="4">
        <v>132464.79999999999</v>
      </c>
      <c r="M186" s="4">
        <v>174612.87</v>
      </c>
      <c r="N186" s="4">
        <v>289045.68</v>
      </c>
      <c r="O186" s="4">
        <v>157653.47000000003</v>
      </c>
      <c r="P186" s="4">
        <v>164623.87</v>
      </c>
      <c r="Q186" s="4">
        <v>31805.63</v>
      </c>
      <c r="R186" s="4">
        <v>64842.51</v>
      </c>
      <c r="S186" s="4"/>
      <c r="T186" s="4">
        <v>27612.49</v>
      </c>
      <c r="U186" s="4"/>
      <c r="V186" s="4">
        <v>175237.98</v>
      </c>
      <c r="W186" s="4">
        <v>109891.86</v>
      </c>
      <c r="X186" s="4">
        <v>150390.79999999999</v>
      </c>
      <c r="Y186" s="4">
        <v>87200.01</v>
      </c>
      <c r="Z186" s="4">
        <v>32133.239999999998</v>
      </c>
      <c r="AA186" s="4">
        <v>346455.88</v>
      </c>
      <c r="AB186" s="4">
        <f t="shared" si="24"/>
        <v>2797902.5599999996</v>
      </c>
    </row>
    <row r="187" spans="1:28" x14ac:dyDescent="0.2">
      <c r="A187" s="3">
        <v>41153</v>
      </c>
      <c r="B187" s="4">
        <v>277516.45</v>
      </c>
      <c r="C187" s="4">
        <v>51464</v>
      </c>
      <c r="D187" s="4">
        <v>35392.769999999997</v>
      </c>
      <c r="E187" s="4">
        <v>94494.229999999981</v>
      </c>
      <c r="F187" s="4">
        <v>28702.04</v>
      </c>
      <c r="G187" s="4">
        <v>23167.59</v>
      </c>
      <c r="H187" s="4">
        <v>20189.12</v>
      </c>
      <c r="I187" s="4">
        <v>9071.34</v>
      </c>
      <c r="J187" s="4">
        <v>37718.14</v>
      </c>
      <c r="K187" s="4">
        <v>124356.15</v>
      </c>
      <c r="L187" s="4">
        <v>46064.94</v>
      </c>
      <c r="M187" s="4">
        <v>174193.05</v>
      </c>
      <c r="N187" s="4">
        <v>188401.91</v>
      </c>
      <c r="O187" s="4">
        <v>103038.77</v>
      </c>
      <c r="P187" s="4">
        <v>181072.62</v>
      </c>
      <c r="Q187" s="4">
        <v>16301.66</v>
      </c>
      <c r="R187" s="4">
        <v>36489.440000000002</v>
      </c>
      <c r="S187" s="4"/>
      <c r="T187" s="4">
        <v>11446.18</v>
      </c>
      <c r="U187" s="4"/>
      <c r="V187" s="4">
        <v>119757.81</v>
      </c>
      <c r="W187" s="4">
        <v>78072.58</v>
      </c>
      <c r="X187" s="4">
        <v>104110.48</v>
      </c>
      <c r="Y187" s="4">
        <v>66256.7</v>
      </c>
      <c r="Z187" s="4">
        <v>11987.12</v>
      </c>
      <c r="AA187" s="4">
        <v>218083.59</v>
      </c>
      <c r="AB187" s="4">
        <f t="shared" si="24"/>
        <v>2057348.6800000002</v>
      </c>
    </row>
    <row r="188" spans="1:28" x14ac:dyDescent="0.2">
      <c r="A188" s="3">
        <v>41183</v>
      </c>
      <c r="B188" s="4">
        <v>311483</v>
      </c>
      <c r="C188" s="4">
        <v>46038.16</v>
      </c>
      <c r="D188" s="4">
        <v>38705.760000000002</v>
      </c>
      <c r="E188" s="4">
        <v>105310.68</v>
      </c>
      <c r="F188" s="4">
        <v>36737.879999999997</v>
      </c>
      <c r="G188" s="4">
        <v>32333.919999999998</v>
      </c>
      <c r="H188" s="4">
        <v>19226.57</v>
      </c>
      <c r="I188" s="4">
        <v>18301.46</v>
      </c>
      <c r="J188" s="4">
        <v>45655.4</v>
      </c>
      <c r="K188" s="4">
        <v>160475.93</v>
      </c>
      <c r="L188" s="4">
        <v>113298.06</v>
      </c>
      <c r="M188" s="4">
        <v>151100.13</v>
      </c>
      <c r="N188" s="4">
        <v>245818.61</v>
      </c>
      <c r="O188" s="4">
        <v>148235.35</v>
      </c>
      <c r="P188" s="4">
        <v>151889.91</v>
      </c>
      <c r="Q188" s="4">
        <v>31162.41</v>
      </c>
      <c r="R188" s="4">
        <v>53857.34</v>
      </c>
      <c r="S188" s="4"/>
      <c r="T188" s="4">
        <v>25245.599999999999</v>
      </c>
      <c r="U188" s="4"/>
      <c r="V188" s="4">
        <v>159386.03</v>
      </c>
      <c r="W188" s="4">
        <v>90258.96</v>
      </c>
      <c r="X188" s="4">
        <v>139648.31</v>
      </c>
      <c r="Y188" s="4">
        <v>86223.47</v>
      </c>
      <c r="Z188" s="4">
        <v>29444.14</v>
      </c>
      <c r="AA188" s="4">
        <v>304050.28999999998</v>
      </c>
      <c r="AB188" s="4">
        <f t="shared" si="24"/>
        <v>2543887.3700000006</v>
      </c>
    </row>
    <row r="189" spans="1:28" x14ac:dyDescent="0.2">
      <c r="A189" s="3">
        <v>41214</v>
      </c>
      <c r="B189" s="4">
        <v>309872.98</v>
      </c>
      <c r="C189" s="4">
        <v>45443.72</v>
      </c>
      <c r="D189" s="4">
        <v>38396.22</v>
      </c>
      <c r="E189" s="4">
        <v>105871.02</v>
      </c>
      <c r="F189" s="4">
        <v>36286.74</v>
      </c>
      <c r="G189" s="4">
        <v>31982.73</v>
      </c>
      <c r="H189" s="4">
        <v>19046.400000000001</v>
      </c>
      <c r="I189" s="4">
        <v>16818.53</v>
      </c>
      <c r="J189" s="4">
        <v>45202.8</v>
      </c>
      <c r="K189" s="4">
        <v>160990.51999999999</v>
      </c>
      <c r="L189" s="4">
        <v>112304.21</v>
      </c>
      <c r="M189" s="4">
        <v>149236.03</v>
      </c>
      <c r="N189" s="4">
        <v>244870.37</v>
      </c>
      <c r="O189" s="4">
        <v>146791.70000000001</v>
      </c>
      <c r="P189" s="4">
        <v>150318.01</v>
      </c>
      <c r="Q189" s="4">
        <v>30909.58</v>
      </c>
      <c r="R189" s="4">
        <v>53302.05</v>
      </c>
      <c r="S189" s="4"/>
      <c r="T189" s="4">
        <v>25230.12</v>
      </c>
      <c r="U189" s="4"/>
      <c r="V189" s="4">
        <v>157426.07</v>
      </c>
      <c r="W189" s="4">
        <v>89499.3</v>
      </c>
      <c r="X189" s="4">
        <v>138901.09</v>
      </c>
      <c r="Y189" s="4">
        <v>85479.71</v>
      </c>
      <c r="Z189" s="4">
        <v>31387.94</v>
      </c>
      <c r="AA189" s="4">
        <v>303255.71000000002</v>
      </c>
      <c r="AB189" s="4">
        <f t="shared" si="24"/>
        <v>2528823.5500000003</v>
      </c>
    </row>
    <row r="190" spans="1:28" x14ac:dyDescent="0.2">
      <c r="A190" s="3">
        <v>41244</v>
      </c>
      <c r="B190" s="4">
        <v>599739.02</v>
      </c>
      <c r="C190" s="4">
        <v>63502.25</v>
      </c>
      <c r="D190" s="4">
        <v>47064.63</v>
      </c>
      <c r="E190" s="4">
        <v>123139.59</v>
      </c>
      <c r="F190" s="4">
        <v>31512.03</v>
      </c>
      <c r="G190" s="4">
        <v>6429.2000000000007</v>
      </c>
      <c r="H190" s="4">
        <v>25332.639999999999</v>
      </c>
      <c r="I190" s="4">
        <v>26577.279999999999</v>
      </c>
      <c r="J190" s="4">
        <v>56310.5</v>
      </c>
      <c r="K190" s="4">
        <v>507049.69</v>
      </c>
      <c r="L190" s="4">
        <v>441094.1</v>
      </c>
      <c r="M190" s="4">
        <v>238188.67</v>
      </c>
      <c r="N190" s="4">
        <v>260507.86</v>
      </c>
      <c r="O190" s="4">
        <v>138012.32999999999</v>
      </c>
      <c r="P190" s="4">
        <v>160413.07</v>
      </c>
      <c r="Q190" s="4">
        <v>26993.11</v>
      </c>
      <c r="R190" s="4">
        <v>67857.990000000005</v>
      </c>
      <c r="S190" s="4"/>
      <c r="T190" s="4">
        <v>30764.3</v>
      </c>
      <c r="U190" s="4"/>
      <c r="V190" s="4">
        <v>90948.1</v>
      </c>
      <c r="W190" s="4">
        <v>129105.46</v>
      </c>
      <c r="X190" s="4">
        <v>210816.06</v>
      </c>
      <c r="Y190" s="4">
        <v>45375.98</v>
      </c>
      <c r="Z190" s="4">
        <v>25415.23</v>
      </c>
      <c r="AA190" s="4">
        <v>275228.49</v>
      </c>
      <c r="AB190" s="4">
        <f t="shared" si="24"/>
        <v>3627377.58</v>
      </c>
    </row>
    <row r="191" spans="1:28" ht="15.75" thickBot="1" x14ac:dyDescent="0.25">
      <c r="A191" s="3" t="s">
        <v>166</v>
      </c>
      <c r="B191" s="5">
        <f t="shared" ref="B191:AB191" si="25">SUM(B179:B190)</f>
        <v>4207058.79</v>
      </c>
      <c r="C191" s="5">
        <f t="shared" si="25"/>
        <v>663065.25</v>
      </c>
      <c r="D191" s="5">
        <f t="shared" si="25"/>
        <v>517113.85</v>
      </c>
      <c r="E191" s="5">
        <f t="shared" si="25"/>
        <v>1255884.1499999999</v>
      </c>
      <c r="F191" s="5">
        <f t="shared" si="25"/>
        <v>526722.30999999982</v>
      </c>
      <c r="G191" s="5">
        <f t="shared" si="25"/>
        <v>373529.99</v>
      </c>
      <c r="H191" s="5">
        <f t="shared" si="25"/>
        <v>260439.19</v>
      </c>
      <c r="I191" s="5">
        <f t="shared" si="25"/>
        <v>261236.45</v>
      </c>
      <c r="J191" s="5">
        <f t="shared" si="25"/>
        <v>560398.25</v>
      </c>
      <c r="K191" s="5">
        <f t="shared" si="25"/>
        <v>2113703.17</v>
      </c>
      <c r="L191" s="5">
        <f t="shared" si="25"/>
        <v>1676508.5099999998</v>
      </c>
      <c r="M191" s="5">
        <f t="shared" si="25"/>
        <v>2214209.5300000003</v>
      </c>
      <c r="N191" s="5">
        <f t="shared" si="25"/>
        <v>3080514.5700000003</v>
      </c>
      <c r="O191" s="5">
        <f t="shared" si="25"/>
        <v>1737912.3400000003</v>
      </c>
      <c r="P191" s="5">
        <f t="shared" si="25"/>
        <v>1997361.6500000001</v>
      </c>
      <c r="Q191" s="5">
        <f t="shared" si="25"/>
        <v>399873.04999999993</v>
      </c>
      <c r="R191" s="5">
        <f t="shared" si="25"/>
        <v>686377.86</v>
      </c>
      <c r="S191" s="5"/>
      <c r="T191" s="5">
        <f t="shared" si="25"/>
        <v>341108.38</v>
      </c>
      <c r="U191" s="5"/>
      <c r="V191" s="5">
        <f t="shared" si="25"/>
        <v>2020501.48</v>
      </c>
      <c r="W191" s="5">
        <f t="shared" si="25"/>
        <v>1312007.6799999999</v>
      </c>
      <c r="X191" s="5">
        <f t="shared" si="25"/>
        <v>1903053.3700000003</v>
      </c>
      <c r="Y191" s="5">
        <f t="shared" si="25"/>
        <v>1089498.4799999997</v>
      </c>
      <c r="Z191" s="5">
        <f t="shared" si="25"/>
        <v>346396.2</v>
      </c>
      <c r="AA191" s="5">
        <f t="shared" si="25"/>
        <v>3541616.34</v>
      </c>
      <c r="AB191" s="5">
        <f t="shared" si="25"/>
        <v>33086090.840000004</v>
      </c>
    </row>
    <row r="192" spans="1:28" ht="15.75" thickTop="1" x14ac:dyDescent="0.2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x14ac:dyDescent="0.2">
      <c r="A193" s="3">
        <v>40544</v>
      </c>
      <c r="B193" s="4">
        <v>564255.40999999992</v>
      </c>
      <c r="C193" s="4">
        <v>90205.56</v>
      </c>
      <c r="D193" s="4">
        <v>77197.63</v>
      </c>
      <c r="E193" s="4">
        <v>159698.59</v>
      </c>
      <c r="F193" s="4">
        <v>71798.97</v>
      </c>
      <c r="G193" s="4">
        <v>59800.83</v>
      </c>
      <c r="H193" s="4">
        <v>42170.7</v>
      </c>
      <c r="I193" s="4">
        <v>72267.86</v>
      </c>
      <c r="J193" s="4">
        <v>80866.810000000012</v>
      </c>
      <c r="K193" s="4">
        <v>191674.62</v>
      </c>
      <c r="L193" s="4">
        <v>218373.16999999998</v>
      </c>
      <c r="M193" s="4">
        <v>225599.67</v>
      </c>
      <c r="N193" s="4">
        <v>449959</v>
      </c>
      <c r="O193" s="4">
        <v>260759.69</v>
      </c>
      <c r="P193" s="4">
        <v>287068.07</v>
      </c>
      <c r="Q193" s="4">
        <v>62865.599999999999</v>
      </c>
      <c r="R193" s="4">
        <v>97910.09</v>
      </c>
      <c r="S193" s="4"/>
      <c r="T193" s="4">
        <v>47388.630000000005</v>
      </c>
      <c r="U193" s="4"/>
      <c r="V193" s="4">
        <v>296415.17000000004</v>
      </c>
      <c r="W193" s="4">
        <v>178517.30000000002</v>
      </c>
      <c r="X193" s="4">
        <v>291721.20999999996</v>
      </c>
      <c r="Y193" s="4">
        <v>187322.38</v>
      </c>
      <c r="Z193" s="4">
        <v>55822.740000000005</v>
      </c>
      <c r="AA193" s="4">
        <v>490804.89</v>
      </c>
      <c r="AB193" s="4">
        <f t="shared" ref="AB193:AB204" si="26">SUM(B193:AA193)</f>
        <v>4560464.5899999989</v>
      </c>
    </row>
    <row r="194" spans="1:28" x14ac:dyDescent="0.2">
      <c r="A194" s="3">
        <v>40575</v>
      </c>
      <c r="B194" s="4">
        <v>456993.12</v>
      </c>
      <c r="C194" s="4">
        <v>72742.61</v>
      </c>
      <c r="D194" s="4">
        <v>62214.179999999993</v>
      </c>
      <c r="E194" s="4">
        <v>128402.24000000001</v>
      </c>
      <c r="F194" s="4">
        <v>59976.659999999996</v>
      </c>
      <c r="G194" s="4">
        <v>48197.130000000005</v>
      </c>
      <c r="H194" s="4">
        <v>34040.879999999997</v>
      </c>
      <c r="I194" s="4">
        <v>58199.7</v>
      </c>
      <c r="J194" s="4">
        <v>65174.66</v>
      </c>
      <c r="K194" s="4">
        <v>154261.32999999999</v>
      </c>
      <c r="L194" s="4">
        <v>176491.8</v>
      </c>
      <c r="M194" s="4">
        <v>181924.25</v>
      </c>
      <c r="N194" s="4">
        <v>368774.15</v>
      </c>
      <c r="O194" s="4">
        <v>210256.66</v>
      </c>
      <c r="P194" s="4">
        <v>222181.15</v>
      </c>
      <c r="Q194" s="4">
        <v>50444.61</v>
      </c>
      <c r="R194" s="4">
        <v>78960.280000000013</v>
      </c>
      <c r="S194" s="4"/>
      <c r="T194" s="4">
        <v>38211.030000000006</v>
      </c>
      <c r="U194" s="4"/>
      <c r="V194" s="4">
        <v>238977.83</v>
      </c>
      <c r="W194" s="4">
        <v>144281.21</v>
      </c>
      <c r="X194" s="4">
        <v>231123.44</v>
      </c>
      <c r="Y194" s="4">
        <v>131463.23000000001</v>
      </c>
      <c r="Z194" s="4">
        <v>44996.99</v>
      </c>
      <c r="AA194" s="4">
        <v>403326.09</v>
      </c>
      <c r="AB194" s="4">
        <f t="shared" si="26"/>
        <v>3661615.2299999995</v>
      </c>
    </row>
    <row r="195" spans="1:28" x14ac:dyDescent="0.2">
      <c r="A195" s="3">
        <v>40603</v>
      </c>
      <c r="B195" s="4">
        <v>407897.76</v>
      </c>
      <c r="C195" s="4">
        <v>43032.55</v>
      </c>
      <c r="D195" s="4">
        <v>49260.94</v>
      </c>
      <c r="E195" s="4">
        <v>71033.679999999993</v>
      </c>
      <c r="F195" s="4">
        <v>62806.179999999993</v>
      </c>
      <c r="G195" s="4">
        <v>48025.33</v>
      </c>
      <c r="H195" s="4">
        <v>12951.65</v>
      </c>
      <c r="I195" s="4">
        <v>59468.69</v>
      </c>
      <c r="J195" s="4">
        <v>43885.159999999996</v>
      </c>
      <c r="K195" s="4">
        <v>165080.85</v>
      </c>
      <c r="L195" s="4">
        <v>101510.90999999999</v>
      </c>
      <c r="M195" s="4">
        <v>255185.10000000003</v>
      </c>
      <c r="N195" s="4">
        <v>202371.76</v>
      </c>
      <c r="O195" s="4">
        <v>210622.05</v>
      </c>
      <c r="P195" s="4">
        <v>131267.20000000001</v>
      </c>
      <c r="Q195" s="4">
        <v>26548.13</v>
      </c>
      <c r="R195" s="4">
        <v>41585.08</v>
      </c>
      <c r="S195" s="4"/>
      <c r="T195" s="4">
        <v>31113.03</v>
      </c>
      <c r="U195" s="4"/>
      <c r="V195" s="4">
        <v>263362.32</v>
      </c>
      <c r="W195" s="4">
        <v>52903.380000000005</v>
      </c>
      <c r="X195" s="4">
        <v>245293.41999999998</v>
      </c>
      <c r="Y195" s="4">
        <v>93228.51999999999</v>
      </c>
      <c r="Z195" s="4">
        <v>33919.06</v>
      </c>
      <c r="AA195" s="4">
        <v>244933.61</v>
      </c>
      <c r="AB195" s="4">
        <f t="shared" si="26"/>
        <v>2897286.3599999994</v>
      </c>
    </row>
    <row r="196" spans="1:28" x14ac:dyDescent="0.2">
      <c r="A196" s="3">
        <v>40634</v>
      </c>
      <c r="B196" s="4">
        <v>417753.14</v>
      </c>
      <c r="C196" s="4">
        <v>61182.8</v>
      </c>
      <c r="D196" s="4">
        <v>53337.08</v>
      </c>
      <c r="E196" s="4">
        <v>118863.03</v>
      </c>
      <c r="F196" s="4">
        <v>60552.02</v>
      </c>
      <c r="G196" s="4">
        <v>52562.75</v>
      </c>
      <c r="H196" s="4">
        <v>28986.16</v>
      </c>
      <c r="I196" s="4">
        <v>58764.02</v>
      </c>
      <c r="J196" s="4">
        <v>53802.31</v>
      </c>
      <c r="K196" s="4">
        <v>110632.94</v>
      </c>
      <c r="L196" s="4">
        <v>149708.64000000001</v>
      </c>
      <c r="M196" s="4">
        <v>170147.47000000003</v>
      </c>
      <c r="N196" s="4">
        <v>310744.33</v>
      </c>
      <c r="O196" s="4">
        <v>206649.85</v>
      </c>
      <c r="P196" s="4">
        <v>213262.02000000002</v>
      </c>
      <c r="Q196" s="4">
        <v>43257.58</v>
      </c>
      <c r="R196" s="4">
        <v>67874.98</v>
      </c>
      <c r="S196" s="4"/>
      <c r="T196" s="4">
        <v>31234.98</v>
      </c>
      <c r="U196" s="4"/>
      <c r="V196" s="4">
        <v>230501.02999999997</v>
      </c>
      <c r="W196" s="4">
        <v>95954.5</v>
      </c>
      <c r="X196" s="4">
        <v>214739.81000000003</v>
      </c>
      <c r="Y196" s="4">
        <v>118558.41</v>
      </c>
      <c r="Z196" s="4">
        <v>41252.139999999992</v>
      </c>
      <c r="AA196" s="4">
        <v>381660.41</v>
      </c>
      <c r="AB196" s="4">
        <f t="shared" si="26"/>
        <v>3291982.4000000004</v>
      </c>
    </row>
    <row r="197" spans="1:28" x14ac:dyDescent="0.2">
      <c r="A197" s="3">
        <v>40664</v>
      </c>
      <c r="B197" s="4">
        <v>419229.68</v>
      </c>
      <c r="C197" s="4">
        <v>66814.149999999994</v>
      </c>
      <c r="D197" s="4">
        <v>52063.91</v>
      </c>
      <c r="E197" s="4">
        <v>117735.51000000001</v>
      </c>
      <c r="F197" s="4">
        <v>59901.24</v>
      </c>
      <c r="G197" s="4">
        <v>52080.92</v>
      </c>
      <c r="H197" s="4">
        <v>30224.329999999998</v>
      </c>
      <c r="I197" s="4">
        <v>60298.71</v>
      </c>
      <c r="J197" s="4">
        <v>52537.46</v>
      </c>
      <c r="K197" s="4">
        <v>109522.72</v>
      </c>
      <c r="L197" s="4">
        <v>146706.58000000002</v>
      </c>
      <c r="M197" s="4">
        <v>165059.01</v>
      </c>
      <c r="N197" s="4">
        <v>306576.08999999997</v>
      </c>
      <c r="O197" s="4">
        <v>201478.63</v>
      </c>
      <c r="P197" s="4">
        <v>211194.05000000002</v>
      </c>
      <c r="Q197" s="4">
        <v>42355.65</v>
      </c>
      <c r="R197" s="4">
        <v>66485.42</v>
      </c>
      <c r="S197" s="4"/>
      <c r="T197" s="4">
        <v>30522.19</v>
      </c>
      <c r="U197" s="4"/>
      <c r="V197" s="4">
        <v>237199.38</v>
      </c>
      <c r="W197" s="4">
        <v>129270.48</v>
      </c>
      <c r="X197" s="4">
        <v>211652.03999999998</v>
      </c>
      <c r="Y197" s="4">
        <v>116025.14</v>
      </c>
      <c r="Z197" s="4">
        <v>40391.449999999997</v>
      </c>
      <c r="AA197" s="4">
        <v>373808.78</v>
      </c>
      <c r="AB197" s="4">
        <f t="shared" si="26"/>
        <v>3299133.5200000005</v>
      </c>
    </row>
    <row r="198" spans="1:28" x14ac:dyDescent="0.2">
      <c r="A198" s="3">
        <v>40695</v>
      </c>
      <c r="B198" s="4">
        <v>430530.82</v>
      </c>
      <c r="C198" s="4">
        <v>68406.62</v>
      </c>
      <c r="D198" s="4">
        <v>55289.570000000007</v>
      </c>
      <c r="E198" s="4">
        <v>77117.489999999991</v>
      </c>
      <c r="F198" s="4">
        <v>57487.75</v>
      </c>
      <c r="G198" s="4">
        <v>26527.149999999998</v>
      </c>
      <c r="H198" s="4">
        <v>21128.21</v>
      </c>
      <c r="I198" s="4">
        <v>89019.040000000008</v>
      </c>
      <c r="J198" s="4">
        <v>55359.6</v>
      </c>
      <c r="K198" s="4">
        <v>286280.17</v>
      </c>
      <c r="L198" s="4">
        <v>122968.55</v>
      </c>
      <c r="M198" s="4">
        <v>247998.97999999998</v>
      </c>
      <c r="N198" s="4">
        <v>232273.76</v>
      </c>
      <c r="O198" s="4">
        <v>132145.5</v>
      </c>
      <c r="P198" s="4">
        <v>168859.44</v>
      </c>
      <c r="Q198" s="4">
        <v>45473.93</v>
      </c>
      <c r="R198" s="4">
        <v>46343.03</v>
      </c>
      <c r="S198" s="4"/>
      <c r="T198" s="4">
        <v>27176.190000000002</v>
      </c>
      <c r="U198" s="4"/>
      <c r="V198" s="4">
        <v>240462.45</v>
      </c>
      <c r="W198" s="4">
        <v>118971.91</v>
      </c>
      <c r="X198" s="4">
        <v>201312.26</v>
      </c>
      <c r="Y198" s="4">
        <v>123429.87000000001</v>
      </c>
      <c r="Z198" s="4">
        <v>40696.630000000005</v>
      </c>
      <c r="AA198" s="4">
        <v>215214.09000000003</v>
      </c>
      <c r="AB198" s="4">
        <f t="shared" si="26"/>
        <v>3130473.01</v>
      </c>
    </row>
    <row r="199" spans="1:28" x14ac:dyDescent="0.2">
      <c r="A199" s="3">
        <v>40725</v>
      </c>
      <c r="B199" s="4">
        <v>376708.09</v>
      </c>
      <c r="C199" s="4">
        <v>48759.18</v>
      </c>
      <c r="D199" s="4">
        <v>38505.57</v>
      </c>
      <c r="E199" s="4">
        <v>103268.87000000001</v>
      </c>
      <c r="F199" s="4">
        <v>33443.21</v>
      </c>
      <c r="G199" s="4">
        <v>34187.360000000001</v>
      </c>
      <c r="H199" s="4">
        <v>20377.060000000001</v>
      </c>
      <c r="I199" s="4">
        <v>47027.67</v>
      </c>
      <c r="J199" s="4">
        <v>40531.86</v>
      </c>
      <c r="K199" s="4">
        <v>128513.9</v>
      </c>
      <c r="L199" s="4">
        <v>119057.24</v>
      </c>
      <c r="M199" s="4">
        <v>141953.38</v>
      </c>
      <c r="N199" s="4">
        <v>277540.27999999997</v>
      </c>
      <c r="O199" s="4">
        <v>164603.73000000001</v>
      </c>
      <c r="P199" s="4">
        <v>151723.01999999999</v>
      </c>
      <c r="Q199" s="4">
        <v>31508.400000000001</v>
      </c>
      <c r="R199" s="4">
        <v>69309.73000000001</v>
      </c>
      <c r="S199" s="4"/>
      <c r="T199" s="4">
        <v>30132.18</v>
      </c>
      <c r="U199" s="4"/>
      <c r="V199" s="4">
        <v>161670.35</v>
      </c>
      <c r="W199" s="4">
        <v>92759.22</v>
      </c>
      <c r="X199" s="4">
        <v>129935.61000000002</v>
      </c>
      <c r="Y199" s="4">
        <v>80771.53</v>
      </c>
      <c r="Z199" s="4">
        <v>28200.28</v>
      </c>
      <c r="AA199" s="4">
        <v>362062.13999999996</v>
      </c>
      <c r="AB199" s="4">
        <f t="shared" si="26"/>
        <v>2712549.86</v>
      </c>
    </row>
    <row r="200" spans="1:28" x14ac:dyDescent="0.2">
      <c r="A200" s="3">
        <v>40756</v>
      </c>
      <c r="B200" s="4">
        <v>321164.14</v>
      </c>
      <c r="C200" s="4">
        <v>48948.840000000004</v>
      </c>
      <c r="D200" s="4">
        <v>57370.86</v>
      </c>
      <c r="E200" s="4">
        <v>101859.88999999998</v>
      </c>
      <c r="F200" s="4">
        <v>36839.300000000003</v>
      </c>
      <c r="G200" s="4">
        <v>34135.410000000003</v>
      </c>
      <c r="H200" s="4">
        <v>23216.760000000002</v>
      </c>
      <c r="I200" s="4">
        <v>50412.56</v>
      </c>
      <c r="J200" s="4">
        <v>40319.39</v>
      </c>
      <c r="K200" s="4">
        <v>126655.48</v>
      </c>
      <c r="L200" s="4">
        <v>123275.04000000001</v>
      </c>
      <c r="M200" s="4">
        <v>140031.20000000001</v>
      </c>
      <c r="N200" s="4">
        <v>278168.46000000002</v>
      </c>
      <c r="O200" s="4">
        <v>167594.59000000003</v>
      </c>
      <c r="P200" s="4">
        <v>151025.75</v>
      </c>
      <c r="Q200" s="4">
        <v>31516.63</v>
      </c>
      <c r="R200" s="4">
        <v>68506.98</v>
      </c>
      <c r="S200" s="4"/>
      <c r="T200" s="4">
        <v>28806.1</v>
      </c>
      <c r="U200" s="4"/>
      <c r="V200" s="4">
        <v>167864.00999999998</v>
      </c>
      <c r="W200" s="4">
        <v>96031.9</v>
      </c>
      <c r="X200" s="4">
        <v>134409.96</v>
      </c>
      <c r="Y200" s="4">
        <v>88192.9</v>
      </c>
      <c r="Z200" s="4">
        <v>27993.070000000003</v>
      </c>
      <c r="AA200" s="4">
        <v>361907.32</v>
      </c>
      <c r="AB200" s="4">
        <f t="shared" si="26"/>
        <v>2706246.5399999996</v>
      </c>
    </row>
    <row r="201" spans="1:28" x14ac:dyDescent="0.2">
      <c r="A201" s="3">
        <v>40787</v>
      </c>
      <c r="B201" s="4">
        <v>448450.44999999995</v>
      </c>
      <c r="C201" s="4">
        <v>101812.5</v>
      </c>
      <c r="D201" s="4">
        <v>40521.440000000002</v>
      </c>
      <c r="E201" s="4">
        <v>129713.83</v>
      </c>
      <c r="F201" s="4">
        <v>234231.12</v>
      </c>
      <c r="G201" s="4">
        <v>83749.34</v>
      </c>
      <c r="H201" s="4">
        <v>20244.129999999997</v>
      </c>
      <c r="I201" s="4">
        <v>63709.399999999994</v>
      </c>
      <c r="J201" s="4">
        <v>51568.03</v>
      </c>
      <c r="K201" s="4">
        <v>194248</v>
      </c>
      <c r="L201" s="4">
        <v>154919.79</v>
      </c>
      <c r="M201" s="4">
        <v>311949.83</v>
      </c>
      <c r="N201" s="4">
        <v>312701.37</v>
      </c>
      <c r="O201" s="4">
        <v>121026.38</v>
      </c>
      <c r="P201" s="4">
        <v>226086.28</v>
      </c>
      <c r="Q201" s="4">
        <v>33123.740000000005</v>
      </c>
      <c r="R201" s="4">
        <v>40037.350000000006</v>
      </c>
      <c r="S201" s="4"/>
      <c r="T201" s="4">
        <v>17647.32</v>
      </c>
      <c r="U201" s="4"/>
      <c r="V201" s="4">
        <v>231575.89</v>
      </c>
      <c r="W201" s="4">
        <v>161965.06</v>
      </c>
      <c r="X201" s="4">
        <v>237120.90999999997</v>
      </c>
      <c r="Y201" s="4">
        <v>92530.43</v>
      </c>
      <c r="Z201" s="4">
        <v>50508.25</v>
      </c>
      <c r="AA201" s="4">
        <v>328590.83999999997</v>
      </c>
      <c r="AB201" s="4">
        <f t="shared" si="26"/>
        <v>3688031.68</v>
      </c>
    </row>
    <row r="202" spans="1:28" x14ac:dyDescent="0.2">
      <c r="A202" s="3">
        <v>40817</v>
      </c>
      <c r="B202" s="4">
        <v>323009.27</v>
      </c>
      <c r="C202" s="4">
        <v>52723.320000000007</v>
      </c>
      <c r="D202" s="4">
        <v>40529.729999999996</v>
      </c>
      <c r="E202" s="4">
        <v>99076.37</v>
      </c>
      <c r="F202" s="4">
        <v>40155.94</v>
      </c>
      <c r="G202" s="4">
        <v>34153.380000000005</v>
      </c>
      <c r="H202" s="4">
        <v>21617.960000000003</v>
      </c>
      <c r="I202" s="4">
        <v>44178.95</v>
      </c>
      <c r="J202" s="4">
        <v>47389.75</v>
      </c>
      <c r="K202" s="4">
        <v>155427.30000000002</v>
      </c>
      <c r="L202" s="4">
        <v>118578.46999999999</v>
      </c>
      <c r="M202" s="4">
        <v>150097.53</v>
      </c>
      <c r="N202" s="4">
        <v>279295.24</v>
      </c>
      <c r="O202" s="4">
        <v>144832.74</v>
      </c>
      <c r="P202" s="4">
        <v>158906.75</v>
      </c>
      <c r="Q202" s="4">
        <v>28615.920000000002</v>
      </c>
      <c r="R202" s="4">
        <v>53194.46</v>
      </c>
      <c r="S202" s="4"/>
      <c r="T202" s="4">
        <v>25142.09</v>
      </c>
      <c r="U202" s="4"/>
      <c r="V202" s="4">
        <v>167765.37</v>
      </c>
      <c r="W202" s="4">
        <v>94850.950000000012</v>
      </c>
      <c r="X202" s="4">
        <v>148093.24</v>
      </c>
      <c r="Y202" s="4">
        <v>80228.37999999999</v>
      </c>
      <c r="Z202" s="4">
        <v>30565.059999999998</v>
      </c>
      <c r="AA202" s="4">
        <v>335756.3</v>
      </c>
      <c r="AB202" s="4">
        <f t="shared" si="26"/>
        <v>2674184.4699999997</v>
      </c>
    </row>
    <row r="203" spans="1:28" x14ac:dyDescent="0.2">
      <c r="A203" s="3">
        <v>40848</v>
      </c>
      <c r="B203" s="4">
        <v>331602.14</v>
      </c>
      <c r="C203" s="4">
        <v>79951.55</v>
      </c>
      <c r="D203" s="4">
        <v>40948.04</v>
      </c>
      <c r="E203" s="4">
        <v>98373.3</v>
      </c>
      <c r="F203" s="4">
        <v>40709.300000000003</v>
      </c>
      <c r="G203" s="4">
        <v>34633.120000000003</v>
      </c>
      <c r="H203" s="4">
        <v>21478.94</v>
      </c>
      <c r="I203" s="4">
        <v>54015.55</v>
      </c>
      <c r="J203" s="4">
        <v>78624.23000000001</v>
      </c>
      <c r="K203" s="4">
        <v>154341.46999999997</v>
      </c>
      <c r="L203" s="4">
        <v>118070.47</v>
      </c>
      <c r="M203" s="4">
        <v>150442.41</v>
      </c>
      <c r="N203" s="4">
        <v>279607</v>
      </c>
      <c r="O203" s="4">
        <v>143837.55000000002</v>
      </c>
      <c r="P203" s="4">
        <v>187853.55</v>
      </c>
      <c r="Q203" s="4">
        <v>29330.49</v>
      </c>
      <c r="R203" s="4">
        <v>53822.67</v>
      </c>
      <c r="S203" s="4"/>
      <c r="T203" s="4">
        <v>24610.42</v>
      </c>
      <c r="U203" s="4"/>
      <c r="V203" s="4">
        <v>164305.34</v>
      </c>
      <c r="W203" s="4">
        <v>94695.96</v>
      </c>
      <c r="X203" s="4">
        <v>144233.04999999999</v>
      </c>
      <c r="Y203" s="4">
        <v>82001.430000000008</v>
      </c>
      <c r="Z203" s="4">
        <v>30480.7</v>
      </c>
      <c r="AA203" s="4">
        <v>332617.09999999998</v>
      </c>
      <c r="AB203" s="4">
        <f t="shared" si="26"/>
        <v>2770585.7800000003</v>
      </c>
    </row>
    <row r="204" spans="1:28" x14ac:dyDescent="0.2">
      <c r="A204" s="3">
        <v>40878</v>
      </c>
      <c r="B204" s="4">
        <v>398771.85000000003</v>
      </c>
      <c r="C204" s="4">
        <v>61616.789999999994</v>
      </c>
      <c r="D204" s="4">
        <v>49664.85</v>
      </c>
      <c r="E204" s="4">
        <v>145359.22999999998</v>
      </c>
      <c r="F204" s="4">
        <v>43361.74</v>
      </c>
      <c r="G204" s="4">
        <v>38650.549999999996</v>
      </c>
      <c r="H204" s="4">
        <v>39913.19</v>
      </c>
      <c r="I204" s="4">
        <v>31644.97</v>
      </c>
      <c r="J204" s="4">
        <v>54143.960000000006</v>
      </c>
      <c r="K204" s="4">
        <v>196718.63</v>
      </c>
      <c r="L204" s="4">
        <v>134894.44</v>
      </c>
      <c r="M204" s="4">
        <v>276304.99</v>
      </c>
      <c r="N204" s="4">
        <v>230914.89</v>
      </c>
      <c r="O204" s="4">
        <v>195702.63999999998</v>
      </c>
      <c r="P204" s="4">
        <v>182124.88</v>
      </c>
      <c r="Q204" s="4">
        <v>48361.59</v>
      </c>
      <c r="R204" s="4">
        <v>71224.62</v>
      </c>
      <c r="S204" s="4"/>
      <c r="T204" s="4">
        <v>37193.82</v>
      </c>
      <c r="U204" s="4"/>
      <c r="V204" s="4">
        <v>205618.63</v>
      </c>
      <c r="W204" s="4">
        <v>129935.31</v>
      </c>
      <c r="X204" s="4">
        <v>194075.86000000002</v>
      </c>
      <c r="Y204" s="4">
        <v>141349.85999999999</v>
      </c>
      <c r="Z204" s="4">
        <v>40792</v>
      </c>
      <c r="AA204" s="4">
        <v>314494.77999999997</v>
      </c>
      <c r="AB204" s="4">
        <f t="shared" si="26"/>
        <v>3262834.0699999989</v>
      </c>
    </row>
    <row r="205" spans="1:28" ht="15.75" thickBot="1" x14ac:dyDescent="0.25">
      <c r="A205" s="3" t="s">
        <v>165</v>
      </c>
      <c r="B205" s="5">
        <f t="shared" ref="B205:AB205" si="27">SUM(B193:B204)</f>
        <v>4896365.87</v>
      </c>
      <c r="C205" s="5">
        <f t="shared" si="27"/>
        <v>796196.47</v>
      </c>
      <c r="D205" s="5">
        <f t="shared" si="27"/>
        <v>616903.80000000005</v>
      </c>
      <c r="E205" s="5">
        <f t="shared" si="27"/>
        <v>1350502.03</v>
      </c>
      <c r="F205" s="5">
        <f t="shared" si="27"/>
        <v>801263.42999999993</v>
      </c>
      <c r="G205" s="5">
        <f t="shared" si="27"/>
        <v>546703.27</v>
      </c>
      <c r="H205" s="5">
        <f t="shared" si="27"/>
        <v>316349.96999999997</v>
      </c>
      <c r="I205" s="5">
        <f t="shared" si="27"/>
        <v>689007.12</v>
      </c>
      <c r="J205" s="5">
        <f t="shared" si="27"/>
        <v>664203.22</v>
      </c>
      <c r="K205" s="5">
        <f t="shared" si="27"/>
        <v>1973357.4099999997</v>
      </c>
      <c r="L205" s="5">
        <f t="shared" si="27"/>
        <v>1684555.1</v>
      </c>
      <c r="M205" s="5">
        <f t="shared" si="27"/>
        <v>2416693.8200000003</v>
      </c>
      <c r="N205" s="5">
        <f t="shared" si="27"/>
        <v>3528926.3300000005</v>
      </c>
      <c r="O205" s="5">
        <f t="shared" si="27"/>
        <v>2159510.0100000002</v>
      </c>
      <c r="P205" s="5">
        <f t="shared" si="27"/>
        <v>2291552.1599999997</v>
      </c>
      <c r="Q205" s="5">
        <f t="shared" si="27"/>
        <v>473402.27</v>
      </c>
      <c r="R205" s="5">
        <f t="shared" si="27"/>
        <v>755254.69</v>
      </c>
      <c r="S205" s="5"/>
      <c r="T205" s="5">
        <f t="shared" si="27"/>
        <v>369177.98000000004</v>
      </c>
      <c r="U205" s="5"/>
      <c r="V205" s="5">
        <f t="shared" si="27"/>
        <v>2605717.77</v>
      </c>
      <c r="W205" s="5">
        <f t="shared" si="27"/>
        <v>1390137.18</v>
      </c>
      <c r="X205" s="5">
        <f t="shared" si="27"/>
        <v>2383710.8099999996</v>
      </c>
      <c r="Y205" s="5">
        <f t="shared" si="27"/>
        <v>1335102.08</v>
      </c>
      <c r="Z205" s="5">
        <f t="shared" si="27"/>
        <v>465618.37000000005</v>
      </c>
      <c r="AA205" s="5">
        <f t="shared" si="27"/>
        <v>4145176.3499999992</v>
      </c>
      <c r="AB205" s="5">
        <f t="shared" si="27"/>
        <v>38655387.509999998</v>
      </c>
    </row>
    <row r="206" spans="1:28" ht="15.75" thickTop="1" x14ac:dyDescent="0.2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x14ac:dyDescent="0.2">
      <c r="A207" s="3">
        <v>40179</v>
      </c>
      <c r="B207" s="4">
        <v>652985.14999999991</v>
      </c>
      <c r="C207" s="4">
        <v>108323.7</v>
      </c>
      <c r="D207" s="4">
        <v>80306.03</v>
      </c>
      <c r="E207" s="4">
        <v>160005.87000000002</v>
      </c>
      <c r="F207" s="4">
        <v>86935.510000000009</v>
      </c>
      <c r="G207" s="4">
        <v>64500.880000000005</v>
      </c>
      <c r="H207" s="4">
        <v>51771.47</v>
      </c>
      <c r="I207" s="4">
        <v>64606.85</v>
      </c>
      <c r="J207" s="4">
        <v>88004.89</v>
      </c>
      <c r="K207" s="4">
        <v>182834.84</v>
      </c>
      <c r="L207" s="4">
        <v>242527.78000000003</v>
      </c>
      <c r="M207" s="4"/>
      <c r="N207" s="4">
        <v>469445.05999999994</v>
      </c>
      <c r="O207" s="4">
        <v>260546.73000000004</v>
      </c>
      <c r="P207" s="4">
        <v>304777.34999999998</v>
      </c>
      <c r="Q207" s="4">
        <v>70236.149999999994</v>
      </c>
      <c r="R207" s="4">
        <v>0</v>
      </c>
      <c r="S207" s="4"/>
      <c r="T207" s="4">
        <v>51584.58</v>
      </c>
      <c r="U207" s="4"/>
      <c r="V207" s="4">
        <v>356329.68</v>
      </c>
      <c r="W207" s="4">
        <v>126489.52</v>
      </c>
      <c r="X207" s="4">
        <v>266623.15000000002</v>
      </c>
      <c r="Y207" s="4">
        <v>182063.77</v>
      </c>
      <c r="Z207" s="4">
        <v>58379.82</v>
      </c>
      <c r="AA207" s="4">
        <v>511805.54999999993</v>
      </c>
      <c r="AB207" s="4">
        <f t="shared" ref="AB207:AB218" si="28">SUM(B207:AA207)</f>
        <v>4441084.33</v>
      </c>
    </row>
    <row r="208" spans="1:28" x14ac:dyDescent="0.2">
      <c r="A208" s="3">
        <v>40210</v>
      </c>
      <c r="B208" s="4">
        <v>563304.91999999993</v>
      </c>
      <c r="C208" s="4">
        <v>90399.900000000009</v>
      </c>
      <c r="D208" s="4">
        <v>82879.320000000007</v>
      </c>
      <c r="E208" s="4">
        <v>137703.23000000001</v>
      </c>
      <c r="F208" s="4">
        <v>72900.209999999992</v>
      </c>
      <c r="G208" s="4">
        <v>54787.849999999991</v>
      </c>
      <c r="H208" s="4">
        <v>43382.82</v>
      </c>
      <c r="I208" s="4">
        <v>75412.77</v>
      </c>
      <c r="J208" s="4">
        <v>75520.599999999991</v>
      </c>
      <c r="K208" s="4">
        <v>153245.60999999999</v>
      </c>
      <c r="L208" s="4">
        <v>203047.24</v>
      </c>
      <c r="M208" s="4"/>
      <c r="N208" s="4">
        <v>393911.13</v>
      </c>
      <c r="O208" s="4">
        <v>302552.79000000004</v>
      </c>
      <c r="P208" s="4">
        <v>255618.53</v>
      </c>
      <c r="Q208" s="4">
        <v>58729.02</v>
      </c>
      <c r="R208" s="4">
        <v>105493.03</v>
      </c>
      <c r="S208" s="4"/>
      <c r="T208" s="4">
        <v>44014.790000000008</v>
      </c>
      <c r="U208" s="4"/>
      <c r="V208" s="4">
        <v>308614.61</v>
      </c>
      <c r="W208" s="4">
        <v>118385.99</v>
      </c>
      <c r="X208" s="4">
        <v>260583.52</v>
      </c>
      <c r="Y208" s="4">
        <v>152412.12999999998</v>
      </c>
      <c r="Z208" s="4">
        <v>48660.5</v>
      </c>
      <c r="AA208" s="4">
        <v>428220.7</v>
      </c>
      <c r="AB208" s="4">
        <f t="shared" si="28"/>
        <v>4029781.21</v>
      </c>
    </row>
    <row r="209" spans="1:28" x14ac:dyDescent="0.2">
      <c r="A209" s="3">
        <v>40238</v>
      </c>
      <c r="B209" s="4">
        <v>98289.71</v>
      </c>
      <c r="C209" s="4">
        <v>5899.6400000000012</v>
      </c>
      <c r="D209" s="4">
        <v>34257.74</v>
      </c>
      <c r="E209" s="4">
        <v>67155.87</v>
      </c>
      <c r="F209" s="4">
        <v>20836.04</v>
      </c>
      <c r="G209" s="4">
        <v>36847.590000000004</v>
      </c>
      <c r="H209" s="4">
        <v>484.20000000000073</v>
      </c>
      <c r="I209" s="4">
        <v>13094.980000000001</v>
      </c>
      <c r="J209" s="4">
        <v>4183.6200000000026</v>
      </c>
      <c r="K209" s="4">
        <v>185645.5</v>
      </c>
      <c r="L209" s="4">
        <v>55573.23</v>
      </c>
      <c r="M209" s="4"/>
      <c r="N209" s="4">
        <v>180434.54</v>
      </c>
      <c r="O209" s="4">
        <v>1957.8600000000151</v>
      </c>
      <c r="P209" s="4">
        <v>42791</v>
      </c>
      <c r="Q209" s="4">
        <v>8569.7899999999972</v>
      </c>
      <c r="R209" s="4">
        <v>1616.0300000000061</v>
      </c>
      <c r="S209" s="4"/>
      <c r="T209" s="4">
        <v>32249.120000000003</v>
      </c>
      <c r="U209" s="4"/>
      <c r="V209" s="4">
        <v>86068.51</v>
      </c>
      <c r="W209" s="4">
        <v>67032.100000000006</v>
      </c>
      <c r="X209" s="4">
        <v>107424.15000000001</v>
      </c>
      <c r="Y209" s="4">
        <v>54061.760000000002</v>
      </c>
      <c r="Z209" s="4">
        <v>25738.000000000004</v>
      </c>
      <c r="AA209" s="4">
        <v>283548.28999999998</v>
      </c>
      <c r="AB209" s="4">
        <f t="shared" si="28"/>
        <v>1413759.27</v>
      </c>
    </row>
    <row r="210" spans="1:28" x14ac:dyDescent="0.2">
      <c r="A210" s="3">
        <v>40269</v>
      </c>
      <c r="B210" s="4">
        <v>459603.48</v>
      </c>
      <c r="C210" s="4">
        <v>77788.610000000015</v>
      </c>
      <c r="D210" s="4">
        <v>57919.810000000005</v>
      </c>
      <c r="E210" s="4">
        <v>112515.69</v>
      </c>
      <c r="F210" s="4">
        <v>66095.11</v>
      </c>
      <c r="G210" s="4">
        <v>51508.19</v>
      </c>
      <c r="H210" s="4">
        <v>28312.230000000003</v>
      </c>
      <c r="I210" s="4">
        <v>159448.28</v>
      </c>
      <c r="J210" s="4">
        <v>55106.89</v>
      </c>
      <c r="K210" s="4">
        <v>96412.489999999991</v>
      </c>
      <c r="L210" s="4">
        <v>184497.08999999997</v>
      </c>
      <c r="M210" s="4"/>
      <c r="N210" s="4">
        <v>321704.41000000003</v>
      </c>
      <c r="O210" s="4">
        <v>217604.82000000004</v>
      </c>
      <c r="P210" s="4">
        <v>217751.92</v>
      </c>
      <c r="Q210" s="4">
        <v>46216.770000000004</v>
      </c>
      <c r="R210" s="4">
        <v>73572.12</v>
      </c>
      <c r="S210" s="4"/>
      <c r="T210" s="4">
        <v>32363.780000000002</v>
      </c>
      <c r="U210" s="4"/>
      <c r="V210" s="4">
        <v>256285.42</v>
      </c>
      <c r="W210" s="4">
        <v>95502.020000000019</v>
      </c>
      <c r="X210" s="4">
        <v>220113.93000000002</v>
      </c>
      <c r="Y210" s="4">
        <v>123546.41000000002</v>
      </c>
      <c r="Z210" s="4">
        <v>44537.54</v>
      </c>
      <c r="AA210" s="4">
        <v>396788.88</v>
      </c>
      <c r="AB210" s="4">
        <f t="shared" si="28"/>
        <v>3395195.8900000006</v>
      </c>
    </row>
    <row r="211" spans="1:28" x14ac:dyDescent="0.2">
      <c r="A211" s="3">
        <v>40299</v>
      </c>
      <c r="B211" s="4">
        <v>445711.68</v>
      </c>
      <c r="C211" s="4">
        <v>74579.34</v>
      </c>
      <c r="D211" s="4">
        <v>56379.18</v>
      </c>
      <c r="E211" s="4">
        <v>109258.69</v>
      </c>
      <c r="F211" s="4">
        <v>64359.14</v>
      </c>
      <c r="G211" s="4">
        <v>50196.78</v>
      </c>
      <c r="H211" s="4">
        <v>33143.64</v>
      </c>
      <c r="I211" s="4">
        <v>65107.799999999996</v>
      </c>
      <c r="J211" s="4">
        <v>56473.39</v>
      </c>
      <c r="K211" s="4">
        <v>93859.58</v>
      </c>
      <c r="L211" s="4">
        <v>155472.22</v>
      </c>
      <c r="M211" s="4"/>
      <c r="N211" s="4">
        <v>313406.34999999998</v>
      </c>
      <c r="O211" s="4">
        <v>279156.16000000003</v>
      </c>
      <c r="P211" s="4">
        <v>214309.76000000001</v>
      </c>
      <c r="Q211" s="4">
        <v>45692.829999999994</v>
      </c>
      <c r="R211" s="4">
        <v>103692.22</v>
      </c>
      <c r="S211" s="4"/>
      <c r="T211" s="4">
        <v>31515.26</v>
      </c>
      <c r="U211" s="4"/>
      <c r="V211" s="4">
        <v>248444.78999999998</v>
      </c>
      <c r="W211" s="4">
        <v>91206.33</v>
      </c>
      <c r="X211" s="4">
        <v>212884.63</v>
      </c>
      <c r="Y211" s="4">
        <v>120423.65999999999</v>
      </c>
      <c r="Z211" s="4">
        <v>43374.85</v>
      </c>
      <c r="AA211" s="4">
        <v>395160.9</v>
      </c>
      <c r="AB211" s="4">
        <f t="shared" si="28"/>
        <v>3303809.18</v>
      </c>
    </row>
    <row r="212" spans="1:28" x14ac:dyDescent="0.2">
      <c r="A212" s="3">
        <v>40330</v>
      </c>
      <c r="B212" s="4">
        <v>202105.97</v>
      </c>
      <c r="C212" s="4">
        <v>25878.18</v>
      </c>
      <c r="D212" s="4">
        <v>23983.210000000003</v>
      </c>
      <c r="E212" s="4">
        <v>107990.44</v>
      </c>
      <c r="F212" s="4">
        <v>20796.03</v>
      </c>
      <c r="G212" s="4">
        <v>40060.11</v>
      </c>
      <c r="H212" s="4">
        <v>10815.87</v>
      </c>
      <c r="I212" s="4">
        <v>30805.15</v>
      </c>
      <c r="J212" s="4">
        <v>39867.159999999996</v>
      </c>
      <c r="K212" s="4">
        <v>345848.76</v>
      </c>
      <c r="L212" s="4">
        <v>82307.839999999997</v>
      </c>
      <c r="M212" s="4"/>
      <c r="N212" s="4">
        <v>227151.32</v>
      </c>
      <c r="O212" s="4">
        <v>116715.90000000001</v>
      </c>
      <c r="P212" s="4">
        <v>113520.74</v>
      </c>
      <c r="Q212" s="4">
        <v>22728.12</v>
      </c>
      <c r="R212" s="4">
        <v>84264.700000000012</v>
      </c>
      <c r="S212" s="4"/>
      <c r="T212" s="4">
        <v>22575.34</v>
      </c>
      <c r="U212" s="4"/>
      <c r="V212" s="4">
        <v>117572.39</v>
      </c>
      <c r="W212" s="4">
        <v>48211.839999999997</v>
      </c>
      <c r="X212" s="4">
        <v>105015.54000000001</v>
      </c>
      <c r="Y212" s="4">
        <v>64862.079999999994</v>
      </c>
      <c r="Z212" s="4">
        <v>19844.2</v>
      </c>
      <c r="AA212" s="4">
        <v>251671.25999999998</v>
      </c>
      <c r="AB212" s="4">
        <f t="shared" si="28"/>
        <v>2124592.15</v>
      </c>
    </row>
    <row r="213" spans="1:28" x14ac:dyDescent="0.2">
      <c r="A213" s="3">
        <v>40360</v>
      </c>
      <c r="B213" s="4">
        <v>324398.70999999996</v>
      </c>
      <c r="C213" s="4">
        <v>40170.550000000003</v>
      </c>
      <c r="D213" s="4">
        <v>40230.35</v>
      </c>
      <c r="E213" s="4">
        <v>105662.72</v>
      </c>
      <c r="F213" s="4">
        <v>34179.21</v>
      </c>
      <c r="G213" s="4">
        <v>34816.76</v>
      </c>
      <c r="H213" s="4">
        <v>38635.29</v>
      </c>
      <c r="I213" s="4">
        <v>34751.449999999997</v>
      </c>
      <c r="J213" s="4">
        <v>42839.56</v>
      </c>
      <c r="K213" s="4">
        <v>133543.51</v>
      </c>
      <c r="L213" s="4">
        <v>120120.83</v>
      </c>
      <c r="M213" s="4"/>
      <c r="N213" s="4">
        <v>286103.42000000004</v>
      </c>
      <c r="O213" s="4">
        <v>82579.509999999995</v>
      </c>
      <c r="P213" s="4">
        <v>159278.03</v>
      </c>
      <c r="Q213" s="4">
        <v>32532.29</v>
      </c>
      <c r="R213" s="4">
        <v>84676.81</v>
      </c>
      <c r="S213" s="4"/>
      <c r="T213" s="4">
        <v>29344.06</v>
      </c>
      <c r="U213" s="4"/>
      <c r="V213" s="4">
        <v>137414.13</v>
      </c>
      <c r="W213" s="4">
        <v>60853.64</v>
      </c>
      <c r="X213" s="4">
        <v>136885.85</v>
      </c>
      <c r="Y213" s="4">
        <v>94370.94</v>
      </c>
      <c r="Z213" s="4">
        <v>30901.989999999998</v>
      </c>
      <c r="AA213" s="4">
        <v>386959.1</v>
      </c>
      <c r="AB213" s="4">
        <f t="shared" si="28"/>
        <v>2471248.71</v>
      </c>
    </row>
    <row r="214" spans="1:28" x14ac:dyDescent="0.2">
      <c r="A214" s="3">
        <v>40391</v>
      </c>
      <c r="B214" s="4">
        <v>320482.74</v>
      </c>
      <c r="C214" s="4">
        <v>50819.009999999995</v>
      </c>
      <c r="D214" s="4">
        <v>39348.83</v>
      </c>
      <c r="E214" s="4">
        <v>105606.79</v>
      </c>
      <c r="F214" s="4">
        <v>36295.26</v>
      </c>
      <c r="G214" s="4">
        <v>35968.060000000005</v>
      </c>
      <c r="H214" s="4">
        <v>20907.62</v>
      </c>
      <c r="I214" s="4">
        <v>52103.79</v>
      </c>
      <c r="J214" s="4">
        <v>41485</v>
      </c>
      <c r="K214" s="4">
        <v>131326.70000000001</v>
      </c>
      <c r="L214" s="4">
        <v>121881.61000000002</v>
      </c>
      <c r="M214" s="4"/>
      <c r="N214" s="4">
        <v>281417.49</v>
      </c>
      <c r="O214" s="4">
        <v>224886.45</v>
      </c>
      <c r="P214" s="4">
        <v>154872.41</v>
      </c>
      <c r="Q214" s="4">
        <v>32267.4</v>
      </c>
      <c r="R214" s="4">
        <v>86147.53</v>
      </c>
      <c r="S214" s="4"/>
      <c r="T214" s="4">
        <v>29740.18</v>
      </c>
      <c r="U214" s="4"/>
      <c r="V214" s="4">
        <v>166907.14000000001</v>
      </c>
      <c r="W214" s="4">
        <v>63555.380000000005</v>
      </c>
      <c r="X214" s="4">
        <v>130273.47</v>
      </c>
      <c r="Y214" s="4">
        <v>82693.25</v>
      </c>
      <c r="Z214" s="4">
        <v>28815.399999999998</v>
      </c>
      <c r="AA214" s="4">
        <v>368228.91000000003</v>
      </c>
      <c r="AB214" s="4">
        <f t="shared" si="28"/>
        <v>2606030.42</v>
      </c>
    </row>
    <row r="215" spans="1:28" x14ac:dyDescent="0.2">
      <c r="A215" s="3">
        <v>40422</v>
      </c>
      <c r="B215" s="4">
        <v>464666.43</v>
      </c>
      <c r="C215" s="4">
        <v>66156.069999999992</v>
      </c>
      <c r="D215" s="4">
        <v>54496.270000000004</v>
      </c>
      <c r="E215" s="4">
        <v>166423</v>
      </c>
      <c r="F215" s="4">
        <v>58730.46</v>
      </c>
      <c r="G215" s="4">
        <v>28174.92</v>
      </c>
      <c r="H215" s="4">
        <v>21096.99</v>
      </c>
      <c r="I215" s="4">
        <v>34534.080000000002</v>
      </c>
      <c r="J215" s="4">
        <v>70671.23000000001</v>
      </c>
      <c r="K215" s="4">
        <v>185095.45</v>
      </c>
      <c r="L215" s="4">
        <v>152400.11000000002</v>
      </c>
      <c r="M215" s="4">
        <v>80641.19</v>
      </c>
      <c r="N215" s="4">
        <v>381118.31</v>
      </c>
      <c r="O215" s="4">
        <v>86684.45</v>
      </c>
      <c r="P215" s="4">
        <v>203434.84999999998</v>
      </c>
      <c r="Q215" s="4">
        <v>31420.58</v>
      </c>
      <c r="R215" s="4">
        <v>36858.04</v>
      </c>
      <c r="S215" s="4"/>
      <c r="T215" s="4">
        <v>18253.849999999999</v>
      </c>
      <c r="U215" s="4"/>
      <c r="V215" s="4">
        <v>229526.84999999998</v>
      </c>
      <c r="W215" s="4">
        <v>107251.51000000001</v>
      </c>
      <c r="X215" s="4">
        <v>210542.95</v>
      </c>
      <c r="Y215" s="4">
        <v>106358.98000000001</v>
      </c>
      <c r="Z215" s="4">
        <v>45788.93</v>
      </c>
      <c r="AA215" s="4">
        <v>344227.16</v>
      </c>
      <c r="AB215" s="4">
        <f t="shared" si="28"/>
        <v>3184552.6600000011</v>
      </c>
    </row>
    <row r="216" spans="1:28" x14ac:dyDescent="0.2">
      <c r="A216" s="3">
        <v>40452</v>
      </c>
      <c r="B216" s="4">
        <v>353853.07999999996</v>
      </c>
      <c r="C216" s="4">
        <v>58265.86</v>
      </c>
      <c r="D216" s="4">
        <v>39710.909999999996</v>
      </c>
      <c r="E216" s="4">
        <v>96444.13</v>
      </c>
      <c r="F216" s="4">
        <v>42463.37</v>
      </c>
      <c r="G216" s="4">
        <v>34640.39</v>
      </c>
      <c r="H216" s="4">
        <v>27911.97</v>
      </c>
      <c r="I216" s="4">
        <v>47245.850000000006</v>
      </c>
      <c r="J216" s="4">
        <v>45878.610000000008</v>
      </c>
      <c r="K216" s="4">
        <v>151319.67999999999</v>
      </c>
      <c r="L216" s="4">
        <v>116812.07999999999</v>
      </c>
      <c r="M216" s="4">
        <v>156544.58000000002</v>
      </c>
      <c r="N216" s="4">
        <v>276297.23</v>
      </c>
      <c r="O216" s="4">
        <v>63778.12000000001</v>
      </c>
      <c r="P216" s="4">
        <v>157024.34000000003</v>
      </c>
      <c r="Q216" s="4">
        <v>27844.51</v>
      </c>
      <c r="R216" s="4">
        <v>49833.68</v>
      </c>
      <c r="S216" s="4"/>
      <c r="T216" s="4">
        <v>26776.260000000002</v>
      </c>
      <c r="U216" s="4"/>
      <c r="V216" s="4">
        <v>170276.95</v>
      </c>
      <c r="W216" s="4">
        <v>93290.319999999992</v>
      </c>
      <c r="X216" s="4">
        <v>142893.93</v>
      </c>
      <c r="Y216" s="4">
        <v>87619.59</v>
      </c>
      <c r="Z216" s="4">
        <v>29516.81</v>
      </c>
      <c r="AA216" s="4">
        <v>347401.53</v>
      </c>
      <c r="AB216" s="4">
        <f t="shared" si="28"/>
        <v>2643643.7800000003</v>
      </c>
    </row>
    <row r="217" spans="1:28" x14ac:dyDescent="0.2">
      <c r="A217" s="3">
        <v>40483</v>
      </c>
      <c r="B217" s="4">
        <v>329651.31</v>
      </c>
      <c r="C217" s="4">
        <v>54349.590000000004</v>
      </c>
      <c r="D217" s="4">
        <v>42108.56</v>
      </c>
      <c r="E217" s="4">
        <v>102560.76000000001</v>
      </c>
      <c r="F217" s="4">
        <v>45243.83</v>
      </c>
      <c r="G217" s="4">
        <v>34874.74</v>
      </c>
      <c r="H217" s="4">
        <v>24086.639999999999</v>
      </c>
      <c r="I217" s="4">
        <v>41640.380000000005</v>
      </c>
      <c r="J217" s="4">
        <v>49167.46</v>
      </c>
      <c r="K217" s="4">
        <v>160954.76</v>
      </c>
      <c r="L217" s="4">
        <v>139856.24</v>
      </c>
      <c r="M217" s="4">
        <v>166211.79999999999</v>
      </c>
      <c r="N217" s="4">
        <v>287255.99</v>
      </c>
      <c r="O217" s="4">
        <v>121080.85999999999</v>
      </c>
      <c r="P217" s="4">
        <v>164193.72999999998</v>
      </c>
      <c r="Q217" s="4">
        <v>29546.639999999999</v>
      </c>
      <c r="R217" s="4">
        <v>55371.560000000005</v>
      </c>
      <c r="S217" s="4"/>
      <c r="T217" s="4">
        <v>26510.87</v>
      </c>
      <c r="U217" s="4"/>
      <c r="V217" s="4">
        <v>168655.6</v>
      </c>
      <c r="W217" s="4">
        <v>95188.98000000001</v>
      </c>
      <c r="X217" s="4">
        <v>148126.83000000002</v>
      </c>
      <c r="Y217" s="4">
        <v>82976.990000000005</v>
      </c>
      <c r="Z217" s="4">
        <v>31307.86</v>
      </c>
      <c r="AA217" s="4">
        <v>367519.92</v>
      </c>
      <c r="AB217" s="4">
        <f t="shared" si="28"/>
        <v>2768441.9000000004</v>
      </c>
    </row>
    <row r="218" spans="1:28" x14ac:dyDescent="0.2">
      <c r="A218" s="3">
        <v>40513</v>
      </c>
      <c r="B218" s="4">
        <v>494637.9</v>
      </c>
      <c r="C218" s="4">
        <v>75960.13</v>
      </c>
      <c r="D218" s="4">
        <v>52013.000000000007</v>
      </c>
      <c r="E218" s="4">
        <v>203606.7</v>
      </c>
      <c r="F218" s="4">
        <v>38196.559999999998</v>
      </c>
      <c r="G218" s="4">
        <v>45582.85</v>
      </c>
      <c r="H218" s="4">
        <v>24480.51</v>
      </c>
      <c r="I218" s="4">
        <v>71028.72</v>
      </c>
      <c r="J218" s="4">
        <v>50511.979999999996</v>
      </c>
      <c r="K218" s="4">
        <v>271916.89</v>
      </c>
      <c r="L218" s="4">
        <v>183396.28</v>
      </c>
      <c r="M218" s="4">
        <v>127611.33</v>
      </c>
      <c r="N218" s="4">
        <v>306303.74</v>
      </c>
      <c r="O218" s="4">
        <v>339939.25</v>
      </c>
      <c r="P218" s="4">
        <v>238357.68000000002</v>
      </c>
      <c r="Q218" s="4">
        <v>60383.03</v>
      </c>
      <c r="R218" s="4">
        <v>96413.53</v>
      </c>
      <c r="S218" s="4"/>
      <c r="T218" s="4">
        <v>43485.7</v>
      </c>
      <c r="U218" s="4"/>
      <c r="V218" s="4">
        <v>264420.31</v>
      </c>
      <c r="W218" s="4">
        <v>120230.82</v>
      </c>
      <c r="X218" s="4">
        <v>244606.25</v>
      </c>
      <c r="Y218" s="4">
        <v>158166.18</v>
      </c>
      <c r="Z218" s="4">
        <v>38328.21</v>
      </c>
      <c r="AA218" s="4">
        <v>314621.22000000003</v>
      </c>
      <c r="AB218" s="4">
        <f t="shared" si="28"/>
        <v>3864198.7700000005</v>
      </c>
    </row>
    <row r="219" spans="1:28" ht="15.75" thickBot="1" x14ac:dyDescent="0.25">
      <c r="A219" s="3" t="s">
        <v>157</v>
      </c>
      <c r="B219" s="5">
        <f t="shared" ref="B219:AB219" si="29">SUM(B207:B218)</f>
        <v>4709691.080000001</v>
      </c>
      <c r="C219" s="5">
        <f t="shared" si="29"/>
        <v>728590.58</v>
      </c>
      <c r="D219" s="5">
        <f t="shared" si="29"/>
        <v>603633.21</v>
      </c>
      <c r="E219" s="5">
        <f t="shared" si="29"/>
        <v>1474933.8900000001</v>
      </c>
      <c r="F219" s="5">
        <f t="shared" si="29"/>
        <v>587030.73</v>
      </c>
      <c r="G219" s="5">
        <f t="shared" si="29"/>
        <v>511959.12</v>
      </c>
      <c r="H219" s="5">
        <f t="shared" si="29"/>
        <v>325029.25</v>
      </c>
      <c r="I219" s="5">
        <f t="shared" si="29"/>
        <v>689780.1</v>
      </c>
      <c r="J219" s="5">
        <f t="shared" si="29"/>
        <v>619710.3899999999</v>
      </c>
      <c r="K219" s="5">
        <f t="shared" si="29"/>
        <v>2092003.7699999996</v>
      </c>
      <c r="L219" s="5">
        <f t="shared" si="29"/>
        <v>1757892.55</v>
      </c>
      <c r="M219" s="5">
        <f t="shared" si="29"/>
        <v>531008.9</v>
      </c>
      <c r="N219" s="5">
        <f t="shared" si="29"/>
        <v>3724548.9900000012</v>
      </c>
      <c r="O219" s="5">
        <f t="shared" si="29"/>
        <v>2097482.9</v>
      </c>
      <c r="P219" s="5">
        <f t="shared" si="29"/>
        <v>2225930.34</v>
      </c>
      <c r="Q219" s="5">
        <f t="shared" si="29"/>
        <v>466167.13</v>
      </c>
      <c r="R219" s="5">
        <f t="shared" si="29"/>
        <v>777939.25000000023</v>
      </c>
      <c r="S219" s="5"/>
      <c r="T219" s="5">
        <f t="shared" si="29"/>
        <v>388413.79000000004</v>
      </c>
      <c r="U219" s="5"/>
      <c r="V219" s="5">
        <f t="shared" si="29"/>
        <v>2510516.38</v>
      </c>
      <c r="W219" s="5">
        <f t="shared" si="29"/>
        <v>1087198.45</v>
      </c>
      <c r="X219" s="5">
        <f t="shared" si="29"/>
        <v>2185974.2000000002</v>
      </c>
      <c r="Y219" s="5">
        <f t="shared" si="29"/>
        <v>1309555.74</v>
      </c>
      <c r="Z219" s="5">
        <f t="shared" si="29"/>
        <v>445194.11000000004</v>
      </c>
      <c r="AA219" s="5">
        <f t="shared" si="29"/>
        <v>4396153.42</v>
      </c>
      <c r="AB219" s="5">
        <f t="shared" si="29"/>
        <v>36246338.270000003</v>
      </c>
    </row>
    <row r="220" spans="1:28" ht="15.75" thickTop="1" x14ac:dyDescent="0.2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x14ac:dyDescent="0.2">
      <c r="A221" s="3">
        <v>39814</v>
      </c>
      <c r="B221" s="4">
        <v>585189.87</v>
      </c>
      <c r="C221" s="4">
        <v>98887.2</v>
      </c>
      <c r="D221" s="4">
        <v>68986.039999999994</v>
      </c>
      <c r="E221" s="4">
        <v>147381.41999999998</v>
      </c>
      <c r="F221" s="4">
        <v>80792.38</v>
      </c>
      <c r="G221" s="4">
        <v>60219.54</v>
      </c>
      <c r="H221" s="4">
        <v>42861.770000000004</v>
      </c>
      <c r="I221" s="4">
        <v>81231.150000000009</v>
      </c>
      <c r="J221" s="4">
        <v>77185.72</v>
      </c>
      <c r="K221" s="4">
        <v>202262.58</v>
      </c>
      <c r="L221" s="4">
        <v>191324.34</v>
      </c>
      <c r="M221" s="4"/>
      <c r="N221" s="4">
        <v>385951.80000000005</v>
      </c>
      <c r="O221" s="4"/>
      <c r="P221" s="4">
        <v>265870.21000000002</v>
      </c>
      <c r="Q221" s="4">
        <v>58278.78</v>
      </c>
      <c r="R221" s="4"/>
      <c r="S221" s="4"/>
      <c r="T221" s="4">
        <v>40789.25</v>
      </c>
      <c r="U221" s="4"/>
      <c r="V221" s="4">
        <v>321151.66000000003</v>
      </c>
      <c r="W221" s="4">
        <v>113962.03</v>
      </c>
      <c r="X221" s="4">
        <v>272335.88</v>
      </c>
      <c r="Y221" s="4">
        <v>156805.29999999999</v>
      </c>
      <c r="Z221" s="4">
        <v>48792.160000000003</v>
      </c>
      <c r="AA221" s="4">
        <v>458221.24000000005</v>
      </c>
      <c r="AB221" s="4">
        <f>SUM(B221:AA221)</f>
        <v>3758480.32</v>
      </c>
    </row>
    <row r="222" spans="1:28" x14ac:dyDescent="0.2">
      <c r="A222" s="3">
        <v>39845</v>
      </c>
      <c r="B222" s="4">
        <v>488139.58</v>
      </c>
      <c r="C222" s="4">
        <v>82640.349999999991</v>
      </c>
      <c r="D222" s="4">
        <v>57427.21</v>
      </c>
      <c r="E222" s="4">
        <v>123422.85</v>
      </c>
      <c r="F222" s="4">
        <v>60902.579999999994</v>
      </c>
      <c r="G222" s="4">
        <v>47603.380000000005</v>
      </c>
      <c r="H222" s="4">
        <v>36092.26</v>
      </c>
      <c r="I222" s="4">
        <v>67867.460000000006</v>
      </c>
      <c r="J222" s="4">
        <v>64589.64</v>
      </c>
      <c r="K222" s="4">
        <v>169398.93000000002</v>
      </c>
      <c r="L222" s="4">
        <v>152874.79</v>
      </c>
      <c r="M222" s="4"/>
      <c r="N222" s="4">
        <v>323143.53999999998</v>
      </c>
      <c r="O222" s="4"/>
      <c r="P222" s="4">
        <v>222896.53000000003</v>
      </c>
      <c r="Q222" s="4">
        <v>48966.67</v>
      </c>
      <c r="R222" s="4"/>
      <c r="S222" s="4"/>
      <c r="T222" s="4">
        <v>34066.959999999999</v>
      </c>
      <c r="U222" s="4"/>
      <c r="V222" s="4">
        <v>267848.3</v>
      </c>
      <c r="W222" s="4">
        <v>95344.97</v>
      </c>
      <c r="X222" s="4">
        <v>227511.75</v>
      </c>
      <c r="Y222" s="4">
        <v>130656.34</v>
      </c>
      <c r="Z222" s="4">
        <v>40629.33</v>
      </c>
      <c r="AA222" s="4">
        <v>384426.14</v>
      </c>
      <c r="AB222" s="4">
        <f t="shared" ref="AB222:AB232" si="30">SUM(B222:AA222)</f>
        <v>3126449.56</v>
      </c>
    </row>
    <row r="223" spans="1:28" x14ac:dyDescent="0.2">
      <c r="A223" s="3">
        <v>39873</v>
      </c>
      <c r="B223" s="4">
        <v>689298.45</v>
      </c>
      <c r="C223" s="4">
        <v>107574.34</v>
      </c>
      <c r="D223" s="4">
        <v>88274.39</v>
      </c>
      <c r="E223" s="4">
        <v>144720.31</v>
      </c>
      <c r="F223" s="4">
        <v>94435.22</v>
      </c>
      <c r="G223" s="4">
        <v>61007.14</v>
      </c>
      <c r="H223" s="4">
        <v>62484.58</v>
      </c>
      <c r="I223" s="4">
        <v>143244.99</v>
      </c>
      <c r="J223" s="4">
        <v>119894.15000000001</v>
      </c>
      <c r="K223" s="4">
        <v>86889.600000000006</v>
      </c>
      <c r="L223" s="4">
        <v>234454.32</v>
      </c>
      <c r="M223" s="4"/>
      <c r="N223" s="4">
        <v>498599.52</v>
      </c>
      <c r="O223" s="4"/>
      <c r="P223" s="4">
        <v>335793.45</v>
      </c>
      <c r="Q223" s="4">
        <v>71080.08</v>
      </c>
      <c r="R223" s="4"/>
      <c r="S223" s="4"/>
      <c r="T223" s="4">
        <v>67019.790000000008</v>
      </c>
      <c r="U223" s="4"/>
      <c r="V223" s="4">
        <v>374875.01</v>
      </c>
      <c r="W223" s="4">
        <v>120552.56</v>
      </c>
      <c r="X223" s="4">
        <v>420651.79000000004</v>
      </c>
      <c r="Y223" s="4">
        <v>228363.95</v>
      </c>
      <c r="Z223" s="4">
        <v>65295.180000000008</v>
      </c>
      <c r="AA223" s="4">
        <v>460007.58999999997</v>
      </c>
      <c r="AB223" s="4">
        <f t="shared" si="30"/>
        <v>4474516.41</v>
      </c>
    </row>
    <row r="224" spans="1:28" x14ac:dyDescent="0.2">
      <c r="A224" s="3">
        <v>39904</v>
      </c>
      <c r="B224" s="4">
        <v>518534.47000000003</v>
      </c>
      <c r="C224" s="4">
        <v>80437.59</v>
      </c>
      <c r="D224" s="4">
        <v>56840.39</v>
      </c>
      <c r="E224" s="4">
        <v>122100.06999999999</v>
      </c>
      <c r="F224" s="4">
        <v>63197.5</v>
      </c>
      <c r="G224" s="4">
        <v>42259.5</v>
      </c>
      <c r="H224" s="4">
        <v>39238.859999999993</v>
      </c>
      <c r="I224" s="4">
        <v>60506.259999999995</v>
      </c>
      <c r="J224" s="4">
        <v>60040.450000000004</v>
      </c>
      <c r="K224" s="4">
        <v>171831.53</v>
      </c>
      <c r="L224" s="4">
        <v>165947.74</v>
      </c>
      <c r="M224" s="4"/>
      <c r="N224" s="4">
        <v>314719.08</v>
      </c>
      <c r="O224" s="4"/>
      <c r="P224" s="4">
        <v>219104.32</v>
      </c>
      <c r="Q224" s="4">
        <v>48114.2</v>
      </c>
      <c r="R224" s="4"/>
      <c r="S224" s="4"/>
      <c r="T224" s="4">
        <v>31717.739999999998</v>
      </c>
      <c r="U224" s="4"/>
      <c r="V224" s="4">
        <v>260702.06</v>
      </c>
      <c r="W224" s="4">
        <v>83457.69</v>
      </c>
      <c r="X224" s="4">
        <v>237957.39</v>
      </c>
      <c r="Y224" s="4">
        <v>134951.32</v>
      </c>
      <c r="Z224" s="4">
        <v>41379.969999999994</v>
      </c>
      <c r="AA224" s="4">
        <v>391718.78</v>
      </c>
      <c r="AB224" s="4">
        <f t="shared" si="30"/>
        <v>3144756.91</v>
      </c>
    </row>
    <row r="225" spans="1:28" x14ac:dyDescent="0.2">
      <c r="A225" s="3">
        <v>39934</v>
      </c>
      <c r="B225" s="4">
        <v>527629.32999999996</v>
      </c>
      <c r="C225" s="4">
        <v>81744.19</v>
      </c>
      <c r="D225" s="4">
        <v>57905.909999999996</v>
      </c>
      <c r="E225" s="4">
        <v>116145.41</v>
      </c>
      <c r="F225" s="4">
        <v>64325.25</v>
      </c>
      <c r="G225" s="4">
        <v>43026.15</v>
      </c>
      <c r="H225" s="4">
        <v>39894.130000000005</v>
      </c>
      <c r="I225" s="4">
        <v>61312.38</v>
      </c>
      <c r="J225" s="4">
        <v>61095.41</v>
      </c>
      <c r="K225" s="4">
        <v>174632.07</v>
      </c>
      <c r="L225" s="4">
        <v>168054.46</v>
      </c>
      <c r="M225" s="4"/>
      <c r="N225" s="4">
        <v>319921.77</v>
      </c>
      <c r="O225" s="4"/>
      <c r="P225" s="4">
        <v>222657.63000000003</v>
      </c>
      <c r="Q225" s="4">
        <v>48709.039999999994</v>
      </c>
      <c r="R225" s="4"/>
      <c r="S225" s="4"/>
      <c r="T225" s="4">
        <v>32293.66</v>
      </c>
      <c r="U225" s="4"/>
      <c r="V225" s="4">
        <v>265013.03999999998</v>
      </c>
      <c r="W225" s="4">
        <v>84712.409999999989</v>
      </c>
      <c r="X225" s="4">
        <v>241443.42</v>
      </c>
      <c r="Y225" s="4">
        <v>136969.17000000001</v>
      </c>
      <c r="Z225" s="4">
        <v>42127.810000000005</v>
      </c>
      <c r="AA225" s="4">
        <v>397802.74</v>
      </c>
      <c r="AB225" s="4">
        <f t="shared" si="30"/>
        <v>3187415.38</v>
      </c>
    </row>
    <row r="226" spans="1:28" x14ac:dyDescent="0.2">
      <c r="A226" s="3">
        <v>39965</v>
      </c>
      <c r="B226" s="4">
        <v>234056.6</v>
      </c>
      <c r="C226" s="4">
        <v>38351.06</v>
      </c>
      <c r="D226" s="4">
        <v>31297.699999999997</v>
      </c>
      <c r="E226" s="4">
        <v>77712.31</v>
      </c>
      <c r="F226" s="4">
        <v>35727.53</v>
      </c>
      <c r="G226" s="4">
        <v>65765.489999999991</v>
      </c>
      <c r="H226" s="4">
        <v>22281.3</v>
      </c>
      <c r="I226" s="4">
        <v>141995.22999999998</v>
      </c>
      <c r="J226" s="4">
        <v>50245.84</v>
      </c>
      <c r="K226" s="4">
        <v>77962.37</v>
      </c>
      <c r="L226" s="4">
        <v>60725.86</v>
      </c>
      <c r="M226" s="4"/>
      <c r="N226" s="4">
        <v>237989.36</v>
      </c>
      <c r="O226" s="4"/>
      <c r="P226" s="4">
        <v>193257.57</v>
      </c>
      <c r="Q226" s="4">
        <v>24298.95</v>
      </c>
      <c r="R226" s="4"/>
      <c r="S226" s="4"/>
      <c r="T226" s="4">
        <v>16620.550000000003</v>
      </c>
      <c r="U226" s="4"/>
      <c r="V226" s="4">
        <v>136228.10999999999</v>
      </c>
      <c r="W226" s="4">
        <v>46388.38</v>
      </c>
      <c r="X226" s="4">
        <v>152895.74</v>
      </c>
      <c r="Y226" s="4">
        <v>72445.53</v>
      </c>
      <c r="Z226" s="4">
        <v>27539.25</v>
      </c>
      <c r="AA226" s="4">
        <v>213610.4</v>
      </c>
      <c r="AB226" s="4">
        <f t="shared" si="30"/>
        <v>1957395.13</v>
      </c>
    </row>
    <row r="227" spans="1:28" x14ac:dyDescent="0.2">
      <c r="A227" s="3">
        <v>39995</v>
      </c>
      <c r="B227" s="4">
        <v>283483.73</v>
      </c>
      <c r="C227" s="4">
        <v>61555.59</v>
      </c>
      <c r="D227" s="4">
        <v>61087.81</v>
      </c>
      <c r="E227" s="4">
        <v>107822.62</v>
      </c>
      <c r="F227" s="4">
        <v>71503.77</v>
      </c>
      <c r="G227" s="4">
        <v>48712.270000000004</v>
      </c>
      <c r="H227" s="4">
        <v>799.41</v>
      </c>
      <c r="I227" s="4">
        <v>55175.360000000001</v>
      </c>
      <c r="J227" s="4">
        <v>69511.100000000006</v>
      </c>
      <c r="K227" s="4">
        <v>8501.67</v>
      </c>
      <c r="L227" s="4">
        <v>82009.63</v>
      </c>
      <c r="M227" s="4"/>
      <c r="N227" s="4">
        <v>352362.27</v>
      </c>
      <c r="O227" s="4"/>
      <c r="P227" s="4">
        <v>271958.93</v>
      </c>
      <c r="Q227" s="4">
        <v>24645.13</v>
      </c>
      <c r="R227" s="4"/>
      <c r="S227" s="4"/>
      <c r="T227" s="4">
        <v>31276.53</v>
      </c>
      <c r="U227" s="4"/>
      <c r="V227" s="4">
        <v>187141.93</v>
      </c>
      <c r="W227" s="4">
        <v>112119.17</v>
      </c>
      <c r="X227" s="4">
        <v>234911.49</v>
      </c>
      <c r="Y227" s="4">
        <v>93411.64</v>
      </c>
      <c r="Z227" s="4">
        <v>46756.76</v>
      </c>
      <c r="AA227" s="4">
        <v>467278.06</v>
      </c>
      <c r="AB227" s="4">
        <f t="shared" si="30"/>
        <v>2672024.8699999996</v>
      </c>
    </row>
    <row r="228" spans="1:28" x14ac:dyDescent="0.2">
      <c r="A228" s="3">
        <v>40026</v>
      </c>
      <c r="B228" s="4">
        <v>368888.35</v>
      </c>
      <c r="C228" s="4">
        <v>59756</v>
      </c>
      <c r="D228" s="4">
        <v>42067.61</v>
      </c>
      <c r="E228" s="4">
        <v>111333.25</v>
      </c>
      <c r="F228" s="4">
        <v>49590.6</v>
      </c>
      <c r="G228" s="4">
        <v>35670.69</v>
      </c>
      <c r="H228" s="4">
        <v>21705.890000000003</v>
      </c>
      <c r="I228" s="4">
        <v>49287.58</v>
      </c>
      <c r="J228" s="4">
        <v>48345.3</v>
      </c>
      <c r="K228" s="4">
        <v>138852.65</v>
      </c>
      <c r="L228" s="4">
        <v>128365.75999999999</v>
      </c>
      <c r="M228" s="4"/>
      <c r="N228" s="4">
        <v>293704.65999999997</v>
      </c>
      <c r="O228" s="4"/>
      <c r="P228" s="4">
        <v>161083.47</v>
      </c>
      <c r="Q228" s="4">
        <v>32295.25</v>
      </c>
      <c r="R228" s="4"/>
      <c r="S228" s="4"/>
      <c r="T228" s="4">
        <v>24542.239999999998</v>
      </c>
      <c r="U228" s="4"/>
      <c r="V228" s="4">
        <v>190314.46000000002</v>
      </c>
      <c r="W228" s="4">
        <v>65228.51</v>
      </c>
      <c r="X228" s="4">
        <v>171965.42</v>
      </c>
      <c r="Y228" s="4">
        <v>99921.74</v>
      </c>
      <c r="Z228" s="4">
        <v>30695.37</v>
      </c>
      <c r="AA228" s="4">
        <v>377094.83</v>
      </c>
      <c r="AB228" s="4">
        <f t="shared" si="30"/>
        <v>2500709.63</v>
      </c>
    </row>
    <row r="229" spans="1:28" x14ac:dyDescent="0.2">
      <c r="A229" s="3">
        <v>40057</v>
      </c>
      <c r="B229" s="4">
        <v>174104.57</v>
      </c>
      <c r="C229" s="4">
        <v>38387.630000000005</v>
      </c>
      <c r="D229" s="4">
        <v>28165.460000000003</v>
      </c>
      <c r="E229" s="4">
        <v>83271.760000000009</v>
      </c>
      <c r="F229" s="4">
        <v>1294.690000000001</v>
      </c>
      <c r="G229" s="4">
        <v>25725.029999999995</v>
      </c>
      <c r="H229" s="4">
        <v>20954.32</v>
      </c>
      <c r="I229" s="4">
        <v>40765.9</v>
      </c>
      <c r="J229" s="4">
        <v>69479.97</v>
      </c>
      <c r="K229" s="4">
        <v>141212.08000000002</v>
      </c>
      <c r="L229" s="4">
        <v>35383.94</v>
      </c>
      <c r="M229" s="4"/>
      <c r="N229" s="4">
        <v>220902.16</v>
      </c>
      <c r="O229" s="4">
        <v>86418.11</v>
      </c>
      <c r="P229" s="4">
        <v>146696.53000000003</v>
      </c>
      <c r="Q229" s="4">
        <v>42383.29</v>
      </c>
      <c r="R229" s="4">
        <v>36911.300000000003</v>
      </c>
      <c r="S229" s="4"/>
      <c r="T229" s="4">
        <v>20656.21</v>
      </c>
      <c r="U229" s="4"/>
      <c r="V229" s="4">
        <v>116370.95999999999</v>
      </c>
      <c r="W229" s="4">
        <v>45406.32</v>
      </c>
      <c r="X229" s="4">
        <v>121616.20000000001</v>
      </c>
      <c r="Y229" s="4">
        <v>30384.570000000007</v>
      </c>
      <c r="Z229" s="4">
        <v>23105.81</v>
      </c>
      <c r="AA229" s="4">
        <v>236519.88</v>
      </c>
      <c r="AB229" s="4">
        <f t="shared" si="30"/>
        <v>1786116.6900000004</v>
      </c>
    </row>
    <row r="230" spans="1:28" x14ac:dyDescent="0.2">
      <c r="A230" s="3">
        <v>40087</v>
      </c>
      <c r="B230" s="4">
        <v>383109.5</v>
      </c>
      <c r="C230" s="4">
        <v>68631.150000000009</v>
      </c>
      <c r="D230" s="4">
        <v>42656.869999999995</v>
      </c>
      <c r="E230" s="4">
        <v>111968.34000000001</v>
      </c>
      <c r="F230" s="4">
        <v>45865.630000000005</v>
      </c>
      <c r="G230" s="4">
        <v>46416.67</v>
      </c>
      <c r="H230" s="4">
        <v>25680.12</v>
      </c>
      <c r="I230" s="4">
        <v>54913.99</v>
      </c>
      <c r="J230" s="4">
        <v>51910.3</v>
      </c>
      <c r="K230" s="4">
        <v>166709.56</v>
      </c>
      <c r="L230" s="4">
        <v>127508.12</v>
      </c>
      <c r="M230" s="4"/>
      <c r="N230" s="4">
        <v>291698.65000000002</v>
      </c>
      <c r="O230" s="4">
        <v>171343.11</v>
      </c>
      <c r="P230" s="4">
        <v>164930.96</v>
      </c>
      <c r="Q230" s="4">
        <v>41900.79</v>
      </c>
      <c r="R230" s="4">
        <v>73184.89</v>
      </c>
      <c r="S230" s="4"/>
      <c r="T230" s="4">
        <v>28505.27</v>
      </c>
      <c r="U230" s="4"/>
      <c r="V230" s="4">
        <v>211786.49</v>
      </c>
      <c r="W230" s="4">
        <v>72470.14</v>
      </c>
      <c r="X230" s="4">
        <v>160630.49000000002</v>
      </c>
      <c r="Y230" s="4">
        <v>100673.79999999999</v>
      </c>
      <c r="Z230" s="4">
        <v>30938.309999999998</v>
      </c>
      <c r="AA230" s="4">
        <v>393426.12</v>
      </c>
      <c r="AB230" s="4">
        <f t="shared" si="30"/>
        <v>2866859.27</v>
      </c>
    </row>
    <row r="231" spans="1:28" x14ac:dyDescent="0.2">
      <c r="A231" s="3">
        <v>40118</v>
      </c>
      <c r="B231" s="4">
        <v>378015.28</v>
      </c>
      <c r="C231" s="4">
        <v>56946.58</v>
      </c>
      <c r="D231" s="4">
        <v>41852.089999999997</v>
      </c>
      <c r="E231" s="4">
        <v>109894</v>
      </c>
      <c r="F231" s="4">
        <v>41378.07</v>
      </c>
      <c r="G231" s="4">
        <v>35563.269999999997</v>
      </c>
      <c r="H231" s="4">
        <v>25521.1</v>
      </c>
      <c r="I231" s="4">
        <v>54429.990000000005</v>
      </c>
      <c r="J231" s="4">
        <v>51986.600000000006</v>
      </c>
      <c r="K231" s="4">
        <v>165836.10999999999</v>
      </c>
      <c r="L231" s="4">
        <v>124670.20000000001</v>
      </c>
      <c r="M231" s="4"/>
      <c r="N231" s="4">
        <v>289396.04000000004</v>
      </c>
      <c r="O231" s="4">
        <v>170687.71</v>
      </c>
      <c r="P231" s="4">
        <v>159647.43</v>
      </c>
      <c r="Q231" s="4">
        <v>36104.06</v>
      </c>
      <c r="R231" s="4">
        <v>72892.38</v>
      </c>
      <c r="S231" s="4"/>
      <c r="T231" s="4">
        <v>27634.84</v>
      </c>
      <c r="U231" s="4"/>
      <c r="V231" s="4">
        <v>202991.69</v>
      </c>
      <c r="W231" s="4">
        <v>70699.73</v>
      </c>
      <c r="X231" s="4">
        <v>158045.56000000003</v>
      </c>
      <c r="Y231" s="4">
        <v>98518.420000000013</v>
      </c>
      <c r="Z231" s="4">
        <v>30699.41</v>
      </c>
      <c r="AA231" s="4">
        <v>386524.98</v>
      </c>
      <c r="AB231" s="4">
        <f t="shared" si="30"/>
        <v>2789935.5400000005</v>
      </c>
    </row>
    <row r="232" spans="1:28" x14ac:dyDescent="0.2">
      <c r="A232" s="3">
        <v>40148</v>
      </c>
      <c r="B232" s="4">
        <v>364889.48</v>
      </c>
      <c r="C232" s="4">
        <v>101759.20999999999</v>
      </c>
      <c r="D232" s="4">
        <v>70071.599999999991</v>
      </c>
      <c r="E232" s="4">
        <v>95520.74</v>
      </c>
      <c r="F232" s="4">
        <v>75226.48</v>
      </c>
      <c r="G232" s="4">
        <v>33983.17</v>
      </c>
      <c r="H232" s="4">
        <v>45665.69</v>
      </c>
      <c r="I232" s="4">
        <v>50000.289999999994</v>
      </c>
      <c r="J232" s="4">
        <v>45067.439999999995</v>
      </c>
      <c r="K232" s="4">
        <v>123215.29000000001</v>
      </c>
      <c r="L232" s="4">
        <v>190868.99</v>
      </c>
      <c r="M232" s="4"/>
      <c r="N232" s="4">
        <v>308291.56</v>
      </c>
      <c r="O232" s="4">
        <v>172527.1</v>
      </c>
      <c r="P232" s="4">
        <v>292437.69</v>
      </c>
      <c r="Q232" s="4">
        <v>40761.81</v>
      </c>
      <c r="R232" s="4">
        <v>66076.27</v>
      </c>
      <c r="S232" s="4"/>
      <c r="T232" s="4">
        <v>33498.54</v>
      </c>
      <c r="U232" s="4"/>
      <c r="V232" s="4">
        <v>190354.5</v>
      </c>
      <c r="W232" s="4">
        <v>117843.06</v>
      </c>
      <c r="X232" s="4">
        <v>147241.01</v>
      </c>
      <c r="Y232" s="4">
        <v>98043.5</v>
      </c>
      <c r="Z232" s="4">
        <v>46052.54</v>
      </c>
      <c r="AA232" s="4">
        <v>438419.15</v>
      </c>
      <c r="AB232" s="4">
        <f t="shared" si="30"/>
        <v>3147815.11</v>
      </c>
    </row>
    <row r="233" spans="1:28" ht="15.75" thickBot="1" x14ac:dyDescent="0.25">
      <c r="A233" s="3" t="s">
        <v>153</v>
      </c>
      <c r="B233" s="5">
        <f t="shared" ref="B233:AB233" si="31">SUM(B221:B232)</f>
        <v>4995339.2100000009</v>
      </c>
      <c r="C233" s="5">
        <f t="shared" si="31"/>
        <v>876670.8899999999</v>
      </c>
      <c r="D233" s="5">
        <f t="shared" si="31"/>
        <v>646633.07999999996</v>
      </c>
      <c r="E233" s="5">
        <f t="shared" si="31"/>
        <v>1351293.08</v>
      </c>
      <c r="F233" s="5">
        <f t="shared" si="31"/>
        <v>684239.69999999984</v>
      </c>
      <c r="G233" s="5">
        <f t="shared" si="31"/>
        <v>545952.29999999993</v>
      </c>
      <c r="H233" s="5">
        <f t="shared" si="31"/>
        <v>383179.42999999993</v>
      </c>
      <c r="I233" s="5">
        <f t="shared" si="31"/>
        <v>860730.58</v>
      </c>
      <c r="J233" s="5">
        <f t="shared" si="31"/>
        <v>769351.91999999993</v>
      </c>
      <c r="K233" s="5">
        <f t="shared" si="31"/>
        <v>1627304.44</v>
      </c>
      <c r="L233" s="5">
        <f t="shared" si="31"/>
        <v>1662188.15</v>
      </c>
      <c r="M233" s="5"/>
      <c r="N233" s="5">
        <f t="shared" si="31"/>
        <v>3836680.4100000006</v>
      </c>
      <c r="O233" s="5">
        <f t="shared" si="31"/>
        <v>600976.02999999991</v>
      </c>
      <c r="P233" s="5">
        <f t="shared" si="31"/>
        <v>2656334.7200000002</v>
      </c>
      <c r="Q233" s="5">
        <f t="shared" si="31"/>
        <v>517538.04999999993</v>
      </c>
      <c r="R233" s="5">
        <f t="shared" si="31"/>
        <v>249064.84000000003</v>
      </c>
      <c r="S233" s="5"/>
      <c r="T233" s="5">
        <f t="shared" si="31"/>
        <v>388621.58000000007</v>
      </c>
      <c r="U233" s="5"/>
      <c r="V233" s="5">
        <f t="shared" si="31"/>
        <v>2724778.2100000004</v>
      </c>
      <c r="W233" s="5">
        <f t="shared" si="31"/>
        <v>1028184.97</v>
      </c>
      <c r="X233" s="5">
        <f t="shared" si="31"/>
        <v>2547206.1399999997</v>
      </c>
      <c r="Y233" s="5">
        <f t="shared" si="31"/>
        <v>1381145.2800000003</v>
      </c>
      <c r="Z233" s="5">
        <f t="shared" si="31"/>
        <v>474011.89999999997</v>
      </c>
      <c r="AA233" s="5">
        <f t="shared" si="31"/>
        <v>4605049.91</v>
      </c>
      <c r="AB233" s="5">
        <f t="shared" si="31"/>
        <v>35412474.82</v>
      </c>
    </row>
    <row r="234" spans="1:28" ht="15.75" thickTop="1" x14ac:dyDescent="0.2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x14ac:dyDescent="0.2">
      <c r="A235" s="3">
        <v>39448</v>
      </c>
      <c r="B235" s="4">
        <v>646379.76</v>
      </c>
      <c r="C235" s="4">
        <v>109176.61</v>
      </c>
      <c r="D235" s="4">
        <v>75911.320000000007</v>
      </c>
      <c r="E235" s="4">
        <v>144552.49</v>
      </c>
      <c r="F235" s="4">
        <v>87381.13</v>
      </c>
      <c r="G235" s="4">
        <v>66338.28</v>
      </c>
      <c r="H235" s="4">
        <v>47577.01</v>
      </c>
      <c r="I235" s="4">
        <v>92009.86</v>
      </c>
      <c r="J235" s="4">
        <v>92505.15</v>
      </c>
      <c r="K235" s="4">
        <v>205033.12</v>
      </c>
      <c r="L235" s="4">
        <v>211294.46</v>
      </c>
      <c r="M235" s="4"/>
      <c r="N235" s="4">
        <v>428242.25</v>
      </c>
      <c r="O235" s="4"/>
      <c r="P235" s="4">
        <v>304432.76</v>
      </c>
      <c r="Q235" s="4">
        <v>64342.07</v>
      </c>
      <c r="R235" s="4"/>
      <c r="S235" s="4"/>
      <c r="T235" s="4">
        <v>44964.83</v>
      </c>
      <c r="U235" s="4"/>
      <c r="V235" s="4">
        <v>353949.36</v>
      </c>
      <c r="W235" s="4">
        <v>126349.22</v>
      </c>
      <c r="X235" s="4">
        <v>321452.03000000003</v>
      </c>
      <c r="Y235" s="4">
        <v>172075.19</v>
      </c>
      <c r="Z235" s="4">
        <v>53642.91</v>
      </c>
      <c r="AA235" s="4">
        <v>509877.19</v>
      </c>
      <c r="AB235" s="4">
        <f>SUM(B235:AA235)</f>
        <v>4157487</v>
      </c>
    </row>
    <row r="236" spans="1:28" x14ac:dyDescent="0.2">
      <c r="A236" s="3">
        <v>39479</v>
      </c>
      <c r="B236" s="4">
        <v>606022.31999999995</v>
      </c>
      <c r="C236" s="4">
        <v>95791.11</v>
      </c>
      <c r="D236" s="4">
        <v>67013.62</v>
      </c>
      <c r="E236" s="4">
        <v>125690.74</v>
      </c>
      <c r="F236" s="4">
        <v>78143.25</v>
      </c>
      <c r="G236" s="4">
        <v>64546.06</v>
      </c>
      <c r="H236" s="4">
        <v>40627.21</v>
      </c>
      <c r="I236" s="4">
        <v>82490.899999999994</v>
      </c>
      <c r="J236" s="4">
        <v>80473.240000000005</v>
      </c>
      <c r="K236" s="4">
        <v>178151.37</v>
      </c>
      <c r="L236" s="4">
        <v>183771.55</v>
      </c>
      <c r="M236" s="4"/>
      <c r="N236" s="4">
        <v>370176.88</v>
      </c>
      <c r="O236" s="4"/>
      <c r="P236" s="4">
        <v>267492.8</v>
      </c>
      <c r="Q236" s="4">
        <v>56212.97</v>
      </c>
      <c r="R236" s="4"/>
      <c r="S236" s="4"/>
      <c r="T236" s="4">
        <v>39696.11</v>
      </c>
      <c r="U236" s="4"/>
      <c r="V236" s="4">
        <v>313695.96000000002</v>
      </c>
      <c r="W236" s="4">
        <v>112132.37</v>
      </c>
      <c r="X236" s="4">
        <v>287400.09000000003</v>
      </c>
      <c r="Y236" s="4">
        <v>153320.63</v>
      </c>
      <c r="Z236" s="4">
        <v>49731.38</v>
      </c>
      <c r="AA236" s="4">
        <v>440548.36</v>
      </c>
      <c r="AB236" s="4">
        <f t="shared" ref="AB236:AB246" si="32">SUM(B236:AA236)</f>
        <v>3693128.9199999995</v>
      </c>
    </row>
    <row r="237" spans="1:28" x14ac:dyDescent="0.2">
      <c r="A237" s="3">
        <v>39508</v>
      </c>
      <c r="B237" s="4">
        <v>592549.61</v>
      </c>
      <c r="C237" s="4">
        <v>119763.13</v>
      </c>
      <c r="D237" s="4">
        <v>64262.239999999998</v>
      </c>
      <c r="E237" s="4">
        <v>235647.44</v>
      </c>
      <c r="F237" s="4">
        <v>72936.91</v>
      </c>
      <c r="G237" s="4">
        <v>50193.62</v>
      </c>
      <c r="H237" s="4">
        <v>55376.71</v>
      </c>
      <c r="I237" s="4">
        <v>61986.89</v>
      </c>
      <c r="J237" s="4">
        <v>51282.62</v>
      </c>
      <c r="K237" s="4">
        <v>313140.44</v>
      </c>
      <c r="L237" s="4">
        <v>295668.62</v>
      </c>
      <c r="M237" s="4"/>
      <c r="N237" s="4">
        <v>463020.39</v>
      </c>
      <c r="O237" s="4"/>
      <c r="P237" s="4">
        <v>260522.56</v>
      </c>
      <c r="Q237" s="4">
        <v>117275.69</v>
      </c>
      <c r="R237" s="4"/>
      <c r="S237" s="4"/>
      <c r="T237" s="4">
        <v>41786.660000000003</v>
      </c>
      <c r="U237" s="4"/>
      <c r="V237" s="4">
        <v>384689.33</v>
      </c>
      <c r="W237" s="4">
        <v>81529.61</v>
      </c>
      <c r="X237" s="4">
        <v>275174</v>
      </c>
      <c r="Y237" s="4">
        <v>194940.6</v>
      </c>
      <c r="Z237" s="4">
        <v>48106.9</v>
      </c>
      <c r="AA237" s="4">
        <v>683100.84</v>
      </c>
      <c r="AB237" s="4">
        <f t="shared" si="32"/>
        <v>4462954.8100000005</v>
      </c>
    </row>
    <row r="238" spans="1:28" x14ac:dyDescent="0.2">
      <c r="A238" s="3">
        <v>39539</v>
      </c>
      <c r="B238" s="4">
        <v>575520.05000000005</v>
      </c>
      <c r="C238" s="4">
        <v>121001.15</v>
      </c>
      <c r="D238" s="4">
        <v>69529.7</v>
      </c>
      <c r="E238" s="4">
        <v>171924.41</v>
      </c>
      <c r="F238" s="4">
        <v>89791</v>
      </c>
      <c r="G238" s="4">
        <v>50621.440000000002</v>
      </c>
      <c r="H238" s="4">
        <v>52656.1</v>
      </c>
      <c r="I238" s="4">
        <v>77379.33</v>
      </c>
      <c r="J238" s="4">
        <v>74760.070000000007</v>
      </c>
      <c r="K238" s="4">
        <v>273290.96000000002</v>
      </c>
      <c r="L238" s="4">
        <v>158498.21</v>
      </c>
      <c r="M238" s="4"/>
      <c r="N238" s="4">
        <v>447628.78</v>
      </c>
      <c r="O238" s="4"/>
      <c r="P238" s="4">
        <v>346291.84</v>
      </c>
      <c r="Q238" s="4">
        <v>72349.89</v>
      </c>
      <c r="R238" s="4"/>
      <c r="S238" s="4"/>
      <c r="T238" s="4">
        <v>31616.97</v>
      </c>
      <c r="U238" s="4"/>
      <c r="V238" s="4">
        <v>378074.66</v>
      </c>
      <c r="W238" s="4">
        <v>108338.14</v>
      </c>
      <c r="X238" s="4">
        <v>365653.79</v>
      </c>
      <c r="Y238" s="4">
        <v>195107.57</v>
      </c>
      <c r="Z238" s="4">
        <v>46317.85</v>
      </c>
      <c r="AA238" s="4">
        <v>470512.4</v>
      </c>
      <c r="AB238" s="4">
        <f t="shared" si="32"/>
        <v>4176864.3100000005</v>
      </c>
    </row>
    <row r="239" spans="1:28" x14ac:dyDescent="0.2">
      <c r="A239" s="3">
        <v>39569</v>
      </c>
      <c r="B239" s="4">
        <v>533363.02</v>
      </c>
      <c r="C239" s="4">
        <v>96715.38</v>
      </c>
      <c r="D239" s="4">
        <v>67639.59</v>
      </c>
      <c r="E239" s="4">
        <v>129632.68</v>
      </c>
      <c r="F239" s="4">
        <v>88075.46</v>
      </c>
      <c r="G239" s="4">
        <v>50779.39</v>
      </c>
      <c r="H239" s="4">
        <v>38989.589999999997</v>
      </c>
      <c r="I239" s="4">
        <v>62096.85</v>
      </c>
      <c r="J239" s="4">
        <v>61665.41</v>
      </c>
      <c r="K239" s="4">
        <v>200493.53</v>
      </c>
      <c r="L239" s="4">
        <v>161784.71</v>
      </c>
      <c r="M239" s="4"/>
      <c r="N239" s="4">
        <v>337747.17</v>
      </c>
      <c r="O239" s="4"/>
      <c r="P239" s="4">
        <v>259250.74</v>
      </c>
      <c r="Q239" s="4">
        <v>47897.13</v>
      </c>
      <c r="R239" s="4"/>
      <c r="S239" s="4"/>
      <c r="T239" s="4">
        <v>31273.26</v>
      </c>
      <c r="U239" s="4"/>
      <c r="V239" s="4">
        <v>270707.42</v>
      </c>
      <c r="W239" s="4">
        <v>91461.87</v>
      </c>
      <c r="X239" s="4">
        <v>290114.56</v>
      </c>
      <c r="Y239" s="4">
        <v>140525.66</v>
      </c>
      <c r="Z239" s="4">
        <v>46259.44</v>
      </c>
      <c r="AA239" s="4">
        <v>388882.06</v>
      </c>
      <c r="AB239" s="4">
        <f t="shared" si="32"/>
        <v>3395354.92</v>
      </c>
    </row>
    <row r="240" spans="1:28" x14ac:dyDescent="0.2">
      <c r="A240" s="3">
        <v>39600</v>
      </c>
      <c r="B240" s="4">
        <v>706238.33</v>
      </c>
      <c r="C240" s="4">
        <v>62599.41</v>
      </c>
      <c r="D240" s="4">
        <v>43333.05</v>
      </c>
      <c r="E240" s="4">
        <v>123427.67</v>
      </c>
      <c r="F240" s="4">
        <v>37351.449999999997</v>
      </c>
      <c r="G240" s="4">
        <v>19598.91</v>
      </c>
      <c r="H240" s="4">
        <v>63445.17</v>
      </c>
      <c r="I240" s="4">
        <v>73119.11</v>
      </c>
      <c r="J240" s="4">
        <v>66260.75</v>
      </c>
      <c r="K240" s="4">
        <v>159850.35999999999</v>
      </c>
      <c r="L240" s="4">
        <v>225994.13</v>
      </c>
      <c r="M240" s="4"/>
      <c r="N240" s="4">
        <v>374397.7</v>
      </c>
      <c r="O240" s="4"/>
      <c r="P240" s="4">
        <v>161065.14000000001</v>
      </c>
      <c r="Q240" s="4">
        <v>50502.35</v>
      </c>
      <c r="R240" s="4"/>
      <c r="S240" s="4"/>
      <c r="T240" s="4">
        <v>34939.18</v>
      </c>
      <c r="U240" s="4"/>
      <c r="V240" s="4">
        <v>305719.96999999997</v>
      </c>
      <c r="W240" s="4">
        <v>84801.33</v>
      </c>
      <c r="X240" s="4">
        <v>136194.23999999999</v>
      </c>
      <c r="Y240" s="4">
        <v>115362.62</v>
      </c>
      <c r="Z240" s="4">
        <v>39050.160000000003</v>
      </c>
      <c r="AA240" s="4">
        <v>560642.64</v>
      </c>
      <c r="AB240" s="4">
        <f t="shared" si="32"/>
        <v>3443893.6700000004</v>
      </c>
    </row>
    <row r="241" spans="1:28" x14ac:dyDescent="0.2">
      <c r="A241" s="3">
        <v>39630</v>
      </c>
      <c r="B241" s="4">
        <v>441340.52</v>
      </c>
      <c r="C241" s="4">
        <v>71901.55</v>
      </c>
      <c r="D241" s="4">
        <v>49883.16</v>
      </c>
      <c r="E241" s="4">
        <v>126984.26</v>
      </c>
      <c r="F241" s="4">
        <v>56837.63</v>
      </c>
      <c r="G241" s="4">
        <v>36761.53</v>
      </c>
      <c r="H241" s="4">
        <v>28092.86</v>
      </c>
      <c r="I241" s="4">
        <v>56480.95</v>
      </c>
      <c r="J241" s="4">
        <v>55155.75</v>
      </c>
      <c r="K241" s="4">
        <v>158684.26999999999</v>
      </c>
      <c r="L241" s="4">
        <v>148049.07</v>
      </c>
      <c r="M241" s="4"/>
      <c r="N241" s="4">
        <v>335425.88</v>
      </c>
      <c r="O241" s="4"/>
      <c r="P241" s="4">
        <v>184208.36</v>
      </c>
      <c r="Q241" s="4">
        <v>33464.17</v>
      </c>
      <c r="R241" s="4"/>
      <c r="S241" s="4"/>
      <c r="T241" s="4">
        <v>28879.32</v>
      </c>
      <c r="U241" s="4"/>
      <c r="V241" s="4">
        <v>225645.02</v>
      </c>
      <c r="W241" s="4">
        <v>78483.91</v>
      </c>
      <c r="X241" s="4">
        <v>180402.49</v>
      </c>
      <c r="Y241" s="4">
        <v>107840.76</v>
      </c>
      <c r="Z241" s="4">
        <v>36413.01</v>
      </c>
      <c r="AA241" s="4">
        <v>432095.13</v>
      </c>
      <c r="AB241" s="4">
        <f t="shared" si="32"/>
        <v>2873029.5999999996</v>
      </c>
    </row>
    <row r="242" spans="1:28" x14ac:dyDescent="0.2">
      <c r="A242" s="3">
        <v>39661</v>
      </c>
      <c r="B242" s="4">
        <v>446211.91000000003</v>
      </c>
      <c r="C242" s="4">
        <v>72268.44</v>
      </c>
      <c r="D242" s="4">
        <v>50529.8</v>
      </c>
      <c r="E242" s="4">
        <v>128082.2</v>
      </c>
      <c r="F242" s="4">
        <v>58979.68</v>
      </c>
      <c r="G242" s="4">
        <v>36980.69</v>
      </c>
      <c r="H242" s="4">
        <v>28377.620000000003</v>
      </c>
      <c r="I242" s="4">
        <v>56356.520000000004</v>
      </c>
      <c r="J242" s="4">
        <v>55571.51</v>
      </c>
      <c r="K242" s="4">
        <v>159769.23000000001</v>
      </c>
      <c r="L242" s="4">
        <v>148046.98000000001</v>
      </c>
      <c r="M242" s="4"/>
      <c r="N242" s="4">
        <v>335056.62</v>
      </c>
      <c r="O242" s="4"/>
      <c r="P242" s="4">
        <v>185172.86</v>
      </c>
      <c r="Q242" s="4">
        <v>33788.47</v>
      </c>
      <c r="R242" s="4"/>
      <c r="S242" s="4"/>
      <c r="T242" s="4">
        <v>29998.92</v>
      </c>
      <c r="U242" s="4"/>
      <c r="V242" s="4">
        <v>228196.19999999998</v>
      </c>
      <c r="W242" s="4">
        <v>79217.69</v>
      </c>
      <c r="X242" s="4">
        <v>210000.25</v>
      </c>
      <c r="Y242" s="4">
        <v>108139.62999999999</v>
      </c>
      <c r="Z242" s="4">
        <v>36793.03</v>
      </c>
      <c r="AA242" s="4">
        <v>433805.86000000004</v>
      </c>
      <c r="AB242" s="4">
        <f t="shared" si="32"/>
        <v>2921344.1099999994</v>
      </c>
    </row>
    <row r="243" spans="1:28" x14ac:dyDescent="0.2">
      <c r="A243" s="3">
        <v>39692</v>
      </c>
      <c r="B243" s="4">
        <v>388825.98</v>
      </c>
      <c r="C243" s="4">
        <v>68360.289999999994</v>
      </c>
      <c r="D243" s="4">
        <v>34568</v>
      </c>
      <c r="E243" s="4">
        <v>126609.40999999999</v>
      </c>
      <c r="F243" s="4">
        <v>33220.82</v>
      </c>
      <c r="G243" s="4">
        <v>79778.320000000007</v>
      </c>
      <c r="H243" s="4">
        <v>42952.15</v>
      </c>
      <c r="I243" s="4">
        <v>115651.97</v>
      </c>
      <c r="J243" s="4">
        <v>38917.880000000005</v>
      </c>
      <c r="K243" s="4">
        <v>172316.2</v>
      </c>
      <c r="L243" s="4">
        <v>309236.34000000003</v>
      </c>
      <c r="M243" s="4"/>
      <c r="N243" s="4">
        <v>407735.56</v>
      </c>
      <c r="O243" s="4"/>
      <c r="P243" s="4">
        <v>158492.4</v>
      </c>
      <c r="Q243" s="4">
        <v>46165.22</v>
      </c>
      <c r="R243" s="4"/>
      <c r="S243" s="4"/>
      <c r="T243" s="4">
        <v>28770.559999999998</v>
      </c>
      <c r="U243" s="4"/>
      <c r="V243" s="4">
        <v>239524</v>
      </c>
      <c r="W243" s="4">
        <v>57448.68</v>
      </c>
      <c r="X243" s="4">
        <v>98693.66</v>
      </c>
      <c r="Y243" s="4">
        <v>110645.35</v>
      </c>
      <c r="Z243" s="4">
        <v>22507.129999999997</v>
      </c>
      <c r="AA243" s="4">
        <v>575489.9</v>
      </c>
      <c r="AB243" s="4">
        <f t="shared" si="32"/>
        <v>3155909.82</v>
      </c>
    </row>
    <row r="244" spans="1:28" x14ac:dyDescent="0.2">
      <c r="A244" s="3">
        <v>39722</v>
      </c>
      <c r="B244" s="4">
        <v>430557.27</v>
      </c>
      <c r="C244" s="4">
        <v>64900.979999999996</v>
      </c>
      <c r="D244" s="4">
        <v>44266.34</v>
      </c>
      <c r="E244" s="4">
        <v>122124.27</v>
      </c>
      <c r="F244" s="4">
        <v>48559.759999999995</v>
      </c>
      <c r="G244" s="4">
        <v>35685.51</v>
      </c>
      <c r="H244" s="4">
        <v>29569.53</v>
      </c>
      <c r="I244" s="4">
        <v>54443.93</v>
      </c>
      <c r="J244" s="4">
        <v>51914.41</v>
      </c>
      <c r="K244" s="4">
        <v>171551.59000000003</v>
      </c>
      <c r="L244" s="4">
        <v>123736.45000000001</v>
      </c>
      <c r="M244" s="4"/>
      <c r="N244" s="4">
        <v>309415.67999999999</v>
      </c>
      <c r="O244" s="4"/>
      <c r="P244" s="4">
        <v>174103.90000000002</v>
      </c>
      <c r="Q244" s="4">
        <v>36459.5</v>
      </c>
      <c r="R244" s="4"/>
      <c r="S244" s="4"/>
      <c r="T244" s="4">
        <v>28822.71</v>
      </c>
      <c r="U244" s="4"/>
      <c r="V244" s="4">
        <v>209191.84999999998</v>
      </c>
      <c r="W244" s="4">
        <v>75562.570000000007</v>
      </c>
      <c r="X244" s="4">
        <v>165654.99</v>
      </c>
      <c r="Y244" s="4">
        <v>109107.26999999999</v>
      </c>
      <c r="Z244" s="4">
        <v>32335.79</v>
      </c>
      <c r="AA244" s="4">
        <v>418773.75</v>
      </c>
      <c r="AB244" s="4">
        <f t="shared" si="32"/>
        <v>2736738.0500000003</v>
      </c>
    </row>
    <row r="245" spans="1:28" x14ac:dyDescent="0.2">
      <c r="A245" s="3">
        <v>39753</v>
      </c>
      <c r="B245" s="4">
        <v>433068.58999999997</v>
      </c>
      <c r="C245" s="4">
        <v>65313.29</v>
      </c>
      <c r="D245" s="4">
        <v>44629.21</v>
      </c>
      <c r="E245" s="4">
        <v>122473.43</v>
      </c>
      <c r="F245" s="4">
        <v>48798.57</v>
      </c>
      <c r="G245" s="4">
        <v>35814.81</v>
      </c>
      <c r="H245" s="4">
        <v>29824.14</v>
      </c>
      <c r="I245" s="4">
        <v>54604.76</v>
      </c>
      <c r="J245" s="4">
        <v>51935.380000000005</v>
      </c>
      <c r="K245" s="4">
        <v>171956.7</v>
      </c>
      <c r="L245" s="4">
        <v>122924.48000000001</v>
      </c>
      <c r="M245" s="4"/>
      <c r="N245" s="4">
        <v>304682.09000000003</v>
      </c>
      <c r="O245" s="4"/>
      <c r="P245" s="4">
        <v>174167.68999999997</v>
      </c>
      <c r="Q245" s="4">
        <v>36952.68</v>
      </c>
      <c r="R245" s="4"/>
      <c r="S245" s="4"/>
      <c r="T245" s="4">
        <v>28977.48</v>
      </c>
      <c r="U245" s="4"/>
      <c r="V245" s="4">
        <v>210994.55</v>
      </c>
      <c r="W245" s="4">
        <v>76106.84</v>
      </c>
      <c r="X245" s="4">
        <v>184052.59</v>
      </c>
      <c r="Y245" s="4">
        <v>109823.04000000001</v>
      </c>
      <c r="Z245" s="4">
        <v>32506.21</v>
      </c>
      <c r="AA245" s="4">
        <v>414728.48</v>
      </c>
      <c r="AB245" s="4">
        <f t="shared" si="32"/>
        <v>2754335.01</v>
      </c>
    </row>
    <row r="246" spans="1:28" x14ac:dyDescent="0.2">
      <c r="A246" s="3">
        <v>39783</v>
      </c>
      <c r="B246" s="4">
        <v>3068708.83</v>
      </c>
      <c r="C246" s="4">
        <v>666510.73</v>
      </c>
      <c r="D246" s="4">
        <v>508355.83</v>
      </c>
      <c r="E246" s="4">
        <v>857173.96</v>
      </c>
      <c r="F246" s="4">
        <v>94963.65</v>
      </c>
      <c r="G246" s="4">
        <v>141894.20000000001</v>
      </c>
      <c r="H246" s="4">
        <v>91237.46</v>
      </c>
      <c r="I246" s="4">
        <v>393541.25</v>
      </c>
      <c r="J246" s="4">
        <v>432130.64</v>
      </c>
      <c r="K246" s="4">
        <v>1344537.74</v>
      </c>
      <c r="L246" s="4">
        <v>937052.08000000007</v>
      </c>
      <c r="M246" s="4"/>
      <c r="N246" s="4">
        <v>1924375.41</v>
      </c>
      <c r="O246" s="4"/>
      <c r="P246" s="4">
        <v>1057913.3800000001</v>
      </c>
      <c r="Q246" s="4">
        <v>57951.729999999996</v>
      </c>
      <c r="R246" s="4"/>
      <c r="S246" s="4"/>
      <c r="T246" s="4">
        <v>36185.479999999996</v>
      </c>
      <c r="U246" s="4"/>
      <c r="V246" s="4">
        <v>1150459.77</v>
      </c>
      <c r="W246" s="4">
        <v>223764.29</v>
      </c>
      <c r="X246" s="4">
        <v>669841.21</v>
      </c>
      <c r="Y246" s="4">
        <v>222737.09</v>
      </c>
      <c r="Z246" s="4">
        <v>299743.82</v>
      </c>
      <c r="AA246" s="4">
        <v>1612892.17</v>
      </c>
      <c r="AB246" s="4">
        <f t="shared" si="32"/>
        <v>15791970.720000001</v>
      </c>
    </row>
    <row r="247" spans="1:28" ht="15.75" thickBot="1" x14ac:dyDescent="0.25">
      <c r="A247" s="3" t="s">
        <v>151</v>
      </c>
      <c r="B247" s="5">
        <f t="shared" ref="B247:AB247" si="33">SUM(B235:B246)</f>
        <v>8868786.1899999995</v>
      </c>
      <c r="C247" s="5">
        <f t="shared" si="33"/>
        <v>1614302.07</v>
      </c>
      <c r="D247" s="5">
        <f t="shared" si="33"/>
        <v>1119921.8599999999</v>
      </c>
      <c r="E247" s="5">
        <f t="shared" si="33"/>
        <v>2414322.96</v>
      </c>
      <c r="F247" s="5">
        <f t="shared" si="33"/>
        <v>795039.31</v>
      </c>
      <c r="G247" s="5">
        <f t="shared" si="33"/>
        <v>668992.76</v>
      </c>
      <c r="H247" s="5">
        <f t="shared" si="33"/>
        <v>548725.54999999993</v>
      </c>
      <c r="I247" s="5">
        <f t="shared" si="33"/>
        <v>1180162.32</v>
      </c>
      <c r="J247" s="5">
        <f t="shared" si="33"/>
        <v>1112572.81</v>
      </c>
      <c r="K247" s="5">
        <f t="shared" si="33"/>
        <v>3508775.51</v>
      </c>
      <c r="L247" s="5">
        <f t="shared" si="33"/>
        <v>3026057.08</v>
      </c>
      <c r="M247" s="5"/>
      <c r="N247" s="5">
        <f t="shared" si="33"/>
        <v>6037904.4100000001</v>
      </c>
      <c r="O247" s="5"/>
      <c r="P247" s="5">
        <f t="shared" si="33"/>
        <v>3533114.4299999997</v>
      </c>
      <c r="Q247" s="5">
        <f t="shared" si="33"/>
        <v>653361.87</v>
      </c>
      <c r="R247" s="5"/>
      <c r="S247" s="5"/>
      <c r="T247" s="5">
        <f t="shared" si="33"/>
        <v>405911.48</v>
      </c>
      <c r="U247" s="5"/>
      <c r="V247" s="5">
        <f t="shared" si="33"/>
        <v>4270848.09</v>
      </c>
      <c r="W247" s="5">
        <f t="shared" si="33"/>
        <v>1195196.52</v>
      </c>
      <c r="X247" s="5">
        <f t="shared" si="33"/>
        <v>3184633.9000000004</v>
      </c>
      <c r="Y247" s="5">
        <f t="shared" si="33"/>
        <v>1739625.4100000001</v>
      </c>
      <c r="Z247" s="5">
        <f t="shared" si="33"/>
        <v>743407.63000000012</v>
      </c>
      <c r="AA247" s="5">
        <f t="shared" si="33"/>
        <v>6941348.7799999993</v>
      </c>
      <c r="AB247" s="5">
        <f t="shared" si="33"/>
        <v>53563010.939999998</v>
      </c>
    </row>
    <row r="248" spans="1:28" ht="15.75" thickTop="1" x14ac:dyDescent="0.2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x14ac:dyDescent="0.2">
      <c r="A249" s="3">
        <v>39083</v>
      </c>
      <c r="B249" s="4">
        <v>609113.17000000004</v>
      </c>
      <c r="C249" s="4">
        <v>116693.06</v>
      </c>
      <c r="D249" s="4">
        <v>74647.95</v>
      </c>
      <c r="E249" s="4">
        <v>141065.78</v>
      </c>
      <c r="F249" s="4">
        <v>99142.55</v>
      </c>
      <c r="G249" s="4">
        <v>61912.6</v>
      </c>
      <c r="H249" s="4">
        <v>52134.879999999997</v>
      </c>
      <c r="I249" s="4">
        <v>77697.17</v>
      </c>
      <c r="J249" s="4">
        <v>87804.97</v>
      </c>
      <c r="K249" s="4">
        <v>209641.49</v>
      </c>
      <c r="L249" s="4">
        <v>185904.15</v>
      </c>
      <c r="M249" s="4"/>
      <c r="N249" s="4">
        <v>422785.72</v>
      </c>
      <c r="O249" s="4"/>
      <c r="P249" s="4">
        <v>302798.64</v>
      </c>
      <c r="Q249" s="4">
        <v>66084.929999999993</v>
      </c>
      <c r="R249" s="4"/>
      <c r="S249" s="4"/>
      <c r="T249" s="4">
        <v>39828.68</v>
      </c>
      <c r="U249" s="4"/>
      <c r="V249" s="4">
        <v>341203.96</v>
      </c>
      <c r="W249" s="4">
        <v>114145.60000000001</v>
      </c>
      <c r="X249" s="4">
        <v>344872.14</v>
      </c>
      <c r="Y249" s="4">
        <v>165559.72</v>
      </c>
      <c r="Z249" s="4">
        <v>54626.28</v>
      </c>
      <c r="AA249" s="4">
        <v>508330.51</v>
      </c>
      <c r="AB249" s="4">
        <f>SUM(B249:AA249)</f>
        <v>4075993.95</v>
      </c>
    </row>
    <row r="250" spans="1:28" x14ac:dyDescent="0.2">
      <c r="A250" s="3">
        <v>39114</v>
      </c>
      <c r="B250" s="4">
        <v>529532.1</v>
      </c>
      <c r="C250" s="4">
        <v>100568.79</v>
      </c>
      <c r="D250" s="4">
        <v>64417.09</v>
      </c>
      <c r="E250" s="4">
        <v>114830.09</v>
      </c>
      <c r="F250" s="4">
        <v>85507.26</v>
      </c>
      <c r="G250" s="4">
        <v>53408.82</v>
      </c>
      <c r="H250" s="4">
        <v>45009.15</v>
      </c>
      <c r="I250" s="4">
        <v>66687.210000000006</v>
      </c>
      <c r="J250" s="4">
        <v>75786.53</v>
      </c>
      <c r="K250" s="4">
        <v>165111.54</v>
      </c>
      <c r="L250" s="4">
        <v>160713.16</v>
      </c>
      <c r="M250" s="4"/>
      <c r="N250" s="4">
        <v>337709.25</v>
      </c>
      <c r="O250" s="4"/>
      <c r="P250" s="4">
        <v>263209.46999999997</v>
      </c>
      <c r="Q250" s="4">
        <v>56419.69</v>
      </c>
      <c r="R250" s="4"/>
      <c r="S250" s="4"/>
      <c r="T250" s="4">
        <v>34331.279999999999</v>
      </c>
      <c r="U250" s="4"/>
      <c r="V250" s="4">
        <v>292353.91999999998</v>
      </c>
      <c r="W250" s="4">
        <v>98530.27</v>
      </c>
      <c r="X250" s="4">
        <v>297952.3</v>
      </c>
      <c r="Y250" s="4">
        <v>142900.24</v>
      </c>
      <c r="Z250" s="4">
        <v>47151.97</v>
      </c>
      <c r="AA250" s="4">
        <v>416606.91</v>
      </c>
      <c r="AB250" s="4">
        <f t="shared" ref="AB250:AB260" si="34">SUM(B250:AA250)</f>
        <v>3448737.0399999996</v>
      </c>
    </row>
    <row r="251" spans="1:28" x14ac:dyDescent="0.2">
      <c r="A251" s="3">
        <v>39142</v>
      </c>
      <c r="B251" s="4">
        <v>687691.87</v>
      </c>
      <c r="C251" s="4">
        <v>113117.91</v>
      </c>
      <c r="D251" s="4">
        <v>71203.86</v>
      </c>
      <c r="E251" s="4">
        <v>215018.95</v>
      </c>
      <c r="F251" s="4">
        <v>29574.41</v>
      </c>
      <c r="G251" s="4">
        <v>56212.63</v>
      </c>
      <c r="H251" s="4">
        <v>35367.9</v>
      </c>
      <c r="I251" s="4">
        <v>72754.91</v>
      </c>
      <c r="J251" s="4">
        <v>78117.22</v>
      </c>
      <c r="K251" s="4">
        <v>304285.94</v>
      </c>
      <c r="L251" s="4">
        <v>216358.44</v>
      </c>
      <c r="M251" s="4"/>
      <c r="N251" s="4">
        <v>435659.03</v>
      </c>
      <c r="O251" s="4"/>
      <c r="P251" s="4">
        <v>253625.22</v>
      </c>
      <c r="Q251" s="4">
        <v>47505.39</v>
      </c>
      <c r="R251" s="4"/>
      <c r="S251" s="4"/>
      <c r="T251" s="4">
        <v>50325.67</v>
      </c>
      <c r="U251" s="4"/>
      <c r="V251" s="4">
        <v>360570.22</v>
      </c>
      <c r="W251" s="4">
        <v>126453.57</v>
      </c>
      <c r="X251" s="4">
        <v>207031.79</v>
      </c>
      <c r="Y251" s="4">
        <v>207894.58</v>
      </c>
      <c r="Z251" s="4">
        <v>45151.06</v>
      </c>
      <c r="AA251" s="4">
        <v>460759.03999999998</v>
      </c>
      <c r="AB251" s="4">
        <f t="shared" si="34"/>
        <v>4074679.6099999994</v>
      </c>
    </row>
    <row r="252" spans="1:28" x14ac:dyDescent="0.2">
      <c r="A252" s="3">
        <v>39173</v>
      </c>
      <c r="B252" s="4">
        <v>480575.1</v>
      </c>
      <c r="C252" s="4">
        <v>94125.54</v>
      </c>
      <c r="D252" s="4">
        <v>55495.65</v>
      </c>
      <c r="E252" s="4">
        <v>103074.94</v>
      </c>
      <c r="F252" s="4">
        <v>75160.37</v>
      </c>
      <c r="G252" s="4">
        <v>48271.26</v>
      </c>
      <c r="H252" s="4">
        <v>38905.019999999997</v>
      </c>
      <c r="I252" s="4">
        <v>53401.66</v>
      </c>
      <c r="J252" s="4">
        <v>59703.38</v>
      </c>
      <c r="K252" s="4">
        <v>171034.04</v>
      </c>
      <c r="L252" s="4">
        <v>140602.5</v>
      </c>
      <c r="M252" s="4"/>
      <c r="N252" s="4">
        <v>296686.64</v>
      </c>
      <c r="O252" s="4"/>
      <c r="P252" s="4">
        <v>237338.96</v>
      </c>
      <c r="Q252" s="4">
        <v>48227.68</v>
      </c>
      <c r="R252" s="4"/>
      <c r="S252" s="4"/>
      <c r="T252" s="4">
        <v>27050.94</v>
      </c>
      <c r="U252" s="4"/>
      <c r="V252" s="4">
        <v>252350.99</v>
      </c>
      <c r="W252" s="4">
        <v>78743.41</v>
      </c>
      <c r="X252" s="4">
        <v>254818</v>
      </c>
      <c r="Y252" s="4">
        <v>123745.26</v>
      </c>
      <c r="Z252" s="4">
        <v>41751.440000000002</v>
      </c>
      <c r="AA252" s="4">
        <v>364005.29</v>
      </c>
      <c r="AB252" s="4">
        <f t="shared" si="34"/>
        <v>3045068.07</v>
      </c>
    </row>
    <row r="253" spans="1:28" x14ac:dyDescent="0.2">
      <c r="A253" s="3">
        <v>39203</v>
      </c>
      <c r="B253" s="4">
        <v>489640.35</v>
      </c>
      <c r="C253" s="4">
        <v>95710.43</v>
      </c>
      <c r="D253" s="4">
        <v>56419.33</v>
      </c>
      <c r="E253" s="4">
        <v>104914.38</v>
      </c>
      <c r="F253" s="4">
        <v>76850.42</v>
      </c>
      <c r="G253" s="4">
        <v>49307.56</v>
      </c>
      <c r="H253" s="4">
        <v>39922.1</v>
      </c>
      <c r="I253" s="4">
        <v>54142.61</v>
      </c>
      <c r="J253" s="4">
        <v>60711.71</v>
      </c>
      <c r="K253" s="4">
        <v>173603.01</v>
      </c>
      <c r="L253" s="4">
        <v>156337.07999999999</v>
      </c>
      <c r="M253" s="4"/>
      <c r="N253" s="4">
        <v>301911.93</v>
      </c>
      <c r="O253" s="4"/>
      <c r="P253" s="4">
        <v>241447.83</v>
      </c>
      <c r="Q253" s="4">
        <v>49084.17</v>
      </c>
      <c r="R253" s="4"/>
      <c r="S253" s="4"/>
      <c r="T253" s="4">
        <v>27752.47</v>
      </c>
      <c r="U253" s="4"/>
      <c r="V253" s="4">
        <v>257071.89</v>
      </c>
      <c r="W253" s="4">
        <v>80131.539999999994</v>
      </c>
      <c r="X253" s="4">
        <v>260351.06</v>
      </c>
      <c r="Y253" s="4">
        <v>127612.99</v>
      </c>
      <c r="Z253" s="4">
        <v>42481.57</v>
      </c>
      <c r="AA253" s="4">
        <v>369959.8</v>
      </c>
      <c r="AB253" s="4">
        <f t="shared" si="34"/>
        <v>3115364.23</v>
      </c>
    </row>
    <row r="254" spans="1:28" x14ac:dyDescent="0.2">
      <c r="A254" s="3">
        <v>39234</v>
      </c>
      <c r="B254" s="4">
        <v>713680.93</v>
      </c>
      <c r="C254" s="4">
        <v>56553.94</v>
      </c>
      <c r="D254" s="4">
        <v>78978.37</v>
      </c>
      <c r="E254" s="4">
        <v>186130.2</v>
      </c>
      <c r="F254" s="4">
        <v>83639.12</v>
      </c>
      <c r="G254" s="4">
        <v>38760.35</v>
      </c>
      <c r="H254" s="4">
        <v>27434.14</v>
      </c>
      <c r="I254" s="4">
        <v>81338.09</v>
      </c>
      <c r="J254" s="4">
        <v>79528.27</v>
      </c>
      <c r="K254" s="4">
        <v>208520.28</v>
      </c>
      <c r="L254" s="4">
        <v>307776.53999999998</v>
      </c>
      <c r="M254" s="4"/>
      <c r="N254" s="4">
        <v>397391.37</v>
      </c>
      <c r="O254" s="4"/>
      <c r="P254" s="4">
        <v>189988.04</v>
      </c>
      <c r="Q254" s="4">
        <v>52733.37</v>
      </c>
      <c r="R254" s="4"/>
      <c r="S254" s="4"/>
      <c r="T254" s="4">
        <v>56887.92</v>
      </c>
      <c r="U254" s="4"/>
      <c r="V254" s="4">
        <v>354480.23</v>
      </c>
      <c r="W254" s="4">
        <v>131367.76999999999</v>
      </c>
      <c r="X254" s="4">
        <v>291884.77</v>
      </c>
      <c r="Y254" s="4">
        <v>160864.01999999999</v>
      </c>
      <c r="Z254" s="4">
        <v>60123.18</v>
      </c>
      <c r="AA254" s="4">
        <v>498875.32</v>
      </c>
      <c r="AB254" s="4">
        <f t="shared" si="34"/>
        <v>4056936.22</v>
      </c>
    </row>
    <row r="255" spans="1:28" x14ac:dyDescent="0.2">
      <c r="A255" s="3">
        <v>39264</v>
      </c>
      <c r="B255" s="4">
        <v>393021.6</v>
      </c>
      <c r="C255" s="4">
        <v>60504.58</v>
      </c>
      <c r="D255" s="4">
        <v>41336.47</v>
      </c>
      <c r="E255" s="4">
        <v>110378.86</v>
      </c>
      <c r="F255" s="4">
        <v>51364.19</v>
      </c>
      <c r="G255" s="4">
        <v>34367.199999999997</v>
      </c>
      <c r="H255" s="4">
        <v>23019.87</v>
      </c>
      <c r="I255" s="4">
        <v>41377.949999999997</v>
      </c>
      <c r="J255" s="4">
        <v>45339.69</v>
      </c>
      <c r="K255" s="4">
        <v>124754.44</v>
      </c>
      <c r="L255" s="4">
        <v>132163.57</v>
      </c>
      <c r="M255" s="4"/>
      <c r="N255" s="4">
        <v>283724.11</v>
      </c>
      <c r="O255" s="4"/>
      <c r="P255" s="4">
        <v>161685.24</v>
      </c>
      <c r="Q255" s="4">
        <v>29791.43</v>
      </c>
      <c r="R255" s="4"/>
      <c r="S255" s="4"/>
      <c r="T255" s="4">
        <v>20546.849999999999</v>
      </c>
      <c r="U255" s="4"/>
      <c r="V255" s="4">
        <v>192130</v>
      </c>
      <c r="W255" s="4">
        <v>56333.21</v>
      </c>
      <c r="X255" s="4">
        <v>190765.85</v>
      </c>
      <c r="Y255" s="4">
        <v>86974.06</v>
      </c>
      <c r="Z255" s="4">
        <v>30299.1</v>
      </c>
      <c r="AA255" s="4">
        <v>372762.51</v>
      </c>
      <c r="AB255" s="4">
        <f t="shared" si="34"/>
        <v>2482640.7800000003</v>
      </c>
    </row>
    <row r="256" spans="1:28" x14ac:dyDescent="0.2">
      <c r="A256" s="3">
        <v>39295</v>
      </c>
      <c r="B256" s="4">
        <v>390726.43</v>
      </c>
      <c r="C256" s="4">
        <v>60099.1</v>
      </c>
      <c r="D256" s="4">
        <v>41223.949999999997</v>
      </c>
      <c r="E256" s="4">
        <v>109867.74</v>
      </c>
      <c r="F256" s="4">
        <v>50913.5</v>
      </c>
      <c r="G256" s="4">
        <v>34015.85</v>
      </c>
      <c r="H256" s="4">
        <v>22963.9</v>
      </c>
      <c r="I256" s="4">
        <v>41130.120000000003</v>
      </c>
      <c r="J256" s="4">
        <v>45225.8</v>
      </c>
      <c r="K256" s="4">
        <v>124478.21</v>
      </c>
      <c r="L256" s="4">
        <v>131764.04</v>
      </c>
      <c r="M256" s="4"/>
      <c r="N256" s="4">
        <v>282702.65000000002</v>
      </c>
      <c r="O256" s="4"/>
      <c r="P256" s="4">
        <v>160946.34</v>
      </c>
      <c r="Q256" s="4">
        <v>29728.080000000002</v>
      </c>
      <c r="R256" s="4"/>
      <c r="S256" s="4"/>
      <c r="T256" s="4">
        <v>20139.349999999999</v>
      </c>
      <c r="U256" s="4"/>
      <c r="V256" s="4">
        <v>191258.32</v>
      </c>
      <c r="W256" s="4">
        <v>56050.07</v>
      </c>
      <c r="X256" s="4">
        <v>189741.68</v>
      </c>
      <c r="Y256" s="4">
        <v>86653.73</v>
      </c>
      <c r="Z256" s="4">
        <v>30173.65</v>
      </c>
      <c r="AA256" s="4">
        <v>370912.95</v>
      </c>
      <c r="AB256" s="4">
        <f t="shared" si="34"/>
        <v>2470715.4600000004</v>
      </c>
    </row>
    <row r="257" spans="1:28" x14ac:dyDescent="0.2">
      <c r="A257" s="3">
        <v>39326</v>
      </c>
      <c r="B257" s="4">
        <v>470905.12</v>
      </c>
      <c r="C257" s="4">
        <v>75242.25</v>
      </c>
      <c r="D257" s="4">
        <v>62477.73</v>
      </c>
      <c r="E257" s="4">
        <v>135475.89000000001</v>
      </c>
      <c r="F257" s="4">
        <v>71518.87</v>
      </c>
      <c r="G257" s="4">
        <v>72765.820000000007</v>
      </c>
      <c r="H257" s="4">
        <v>31431.599999999999</v>
      </c>
      <c r="I257" s="4">
        <v>105012.04</v>
      </c>
      <c r="J257" s="4">
        <v>66039.08</v>
      </c>
      <c r="K257" s="4">
        <v>204861.98</v>
      </c>
      <c r="L257" s="4">
        <v>171384.51</v>
      </c>
      <c r="M257" s="4"/>
      <c r="N257" s="4">
        <v>354994.3</v>
      </c>
      <c r="O257" s="4"/>
      <c r="P257" s="4">
        <v>185973.96</v>
      </c>
      <c r="Q257" s="4">
        <v>54292.49</v>
      </c>
      <c r="R257" s="4"/>
      <c r="S257" s="4"/>
      <c r="T257" s="4">
        <v>51849.32</v>
      </c>
      <c r="U257" s="4"/>
      <c r="V257" s="4">
        <v>258539.2</v>
      </c>
      <c r="W257" s="4">
        <v>129344.61</v>
      </c>
      <c r="X257" s="4">
        <v>178354.53</v>
      </c>
      <c r="Y257" s="4">
        <v>182078.3</v>
      </c>
      <c r="Z257" s="4">
        <v>45532.83</v>
      </c>
      <c r="AA257" s="4">
        <v>378912.15</v>
      </c>
      <c r="AB257" s="4">
        <f t="shared" si="34"/>
        <v>3286986.5799999996</v>
      </c>
    </row>
    <row r="258" spans="1:28" x14ac:dyDescent="0.2">
      <c r="A258" s="3">
        <v>39356</v>
      </c>
      <c r="B258" s="4">
        <v>426133.83</v>
      </c>
      <c r="C258" s="4">
        <v>66637.929999999993</v>
      </c>
      <c r="D258" s="4">
        <v>44071.66</v>
      </c>
      <c r="E258" s="4">
        <v>113707.22</v>
      </c>
      <c r="F258" s="4">
        <v>51781.9</v>
      </c>
      <c r="G258" s="4">
        <v>57561.68</v>
      </c>
      <c r="H258" s="4">
        <v>28667.84</v>
      </c>
      <c r="I258" s="4">
        <v>53489.39</v>
      </c>
      <c r="J258" s="4">
        <v>54385.48</v>
      </c>
      <c r="K258" s="4">
        <v>168299.43</v>
      </c>
      <c r="L258" s="4">
        <v>123055.07</v>
      </c>
      <c r="M258" s="4"/>
      <c r="N258" s="4">
        <v>277870.27</v>
      </c>
      <c r="O258" s="4"/>
      <c r="P258" s="4">
        <v>171291.2</v>
      </c>
      <c r="Q258" s="4">
        <v>36933.660000000003</v>
      </c>
      <c r="R258" s="4"/>
      <c r="S258" s="4"/>
      <c r="T258" s="4">
        <v>27070.46</v>
      </c>
      <c r="U258" s="4"/>
      <c r="V258" s="4">
        <v>221555.94</v>
      </c>
      <c r="W258" s="4">
        <v>73662.460000000006</v>
      </c>
      <c r="X258" s="4">
        <v>198073.45</v>
      </c>
      <c r="Y258" s="4">
        <v>107137.47</v>
      </c>
      <c r="Z258" s="4">
        <v>33383.86</v>
      </c>
      <c r="AA258" s="4">
        <v>393540.5</v>
      </c>
      <c r="AB258" s="4">
        <f t="shared" si="34"/>
        <v>2728310.7</v>
      </c>
    </row>
    <row r="259" spans="1:28" x14ac:dyDescent="0.2">
      <c r="A259" s="3">
        <v>39387</v>
      </c>
      <c r="B259" s="4">
        <v>462273.29</v>
      </c>
      <c r="C259" s="4">
        <v>70824.12</v>
      </c>
      <c r="D259" s="4">
        <v>48023.839999999997</v>
      </c>
      <c r="E259" s="4">
        <v>120993.99</v>
      </c>
      <c r="F259" s="4">
        <v>56969.74</v>
      </c>
      <c r="G259" s="4">
        <v>46430.92</v>
      </c>
      <c r="H259" s="4">
        <v>29008.9</v>
      </c>
      <c r="I259" s="4">
        <v>58582.45</v>
      </c>
      <c r="J259" s="4">
        <v>59720.58</v>
      </c>
      <c r="K259" s="4">
        <v>177237.01</v>
      </c>
      <c r="L259" s="4">
        <v>166047.59</v>
      </c>
      <c r="M259" s="4"/>
      <c r="N259" s="4">
        <v>297171.52</v>
      </c>
      <c r="O259" s="4"/>
      <c r="P259" s="4">
        <v>186863.08</v>
      </c>
      <c r="Q259" s="4">
        <v>39168.400000000001</v>
      </c>
      <c r="R259" s="4"/>
      <c r="S259" s="4"/>
      <c r="T259" s="4">
        <v>29215.16</v>
      </c>
      <c r="U259" s="4"/>
      <c r="V259" s="4">
        <v>237877.86</v>
      </c>
      <c r="W259" s="4">
        <v>78461.52</v>
      </c>
      <c r="X259" s="4">
        <v>210932.5</v>
      </c>
      <c r="Y259" s="4">
        <v>115380.02</v>
      </c>
      <c r="Z259" s="4">
        <v>35430.629999999997</v>
      </c>
      <c r="AA259" s="4">
        <v>425983.85</v>
      </c>
      <c r="AB259" s="4">
        <f t="shared" si="34"/>
        <v>2952596.9699999997</v>
      </c>
    </row>
    <row r="260" spans="1:28" x14ac:dyDescent="0.2">
      <c r="A260" s="3">
        <v>39417</v>
      </c>
      <c r="B260" s="4">
        <v>546436.93000000005</v>
      </c>
      <c r="C260" s="4">
        <v>89305.16</v>
      </c>
      <c r="D260" s="4">
        <v>66594.38</v>
      </c>
      <c r="E260" s="4">
        <v>174791.07</v>
      </c>
      <c r="F260" s="4">
        <v>60475.33</v>
      </c>
      <c r="G260" s="4">
        <v>39445.599999999999</v>
      </c>
      <c r="H260" s="4">
        <v>50464.11</v>
      </c>
      <c r="I260" s="4">
        <v>88645.82</v>
      </c>
      <c r="J260" s="4">
        <v>59440.11</v>
      </c>
      <c r="K260" s="4">
        <v>201763.27</v>
      </c>
      <c r="L260" s="4">
        <v>271765.71000000002</v>
      </c>
      <c r="M260" s="4"/>
      <c r="N260" s="4">
        <v>515243.89</v>
      </c>
      <c r="O260" s="4"/>
      <c r="P260" s="4">
        <v>245989.69</v>
      </c>
      <c r="Q260" s="4">
        <v>48387.57</v>
      </c>
      <c r="R260" s="4"/>
      <c r="S260" s="4"/>
      <c r="T260" s="4">
        <v>50838.16</v>
      </c>
      <c r="U260" s="4"/>
      <c r="V260" s="4">
        <v>291049.24</v>
      </c>
      <c r="W260" s="4">
        <v>117009.02</v>
      </c>
      <c r="X260" s="4">
        <v>251847.02</v>
      </c>
      <c r="Y260" s="4">
        <v>164704.48000000001</v>
      </c>
      <c r="Z260" s="4">
        <v>43950.73</v>
      </c>
      <c r="AA260" s="4">
        <v>590983.85</v>
      </c>
      <c r="AB260" s="4">
        <f t="shared" si="34"/>
        <v>3969131.14</v>
      </c>
    </row>
    <row r="261" spans="1:28" ht="15.75" thickBot="1" x14ac:dyDescent="0.25">
      <c r="A261" s="3" t="s">
        <v>150</v>
      </c>
      <c r="B261" s="5">
        <f t="shared" ref="B261:AB261" si="35">SUM(B249:B260)</f>
        <v>6199730.7200000007</v>
      </c>
      <c r="C261" s="5">
        <f t="shared" si="35"/>
        <v>999382.80999999982</v>
      </c>
      <c r="D261" s="5">
        <f t="shared" si="35"/>
        <v>704890.28</v>
      </c>
      <c r="E261" s="5">
        <f t="shared" si="35"/>
        <v>1630249.11</v>
      </c>
      <c r="F261" s="5">
        <f t="shared" si="35"/>
        <v>792897.65999999992</v>
      </c>
      <c r="G261" s="5">
        <f t="shared" si="35"/>
        <v>592460.28999999992</v>
      </c>
      <c r="H261" s="5">
        <f t="shared" si="35"/>
        <v>424329.41000000003</v>
      </c>
      <c r="I261" s="5">
        <f t="shared" si="35"/>
        <v>794259.41999999993</v>
      </c>
      <c r="J261" s="5">
        <f t="shared" si="35"/>
        <v>771802.82</v>
      </c>
      <c r="K261" s="5">
        <f t="shared" si="35"/>
        <v>2233590.6399999997</v>
      </c>
      <c r="L261" s="5">
        <f t="shared" si="35"/>
        <v>2163872.3600000003</v>
      </c>
      <c r="M261" s="5"/>
      <c r="N261" s="5">
        <f t="shared" si="35"/>
        <v>4203850.68</v>
      </c>
      <c r="O261" s="5"/>
      <c r="P261" s="5">
        <f t="shared" si="35"/>
        <v>2601157.6700000004</v>
      </c>
      <c r="Q261" s="5">
        <f t="shared" si="35"/>
        <v>558356.86</v>
      </c>
      <c r="R261" s="5"/>
      <c r="S261" s="5"/>
      <c r="T261" s="5">
        <f t="shared" si="35"/>
        <v>435836.26</v>
      </c>
      <c r="U261" s="5"/>
      <c r="V261" s="5">
        <f t="shared" si="35"/>
        <v>3250441.7699999996</v>
      </c>
      <c r="W261" s="5">
        <f t="shared" si="35"/>
        <v>1140233.0499999998</v>
      </c>
      <c r="X261" s="5">
        <f t="shared" si="35"/>
        <v>2876625.0900000003</v>
      </c>
      <c r="Y261" s="5">
        <f t="shared" si="35"/>
        <v>1671504.8699999999</v>
      </c>
      <c r="Z261" s="5">
        <f t="shared" si="35"/>
        <v>510056.3</v>
      </c>
      <c r="AA261" s="5">
        <f t="shared" si="35"/>
        <v>5151632.68</v>
      </c>
      <c r="AB261" s="5">
        <f t="shared" si="35"/>
        <v>39707160.75</v>
      </c>
    </row>
    <row r="262" spans="1:28" ht="15.75" thickTop="1" x14ac:dyDescent="0.2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x14ac:dyDescent="0.2">
      <c r="A263" s="3">
        <v>38718</v>
      </c>
      <c r="B263" s="4">
        <v>623263.55000000005</v>
      </c>
      <c r="C263" s="4">
        <v>98228.86</v>
      </c>
      <c r="D263" s="4">
        <v>76584.5</v>
      </c>
      <c r="E263" s="4">
        <v>135922.26999999999</v>
      </c>
      <c r="F263" s="4">
        <v>85443.09</v>
      </c>
      <c r="G263" s="4">
        <v>57952.28</v>
      </c>
      <c r="H263" s="4">
        <v>49861.57</v>
      </c>
      <c r="I263" s="4">
        <v>76585.88</v>
      </c>
      <c r="J263" s="4">
        <v>80546.45</v>
      </c>
      <c r="K263" s="4">
        <v>184777.43</v>
      </c>
      <c r="L263" s="4">
        <v>189224.05</v>
      </c>
      <c r="M263" s="4"/>
      <c r="N263" s="4">
        <v>397653.73</v>
      </c>
      <c r="O263" s="4"/>
      <c r="P263" s="4">
        <v>299494</v>
      </c>
      <c r="Q263" s="4">
        <v>56875.07</v>
      </c>
      <c r="R263" s="4"/>
      <c r="S263" s="4"/>
      <c r="T263" s="4">
        <v>31903.65</v>
      </c>
      <c r="U263" s="4"/>
      <c r="V263" s="4">
        <v>336811.16</v>
      </c>
      <c r="W263" s="4">
        <v>113344.4</v>
      </c>
      <c r="X263" s="4">
        <v>332937.15000000002</v>
      </c>
      <c r="Y263" s="4">
        <v>160087.20000000001</v>
      </c>
      <c r="Z263" s="4">
        <v>53021.08</v>
      </c>
      <c r="AA263" s="4">
        <v>459628.38</v>
      </c>
      <c r="AB263" s="4">
        <f>SUM(B263:AA263)</f>
        <v>3900145.75</v>
      </c>
    </row>
    <row r="264" spans="1:28" x14ac:dyDescent="0.2">
      <c r="A264" s="3">
        <v>38749</v>
      </c>
      <c r="B264" s="4">
        <v>498634.54</v>
      </c>
      <c r="C264" s="4">
        <v>78814.67</v>
      </c>
      <c r="D264" s="4">
        <v>61401.32</v>
      </c>
      <c r="E264" s="4">
        <v>108930.71</v>
      </c>
      <c r="F264" s="4">
        <v>68457.72</v>
      </c>
      <c r="G264" s="4">
        <v>46426.57</v>
      </c>
      <c r="H264" s="4">
        <v>39978.28</v>
      </c>
      <c r="I264" s="4">
        <v>57803.24</v>
      </c>
      <c r="J264" s="4">
        <v>64617.02</v>
      </c>
      <c r="K264" s="4">
        <v>147710.24</v>
      </c>
      <c r="L264" s="4">
        <v>150135.29999999999</v>
      </c>
      <c r="M264" s="4"/>
      <c r="N264" s="4">
        <v>322306.11</v>
      </c>
      <c r="O264" s="4"/>
      <c r="P264" s="4">
        <v>240295.35</v>
      </c>
      <c r="Q264" s="4">
        <v>45640.62</v>
      </c>
      <c r="R264" s="4"/>
      <c r="S264" s="4"/>
      <c r="T264" s="4">
        <v>25581.759999999998</v>
      </c>
      <c r="U264" s="4"/>
      <c r="V264" s="4">
        <v>270326.78000000003</v>
      </c>
      <c r="W264" s="4">
        <v>90662.45</v>
      </c>
      <c r="X264" s="4">
        <v>266448.45</v>
      </c>
      <c r="Y264" s="4">
        <v>128441.7</v>
      </c>
      <c r="Z264" s="4">
        <v>42508.12</v>
      </c>
      <c r="AA264" s="4">
        <v>369343.28</v>
      </c>
      <c r="AB264" s="4">
        <f t="shared" ref="AB264:AB274" si="36">SUM(B264:AA264)</f>
        <v>3124464.2300000004</v>
      </c>
    </row>
    <row r="265" spans="1:28" x14ac:dyDescent="0.2">
      <c r="A265" s="3">
        <v>38777</v>
      </c>
      <c r="B265" s="4">
        <v>784901.16</v>
      </c>
      <c r="C265" s="4">
        <v>148555.34</v>
      </c>
      <c r="D265" s="4">
        <v>72154.47</v>
      </c>
      <c r="E265" s="4">
        <v>133692.96</v>
      </c>
      <c r="F265" s="4">
        <v>38031.51</v>
      </c>
      <c r="G265" s="4">
        <v>61036.65</v>
      </c>
      <c r="H265" s="4">
        <v>56818.559999999998</v>
      </c>
      <c r="I265" s="4">
        <v>120185.89</v>
      </c>
      <c r="J265" s="4">
        <v>105838.84</v>
      </c>
      <c r="K265" s="4">
        <v>221247.79</v>
      </c>
      <c r="L265" s="4">
        <v>256586.84</v>
      </c>
      <c r="M265" s="4"/>
      <c r="N265" s="4">
        <v>386828.92</v>
      </c>
      <c r="O265" s="4"/>
      <c r="P265" s="4">
        <v>326064.92</v>
      </c>
      <c r="Q265" s="4">
        <v>74206.75</v>
      </c>
      <c r="R265" s="4"/>
      <c r="S265" s="4"/>
      <c r="T265" s="4">
        <v>65616.92</v>
      </c>
      <c r="U265" s="4"/>
      <c r="V265" s="4">
        <v>360100.15</v>
      </c>
      <c r="W265" s="4">
        <v>115340.57</v>
      </c>
      <c r="X265" s="4">
        <v>393025</v>
      </c>
      <c r="Y265" s="4">
        <v>184261.51</v>
      </c>
      <c r="Z265" s="4">
        <v>57938.31</v>
      </c>
      <c r="AA265" s="4">
        <v>579277.43999999994</v>
      </c>
      <c r="AB265" s="4">
        <f t="shared" si="36"/>
        <v>4541710.5</v>
      </c>
    </row>
    <row r="266" spans="1:28" x14ac:dyDescent="0.2">
      <c r="A266" s="3">
        <v>38808</v>
      </c>
      <c r="B266" s="4">
        <v>505990.97</v>
      </c>
      <c r="C266" s="4">
        <v>103732.88</v>
      </c>
      <c r="D266" s="4">
        <v>58772.65</v>
      </c>
      <c r="E266" s="4">
        <v>104496.34</v>
      </c>
      <c r="F266" s="4">
        <v>63582.85</v>
      </c>
      <c r="G266" s="4">
        <v>50418.81</v>
      </c>
      <c r="H266" s="4">
        <v>53751.44</v>
      </c>
      <c r="I266" s="4">
        <v>53875.02</v>
      </c>
      <c r="J266" s="4">
        <v>60940.35</v>
      </c>
      <c r="K266" s="4">
        <v>172499.99</v>
      </c>
      <c r="L266" s="4">
        <v>141575.5</v>
      </c>
      <c r="M266" s="4"/>
      <c r="N266" s="4">
        <v>299789.25</v>
      </c>
      <c r="O266" s="4"/>
      <c r="P266" s="4">
        <v>237887.5</v>
      </c>
      <c r="Q266" s="4">
        <v>48826.080000000002</v>
      </c>
      <c r="R266" s="4"/>
      <c r="S266" s="4"/>
      <c r="T266" s="4">
        <v>27934.49</v>
      </c>
      <c r="U266" s="4"/>
      <c r="V266" s="4">
        <v>424258.98</v>
      </c>
      <c r="W266" s="4">
        <v>82185.679999999993</v>
      </c>
      <c r="X266" s="4">
        <v>258799.55</v>
      </c>
      <c r="Y266" s="4">
        <v>125151.97</v>
      </c>
      <c r="Z266" s="4">
        <v>44846.879999999997</v>
      </c>
      <c r="AA266" s="4">
        <v>367206.96</v>
      </c>
      <c r="AB266" s="4">
        <f t="shared" si="36"/>
        <v>3286524.14</v>
      </c>
    </row>
    <row r="267" spans="1:28" x14ac:dyDescent="0.2">
      <c r="A267" s="3">
        <v>38838</v>
      </c>
      <c r="B267" s="4">
        <v>486183.6</v>
      </c>
      <c r="C267" s="4">
        <v>93480.09</v>
      </c>
      <c r="D267" s="4">
        <v>54721.45</v>
      </c>
      <c r="E267" s="4">
        <v>102595.26</v>
      </c>
      <c r="F267" s="4">
        <v>80115.53</v>
      </c>
      <c r="G267" s="4">
        <v>51948.85</v>
      </c>
      <c r="H267" s="4">
        <v>52485.75</v>
      </c>
      <c r="I267" s="4">
        <v>52978.49</v>
      </c>
      <c r="J267" s="4">
        <v>59275.97</v>
      </c>
      <c r="K267" s="4">
        <v>171353.46</v>
      </c>
      <c r="L267" s="4">
        <v>140338.79</v>
      </c>
      <c r="M267" s="4"/>
      <c r="N267" s="4">
        <v>298572.96999999997</v>
      </c>
      <c r="O267" s="4"/>
      <c r="P267" s="4">
        <v>241413.03</v>
      </c>
      <c r="Q267" s="4">
        <v>47862.01</v>
      </c>
      <c r="R267" s="4"/>
      <c r="S267" s="4"/>
      <c r="T267" s="4">
        <v>27290.39</v>
      </c>
      <c r="U267" s="4"/>
      <c r="V267" s="4">
        <v>251263.77</v>
      </c>
      <c r="W267" s="4">
        <v>78130.91</v>
      </c>
      <c r="X267" s="4">
        <v>260229.08</v>
      </c>
      <c r="Y267" s="4">
        <v>122884.54</v>
      </c>
      <c r="Z267" s="4">
        <v>41466.35</v>
      </c>
      <c r="AA267" s="4">
        <v>364734.86</v>
      </c>
      <c r="AB267" s="4">
        <f t="shared" si="36"/>
        <v>3079325.15</v>
      </c>
    </row>
    <row r="268" spans="1:28" x14ac:dyDescent="0.2">
      <c r="A268" s="3">
        <v>38869</v>
      </c>
      <c r="B268" s="4">
        <v>670495.36</v>
      </c>
      <c r="C268" s="4">
        <v>69966.28</v>
      </c>
      <c r="D268" s="4">
        <v>81537.95</v>
      </c>
      <c r="E268" s="4">
        <v>153316.38</v>
      </c>
      <c r="F268" s="4">
        <v>92047.98</v>
      </c>
      <c r="G268" s="4">
        <v>65241.599999999999</v>
      </c>
      <c r="H268" s="4">
        <v>12927.06</v>
      </c>
      <c r="I268" s="4">
        <v>104252.96</v>
      </c>
      <c r="J268" s="4">
        <v>64522.44</v>
      </c>
      <c r="K268" s="4">
        <v>149338.89000000001</v>
      </c>
      <c r="L268" s="4">
        <v>230789.95</v>
      </c>
      <c r="M268" s="4"/>
      <c r="N268" s="4">
        <v>242297.2</v>
      </c>
      <c r="O268" s="4"/>
      <c r="P268" s="4">
        <v>224074.25</v>
      </c>
      <c r="Q268" s="4">
        <v>45243.62</v>
      </c>
      <c r="R268" s="4"/>
      <c r="S268" s="4"/>
      <c r="T268" s="4">
        <v>54718.34</v>
      </c>
      <c r="U268" s="4"/>
      <c r="V268" s="4">
        <v>269712.01</v>
      </c>
      <c r="W268" s="4">
        <v>95776.38</v>
      </c>
      <c r="X268" s="4">
        <v>247190.58</v>
      </c>
      <c r="Y268" s="4">
        <v>186331.61</v>
      </c>
      <c r="Z268" s="4">
        <v>39418.120000000003</v>
      </c>
      <c r="AA268" s="4">
        <v>541604.47</v>
      </c>
      <c r="AB268" s="4">
        <f t="shared" si="36"/>
        <v>3640803.4299999997</v>
      </c>
    </row>
    <row r="269" spans="1:28" x14ac:dyDescent="0.2">
      <c r="A269" s="3">
        <v>38899</v>
      </c>
      <c r="B269" s="4">
        <v>386123.21</v>
      </c>
      <c r="C269" s="4">
        <v>64274.73</v>
      </c>
      <c r="D269" s="4">
        <v>40793.589999999997</v>
      </c>
      <c r="E269" s="4">
        <v>108950.22</v>
      </c>
      <c r="F269" s="4">
        <v>53099.64</v>
      </c>
      <c r="G269" s="4">
        <v>35212.230000000003</v>
      </c>
      <c r="H269" s="4">
        <v>0</v>
      </c>
      <c r="I269" s="4">
        <v>40605.79</v>
      </c>
      <c r="J269" s="4">
        <v>40676.17</v>
      </c>
      <c r="K269" s="4">
        <v>123500.71</v>
      </c>
      <c r="L269" s="4">
        <v>129075.21</v>
      </c>
      <c r="M269" s="4"/>
      <c r="N269" s="4">
        <v>274463.77</v>
      </c>
      <c r="O269" s="4"/>
      <c r="P269" s="4">
        <v>159738.9</v>
      </c>
      <c r="Q269" s="4">
        <v>29514.89</v>
      </c>
      <c r="R269" s="4"/>
      <c r="S269" s="4"/>
      <c r="T269" s="4">
        <v>20030.650000000001</v>
      </c>
      <c r="U269" s="4"/>
      <c r="V269" s="4">
        <v>190069.46</v>
      </c>
      <c r="W269" s="4">
        <v>55401.24</v>
      </c>
      <c r="X269" s="4">
        <v>189881.82</v>
      </c>
      <c r="Y269" s="4">
        <v>86294.88</v>
      </c>
      <c r="Z269" s="4">
        <v>29870.36</v>
      </c>
      <c r="AA269" s="4">
        <v>368638.16</v>
      </c>
      <c r="AB269" s="4">
        <f t="shared" si="36"/>
        <v>2426215.63</v>
      </c>
    </row>
    <row r="270" spans="1:28" x14ac:dyDescent="0.2">
      <c r="A270" s="3">
        <v>38930</v>
      </c>
      <c r="B270" s="4">
        <v>373115.8</v>
      </c>
      <c r="C270" s="4">
        <v>57357.23</v>
      </c>
      <c r="D270" s="4">
        <v>39545.9</v>
      </c>
      <c r="E270" s="4">
        <v>105585.16</v>
      </c>
      <c r="F270" s="4">
        <v>48966.7</v>
      </c>
      <c r="G270" s="4">
        <v>32834.410000000003</v>
      </c>
      <c r="H270" s="4">
        <v>17072.77</v>
      </c>
      <c r="I270" s="4">
        <v>39282.6</v>
      </c>
      <c r="J270" s="4">
        <v>43107.93</v>
      </c>
      <c r="K270" s="4">
        <v>119705.06</v>
      </c>
      <c r="L270" s="4">
        <v>121242</v>
      </c>
      <c r="M270" s="4"/>
      <c r="N270" s="4">
        <v>265855</v>
      </c>
      <c r="O270" s="4"/>
      <c r="P270" s="4">
        <v>154251.5</v>
      </c>
      <c r="Q270" s="4">
        <v>28517.39</v>
      </c>
      <c r="R270" s="4"/>
      <c r="S270" s="4"/>
      <c r="T270" s="4">
        <v>19290.88</v>
      </c>
      <c r="U270" s="4"/>
      <c r="V270" s="4">
        <v>182971.23</v>
      </c>
      <c r="W270" s="4">
        <v>53680.58</v>
      </c>
      <c r="X270" s="4">
        <v>181300.72</v>
      </c>
      <c r="Y270" s="4">
        <v>82731.44</v>
      </c>
      <c r="Z270" s="4">
        <v>28952.69</v>
      </c>
      <c r="AA270" s="4">
        <v>357316.44</v>
      </c>
      <c r="AB270" s="4">
        <f t="shared" si="36"/>
        <v>2352683.4299999997</v>
      </c>
    </row>
    <row r="271" spans="1:28" x14ac:dyDescent="0.2">
      <c r="A271" s="3">
        <v>38961</v>
      </c>
      <c r="B271" s="4">
        <v>435587.88</v>
      </c>
      <c r="C271" s="4">
        <v>49760.07</v>
      </c>
      <c r="D271" s="4">
        <v>60303.5</v>
      </c>
      <c r="E271" s="4">
        <v>145427.85</v>
      </c>
      <c r="F271" s="4">
        <v>66507.88</v>
      </c>
      <c r="G271" s="4">
        <v>39345.17</v>
      </c>
      <c r="H271" s="4">
        <v>44677.04</v>
      </c>
      <c r="I271" s="4">
        <v>67947.429999999993</v>
      </c>
      <c r="J271" s="4">
        <v>42623.29</v>
      </c>
      <c r="K271" s="4">
        <v>175045.47</v>
      </c>
      <c r="L271" s="4">
        <v>143911.81</v>
      </c>
      <c r="M271" s="4"/>
      <c r="N271" s="4">
        <v>241034.17</v>
      </c>
      <c r="O271" s="4"/>
      <c r="P271" s="4">
        <v>147587.17000000001</v>
      </c>
      <c r="Q271" s="4">
        <v>42713.67</v>
      </c>
      <c r="R271" s="4"/>
      <c r="S271" s="4"/>
      <c r="T271" s="4">
        <v>32089.71</v>
      </c>
      <c r="U271" s="4"/>
      <c r="V271" s="4">
        <v>250757.06</v>
      </c>
      <c r="W271" s="4">
        <v>106813.44</v>
      </c>
      <c r="X271" s="4">
        <v>241717.1</v>
      </c>
      <c r="Y271" s="4">
        <v>121497.14</v>
      </c>
      <c r="Z271" s="4">
        <v>39704.629999999997</v>
      </c>
      <c r="AA271" s="4">
        <v>335302.2</v>
      </c>
      <c r="AB271" s="4">
        <f t="shared" si="36"/>
        <v>2830353.68</v>
      </c>
    </row>
    <row r="272" spans="1:28" x14ac:dyDescent="0.2">
      <c r="A272" s="3">
        <v>38991</v>
      </c>
      <c r="B272" s="4">
        <v>349079.89</v>
      </c>
      <c r="C272" s="4">
        <v>58437.59</v>
      </c>
      <c r="D272" s="4">
        <v>37837.61</v>
      </c>
      <c r="E272" s="4">
        <v>104090.17</v>
      </c>
      <c r="F272" s="4">
        <v>50542.36</v>
      </c>
      <c r="G272" s="4">
        <v>37773.67</v>
      </c>
      <c r="H272" s="4">
        <v>27936.62</v>
      </c>
      <c r="I272" s="4">
        <v>42890.47</v>
      </c>
      <c r="J272" s="4">
        <v>47769.69</v>
      </c>
      <c r="K272" s="4">
        <v>149639.35</v>
      </c>
      <c r="L272" s="4">
        <v>126680.02</v>
      </c>
      <c r="M272" s="4"/>
      <c r="N272" s="4">
        <v>265292.90999999997</v>
      </c>
      <c r="O272" s="4"/>
      <c r="P272" s="4">
        <v>158162.94</v>
      </c>
      <c r="Q272" s="4">
        <v>31079.87</v>
      </c>
      <c r="R272" s="4"/>
      <c r="S272" s="4"/>
      <c r="T272" s="4">
        <v>21252.25</v>
      </c>
      <c r="U272" s="4"/>
      <c r="V272" s="4">
        <v>180256.31</v>
      </c>
      <c r="W272" s="4">
        <v>64193.29</v>
      </c>
      <c r="X272" s="4">
        <v>196219.26</v>
      </c>
      <c r="Y272" s="4">
        <v>84589.21</v>
      </c>
      <c r="Z272" s="4">
        <v>34073.32</v>
      </c>
      <c r="AA272" s="4">
        <v>333565.07</v>
      </c>
      <c r="AB272" s="4">
        <f t="shared" si="36"/>
        <v>2401361.87</v>
      </c>
    </row>
    <row r="273" spans="1:28" x14ac:dyDescent="0.2">
      <c r="A273" s="3">
        <v>39022</v>
      </c>
      <c r="B273" s="4">
        <v>354657.81</v>
      </c>
      <c r="C273" s="4">
        <v>59532.08</v>
      </c>
      <c r="D273" s="4">
        <v>38357.949999999997</v>
      </c>
      <c r="E273" s="4">
        <v>106132.07</v>
      </c>
      <c r="F273" s="4">
        <v>51324.1</v>
      </c>
      <c r="G273" s="4">
        <v>38559.96</v>
      </c>
      <c r="H273" s="4">
        <v>28543.77</v>
      </c>
      <c r="I273" s="4">
        <v>43752.84</v>
      </c>
      <c r="J273" s="4">
        <v>48671.96</v>
      </c>
      <c r="K273" s="4">
        <v>151525.78</v>
      </c>
      <c r="L273" s="4">
        <v>129059.99</v>
      </c>
      <c r="M273" s="4"/>
      <c r="N273" s="4">
        <v>270682.11</v>
      </c>
      <c r="O273" s="4"/>
      <c r="P273" s="4">
        <v>162192.85</v>
      </c>
      <c r="Q273" s="4">
        <v>31733.21</v>
      </c>
      <c r="R273" s="4"/>
      <c r="S273" s="4"/>
      <c r="T273" s="4">
        <v>21523.03</v>
      </c>
      <c r="U273" s="4"/>
      <c r="V273" s="4">
        <v>182926.36</v>
      </c>
      <c r="W273" s="4">
        <v>65267.26</v>
      </c>
      <c r="X273" s="4">
        <v>205172.5</v>
      </c>
      <c r="Y273" s="4">
        <v>85124.19</v>
      </c>
      <c r="Z273" s="4">
        <v>34680.01</v>
      </c>
      <c r="AA273" s="4">
        <v>345273.63</v>
      </c>
      <c r="AB273" s="4">
        <f t="shared" si="36"/>
        <v>2454693.46</v>
      </c>
    </row>
    <row r="274" spans="1:28" x14ac:dyDescent="0.2">
      <c r="A274" s="3">
        <v>39052</v>
      </c>
      <c r="B274" s="4">
        <v>730281.74</v>
      </c>
      <c r="C274" s="4">
        <v>137736.76</v>
      </c>
      <c r="D274" s="4">
        <v>93119.82</v>
      </c>
      <c r="E274" s="4">
        <v>192953.81</v>
      </c>
      <c r="F274" s="4">
        <v>68156.45</v>
      </c>
      <c r="G274" s="4">
        <v>73164.61</v>
      </c>
      <c r="H274" s="4">
        <v>46800.59</v>
      </c>
      <c r="I274" s="4">
        <v>87487.66</v>
      </c>
      <c r="J274" s="4">
        <v>94868</v>
      </c>
      <c r="K274" s="4">
        <v>285884.33</v>
      </c>
      <c r="L274" s="4">
        <v>215079.5</v>
      </c>
      <c r="M274" s="4"/>
      <c r="N274" s="4">
        <v>423395.11</v>
      </c>
      <c r="O274" s="4"/>
      <c r="P274" s="4">
        <v>350395.64</v>
      </c>
      <c r="Q274" s="4">
        <v>79116.259999999995</v>
      </c>
      <c r="R274" s="4"/>
      <c r="S274" s="4"/>
      <c r="T274" s="4">
        <v>49435.33</v>
      </c>
      <c r="U274" s="4"/>
      <c r="V274" s="4">
        <v>403790.64</v>
      </c>
      <c r="W274" s="4">
        <v>147173.51</v>
      </c>
      <c r="X274" s="4">
        <v>271921.58</v>
      </c>
      <c r="Y274" s="4">
        <v>187906.73</v>
      </c>
      <c r="Z274" s="4">
        <v>41104.11</v>
      </c>
      <c r="AA274" s="4">
        <v>685041.58</v>
      </c>
      <c r="AB274" s="4">
        <f t="shared" si="36"/>
        <v>4664813.7600000007</v>
      </c>
    </row>
    <row r="275" spans="1:28" ht="15.75" thickBot="1" x14ac:dyDescent="0.25">
      <c r="A275" s="3" t="s">
        <v>149</v>
      </c>
      <c r="B275" s="5">
        <f t="shared" ref="B275:AB275" si="37">SUM(B263:B274)</f>
        <v>6198315.5099999988</v>
      </c>
      <c r="C275" s="5">
        <f t="shared" si="37"/>
        <v>1019876.5799999998</v>
      </c>
      <c r="D275" s="5">
        <f t="shared" si="37"/>
        <v>715130.71</v>
      </c>
      <c r="E275" s="5">
        <f t="shared" si="37"/>
        <v>1502093.2</v>
      </c>
      <c r="F275" s="5">
        <f t="shared" si="37"/>
        <v>766275.80999999994</v>
      </c>
      <c r="G275" s="5">
        <f t="shared" si="37"/>
        <v>589914.80999999994</v>
      </c>
      <c r="H275" s="5">
        <f t="shared" si="37"/>
        <v>430853.45000000007</v>
      </c>
      <c r="I275" s="5">
        <f t="shared" si="37"/>
        <v>787648.27</v>
      </c>
      <c r="J275" s="5">
        <f t="shared" si="37"/>
        <v>753458.10999999987</v>
      </c>
      <c r="K275" s="5">
        <f t="shared" si="37"/>
        <v>2052228.5000000002</v>
      </c>
      <c r="L275" s="5">
        <f t="shared" si="37"/>
        <v>1973698.96</v>
      </c>
      <c r="M275" s="5"/>
      <c r="N275" s="5">
        <f t="shared" si="37"/>
        <v>3688171.25</v>
      </c>
      <c r="O275" s="5"/>
      <c r="P275" s="5">
        <f t="shared" si="37"/>
        <v>2701558.0500000003</v>
      </c>
      <c r="Q275" s="5">
        <f t="shared" si="37"/>
        <v>561329.44000000006</v>
      </c>
      <c r="R275" s="5"/>
      <c r="S275" s="5"/>
      <c r="T275" s="5">
        <f t="shared" si="37"/>
        <v>396667.40000000008</v>
      </c>
      <c r="U275" s="5"/>
      <c r="V275" s="5">
        <f t="shared" si="37"/>
        <v>3303243.91</v>
      </c>
      <c r="W275" s="5">
        <f t="shared" si="37"/>
        <v>1067969.71</v>
      </c>
      <c r="X275" s="5">
        <f t="shared" si="37"/>
        <v>3044842.790000001</v>
      </c>
      <c r="Y275" s="5">
        <f t="shared" si="37"/>
        <v>1555302.1199999999</v>
      </c>
      <c r="Z275" s="5">
        <f t="shared" si="37"/>
        <v>487583.98000000004</v>
      </c>
      <c r="AA275" s="5">
        <f t="shared" si="37"/>
        <v>5106932.47</v>
      </c>
      <c r="AB275" s="5">
        <f t="shared" si="37"/>
        <v>38703095.029999994</v>
      </c>
    </row>
    <row r="276" spans="1:28" ht="15.75" thickTop="1" x14ac:dyDescent="0.2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x14ac:dyDescent="0.2">
      <c r="A277" s="3">
        <v>38356</v>
      </c>
      <c r="B277" s="4">
        <v>620003.65</v>
      </c>
      <c r="C277" s="4">
        <v>97999.99</v>
      </c>
      <c r="D277" s="4">
        <v>68907.83</v>
      </c>
      <c r="E277" s="4">
        <v>122569.45</v>
      </c>
      <c r="F277" s="4">
        <v>85966.61</v>
      </c>
      <c r="G277" s="4">
        <v>57667.68</v>
      </c>
      <c r="H277" s="4">
        <v>46270.080000000002</v>
      </c>
      <c r="I277" s="4">
        <v>70113.78</v>
      </c>
      <c r="J277" s="4">
        <v>80543.41</v>
      </c>
      <c r="K277" s="4">
        <v>167784.39</v>
      </c>
      <c r="L277" s="4">
        <v>189135.95</v>
      </c>
      <c r="M277" s="4"/>
      <c r="N277" s="4">
        <v>346684.52</v>
      </c>
      <c r="O277" s="4"/>
      <c r="P277" s="4">
        <v>292220.56</v>
      </c>
      <c r="Q277" s="4">
        <v>52573.75</v>
      </c>
      <c r="R277" s="4"/>
      <c r="S277" s="4"/>
      <c r="T277" s="4">
        <v>26502.68</v>
      </c>
      <c r="U277" s="4"/>
      <c r="V277" s="4">
        <v>323807.42</v>
      </c>
      <c r="W277" s="4">
        <v>112878.9</v>
      </c>
      <c r="X277" s="4">
        <v>317067.90000000002</v>
      </c>
      <c r="Y277" s="4">
        <v>150748.56</v>
      </c>
      <c r="Z277" s="4">
        <v>50644.11</v>
      </c>
      <c r="AA277" s="4">
        <v>392413.46</v>
      </c>
      <c r="AB277" s="4">
        <f>SUM(B277:AA277)</f>
        <v>3672504.6799999997</v>
      </c>
    </row>
    <row r="278" spans="1:28" x14ac:dyDescent="0.2">
      <c r="A278" s="3">
        <v>38387</v>
      </c>
      <c r="B278" s="4">
        <v>479509.8</v>
      </c>
      <c r="C278" s="4">
        <v>75705.03</v>
      </c>
      <c r="D278" s="4">
        <v>53218.42</v>
      </c>
      <c r="E278" s="4">
        <v>94033.62</v>
      </c>
      <c r="F278" s="4">
        <v>66428.800000000003</v>
      </c>
      <c r="G278" s="4">
        <v>44563.05</v>
      </c>
      <c r="H278" s="4">
        <v>35719.339999999997</v>
      </c>
      <c r="I278" s="4">
        <v>54161.88</v>
      </c>
      <c r="J278" s="4">
        <v>62254.879999999997</v>
      </c>
      <c r="K278" s="4">
        <v>128903.5</v>
      </c>
      <c r="L278" s="4">
        <v>145945.12</v>
      </c>
      <c r="M278" s="4"/>
      <c r="N278" s="4">
        <v>266957.34999999998</v>
      </c>
      <c r="O278" s="4"/>
      <c r="P278" s="4">
        <v>225785.36</v>
      </c>
      <c r="Q278" s="4">
        <v>40606.18</v>
      </c>
      <c r="R278" s="4"/>
      <c r="S278" s="4"/>
      <c r="T278" s="4">
        <v>20458.37</v>
      </c>
      <c r="U278" s="4"/>
      <c r="V278" s="4">
        <v>250211.82</v>
      </c>
      <c r="W278" s="4">
        <v>87165.62</v>
      </c>
      <c r="X278" s="4">
        <v>245034.32</v>
      </c>
      <c r="Y278" s="4">
        <v>116385.1</v>
      </c>
      <c r="Z278" s="4">
        <v>39105.17</v>
      </c>
      <c r="AA278" s="4">
        <v>302939.51</v>
      </c>
      <c r="AB278" s="4">
        <f t="shared" ref="AB278:AB288" si="38">SUM(B278:AA278)</f>
        <v>2835092.24</v>
      </c>
    </row>
    <row r="279" spans="1:28" x14ac:dyDescent="0.2">
      <c r="A279" s="3">
        <v>38415</v>
      </c>
      <c r="B279" s="4">
        <v>448423.05</v>
      </c>
      <c r="C279" s="4">
        <v>120734.15</v>
      </c>
      <c r="D279" s="4">
        <v>67931.19</v>
      </c>
      <c r="E279" s="4">
        <v>121645.78</v>
      </c>
      <c r="F279" s="4">
        <v>154873.79999999999</v>
      </c>
      <c r="G279" s="4">
        <v>84925.3</v>
      </c>
      <c r="H279" s="4">
        <v>84684.6</v>
      </c>
      <c r="I279" s="4">
        <v>73385.009999999995</v>
      </c>
      <c r="J279" s="4">
        <v>76537.460000000006</v>
      </c>
      <c r="K279" s="4">
        <v>199070.56</v>
      </c>
      <c r="L279" s="4">
        <v>111087.77</v>
      </c>
      <c r="M279" s="4"/>
      <c r="N279" s="4">
        <v>375703.02</v>
      </c>
      <c r="O279" s="4"/>
      <c r="P279" s="4">
        <v>248563.29</v>
      </c>
      <c r="Q279" s="4">
        <v>67434.22</v>
      </c>
      <c r="R279" s="4"/>
      <c r="S279" s="4"/>
      <c r="T279" s="4">
        <v>44895.58</v>
      </c>
      <c r="U279" s="4"/>
      <c r="V279" s="4">
        <v>290517.51</v>
      </c>
      <c r="W279" s="4">
        <v>84888.34</v>
      </c>
      <c r="X279" s="4">
        <v>323895.65000000002</v>
      </c>
      <c r="Y279" s="4">
        <v>183073.57</v>
      </c>
      <c r="Z279" s="4">
        <v>50522.080000000002</v>
      </c>
      <c r="AA279" s="4">
        <v>552679.36</v>
      </c>
      <c r="AB279" s="4">
        <f t="shared" si="38"/>
        <v>3765471.2899999996</v>
      </c>
    </row>
    <row r="280" spans="1:28" x14ac:dyDescent="0.2">
      <c r="A280" s="3">
        <v>38446</v>
      </c>
      <c r="B280" s="4">
        <v>445976.1</v>
      </c>
      <c r="C280" s="4">
        <v>102834.4</v>
      </c>
      <c r="D280" s="4">
        <v>48595.78</v>
      </c>
      <c r="E280" s="4">
        <v>95791.29</v>
      </c>
      <c r="F280" s="4">
        <v>61939.85</v>
      </c>
      <c r="G280" s="4">
        <v>47925.06</v>
      </c>
      <c r="H280" s="4">
        <v>50020.23</v>
      </c>
      <c r="I280" s="4">
        <v>47438.75</v>
      </c>
      <c r="J280" s="4">
        <v>52048.82</v>
      </c>
      <c r="K280" s="4">
        <v>140661.19</v>
      </c>
      <c r="L280" s="4">
        <v>121915.21</v>
      </c>
      <c r="M280" s="4"/>
      <c r="N280" s="4">
        <v>234894.33</v>
      </c>
      <c r="O280" s="4"/>
      <c r="P280" s="4">
        <v>216145.86</v>
      </c>
      <c r="Q280" s="4">
        <v>39203.019999999997</v>
      </c>
      <c r="R280" s="4"/>
      <c r="S280" s="4"/>
      <c r="T280" s="4">
        <v>19369.759999999998</v>
      </c>
      <c r="U280" s="4"/>
      <c r="V280" s="4">
        <v>233174.94</v>
      </c>
      <c r="W280" s="4">
        <v>73494.38</v>
      </c>
      <c r="X280" s="4">
        <v>235418.09</v>
      </c>
      <c r="Y280" s="4">
        <v>111754.47</v>
      </c>
      <c r="Z280" s="4">
        <v>39292.089999999997</v>
      </c>
      <c r="AA280" s="4">
        <v>295592.94</v>
      </c>
      <c r="AB280" s="4">
        <f t="shared" si="38"/>
        <v>2713486.56</v>
      </c>
    </row>
    <row r="281" spans="1:28" x14ac:dyDescent="0.2">
      <c r="A281" s="3">
        <v>38476</v>
      </c>
      <c r="B281" s="4">
        <v>469238.67</v>
      </c>
      <c r="C281" s="4">
        <v>80326.41</v>
      </c>
      <c r="D281" s="4">
        <v>51077.25</v>
      </c>
      <c r="E281" s="4">
        <v>100735.43</v>
      </c>
      <c r="F281" s="4">
        <v>65226.81</v>
      </c>
      <c r="G281" s="4">
        <v>50498.85</v>
      </c>
      <c r="H281" s="4">
        <v>40123.72</v>
      </c>
      <c r="I281" s="4">
        <v>49980.6</v>
      </c>
      <c r="J281" s="4">
        <v>54823.79</v>
      </c>
      <c r="K281" s="4">
        <v>148166.26</v>
      </c>
      <c r="L281" s="4">
        <v>127880.04</v>
      </c>
      <c r="M281" s="4"/>
      <c r="N281" s="4">
        <v>247049.41</v>
      </c>
      <c r="O281" s="4"/>
      <c r="P281" s="4">
        <v>227488.8</v>
      </c>
      <c r="Q281" s="4">
        <v>41385.410000000003</v>
      </c>
      <c r="R281" s="4"/>
      <c r="S281" s="4"/>
      <c r="T281" s="4">
        <v>20385.150000000001</v>
      </c>
      <c r="U281" s="4"/>
      <c r="V281" s="4">
        <v>246437.43</v>
      </c>
      <c r="W281" s="4">
        <v>77361.539999999994</v>
      </c>
      <c r="X281" s="4">
        <v>244899.18</v>
      </c>
      <c r="Y281" s="4">
        <v>117591.08</v>
      </c>
      <c r="Z281" s="4">
        <v>41409.22</v>
      </c>
      <c r="AA281" s="4">
        <v>312019.96999999997</v>
      </c>
      <c r="AB281" s="4">
        <f t="shared" si="38"/>
        <v>2814105.0200000005</v>
      </c>
    </row>
    <row r="282" spans="1:28" x14ac:dyDescent="0.2">
      <c r="A282" s="3">
        <v>38507</v>
      </c>
      <c r="B282" s="4">
        <v>452132.61</v>
      </c>
      <c r="C282" s="4">
        <v>112828.35</v>
      </c>
      <c r="D282" s="4">
        <v>57334.74</v>
      </c>
      <c r="E282" s="4">
        <v>119371.55</v>
      </c>
      <c r="F282" s="4">
        <v>102850.59</v>
      </c>
      <c r="G282" s="4">
        <v>43899.69</v>
      </c>
      <c r="H282" s="4">
        <v>65376.4</v>
      </c>
      <c r="I282" s="4">
        <v>54056.39</v>
      </c>
      <c r="J282" s="4">
        <v>60055.68</v>
      </c>
      <c r="K282" s="4">
        <v>195120.24</v>
      </c>
      <c r="L282" s="4">
        <v>158307.99</v>
      </c>
      <c r="M282" s="4"/>
      <c r="N282" s="4">
        <v>398953.19</v>
      </c>
      <c r="O282" s="4"/>
      <c r="P282" s="4">
        <v>208461.64</v>
      </c>
      <c r="Q282" s="4">
        <v>53566.83</v>
      </c>
      <c r="R282" s="4"/>
      <c r="S282" s="4"/>
      <c r="T282" s="4">
        <v>33113.89</v>
      </c>
      <c r="U282" s="4"/>
      <c r="V282" s="4">
        <v>228482.78</v>
      </c>
      <c r="W282" s="4">
        <v>84483.57</v>
      </c>
      <c r="X282" s="4">
        <v>270000.07</v>
      </c>
      <c r="Y282" s="4">
        <v>118594.88</v>
      </c>
      <c r="Z282" s="4">
        <v>35353.17</v>
      </c>
      <c r="AA282" s="4">
        <v>548365.38</v>
      </c>
      <c r="AB282" s="4">
        <f t="shared" si="38"/>
        <v>3400709.6299999994</v>
      </c>
    </row>
    <row r="283" spans="1:28" x14ac:dyDescent="0.2">
      <c r="A283" s="3">
        <v>38537</v>
      </c>
      <c r="B283" s="4">
        <v>771572.93</v>
      </c>
      <c r="C283" s="4">
        <v>116213.04</v>
      </c>
      <c r="D283" s="4">
        <v>43307.21</v>
      </c>
      <c r="E283" s="4">
        <v>217425.38</v>
      </c>
      <c r="F283" s="4">
        <v>43994.080000000002</v>
      </c>
      <c r="G283" s="4">
        <v>37677.129999999997</v>
      </c>
      <c r="H283" s="4">
        <v>28795.15</v>
      </c>
      <c r="I283" s="4">
        <v>44311.78</v>
      </c>
      <c r="J283" s="4">
        <v>80437.48</v>
      </c>
      <c r="K283" s="4">
        <v>299632.78999999998</v>
      </c>
      <c r="L283" s="4">
        <v>203120.53</v>
      </c>
      <c r="M283" s="4"/>
      <c r="N283" s="4">
        <v>260010.05</v>
      </c>
      <c r="O283" s="4"/>
      <c r="P283" s="4">
        <v>296854.01</v>
      </c>
      <c r="Q283" s="4">
        <v>29349.16</v>
      </c>
      <c r="R283" s="4"/>
      <c r="S283" s="4"/>
      <c r="T283" s="4">
        <v>18733.5</v>
      </c>
      <c r="U283" s="4"/>
      <c r="V283" s="4">
        <v>304270.96999999997</v>
      </c>
      <c r="W283" s="4">
        <v>61887.59</v>
      </c>
      <c r="X283" s="4">
        <v>236386.46</v>
      </c>
      <c r="Y283" s="4">
        <v>93279.73</v>
      </c>
      <c r="Z283" s="4">
        <v>54011.68</v>
      </c>
      <c r="AA283" s="4">
        <v>373722.47</v>
      </c>
      <c r="AB283" s="4">
        <f t="shared" si="38"/>
        <v>3614993.1199999992</v>
      </c>
    </row>
    <row r="284" spans="1:28" x14ac:dyDescent="0.2">
      <c r="A284" s="3">
        <v>38568</v>
      </c>
      <c r="B284" s="4">
        <v>378304.6</v>
      </c>
      <c r="C284" s="4">
        <v>59280.17</v>
      </c>
      <c r="D284" s="4">
        <v>40482.160000000003</v>
      </c>
      <c r="E284" s="4">
        <v>107244.43</v>
      </c>
      <c r="F284" s="4">
        <v>42023.44</v>
      </c>
      <c r="G284" s="4">
        <v>35923.279999999999</v>
      </c>
      <c r="H284" s="4">
        <v>36184.43</v>
      </c>
      <c r="I284" s="4">
        <v>41893.25</v>
      </c>
      <c r="J284" s="4">
        <v>40524.959999999999</v>
      </c>
      <c r="K284" s="4">
        <v>114349.69</v>
      </c>
      <c r="L284" s="4">
        <v>112635.7</v>
      </c>
      <c r="M284" s="4"/>
      <c r="N284" s="4">
        <v>246181.25</v>
      </c>
      <c r="O284" s="4"/>
      <c r="P284" s="4">
        <v>151970.34</v>
      </c>
      <c r="Q284" s="4">
        <v>27862.6</v>
      </c>
      <c r="R284" s="4"/>
      <c r="S284" s="4"/>
      <c r="T284" s="4">
        <v>17828.349999999999</v>
      </c>
      <c r="U284" s="4"/>
      <c r="V284" s="4">
        <v>183188.96</v>
      </c>
      <c r="W284" s="4">
        <v>58628.91</v>
      </c>
      <c r="X284" s="4">
        <v>175681.05</v>
      </c>
      <c r="Y284" s="4">
        <v>88117.49</v>
      </c>
      <c r="Z284" s="4">
        <v>29335.24</v>
      </c>
      <c r="AA284" s="4">
        <v>353701.77</v>
      </c>
      <c r="AB284" s="4">
        <f t="shared" si="38"/>
        <v>2341342.0700000003</v>
      </c>
    </row>
    <row r="285" spans="1:28" x14ac:dyDescent="0.2">
      <c r="A285" s="3">
        <v>38599</v>
      </c>
      <c r="B285" s="4">
        <v>500233.71</v>
      </c>
      <c r="C285" s="4">
        <v>89078.18</v>
      </c>
      <c r="D285" s="4">
        <v>38162.69</v>
      </c>
      <c r="E285" s="4">
        <v>106676</v>
      </c>
      <c r="F285" s="4">
        <v>111623.53</v>
      </c>
      <c r="G285" s="4">
        <v>17305.09</v>
      </c>
      <c r="H285" s="4">
        <v>59539.46</v>
      </c>
      <c r="I285" s="4">
        <v>36263.949999999997</v>
      </c>
      <c r="J285" s="4">
        <v>47216.9</v>
      </c>
      <c r="K285" s="4">
        <v>144860.10999999999</v>
      </c>
      <c r="L285" s="4">
        <v>141018.96</v>
      </c>
      <c r="M285" s="4"/>
      <c r="N285" s="4">
        <v>455786.4</v>
      </c>
      <c r="O285" s="4"/>
      <c r="P285" s="4">
        <v>168396.93</v>
      </c>
      <c r="Q285" s="4">
        <v>53436.97</v>
      </c>
      <c r="R285" s="4"/>
      <c r="S285" s="4"/>
      <c r="T285" s="4">
        <v>31631.16</v>
      </c>
      <c r="U285" s="4"/>
      <c r="V285" s="4">
        <v>218090.62</v>
      </c>
      <c r="W285" s="4">
        <v>36996.370000000003</v>
      </c>
      <c r="X285" s="4">
        <v>187035.05</v>
      </c>
      <c r="Y285" s="4">
        <v>86721.77</v>
      </c>
      <c r="Z285" s="4">
        <v>30703.759999999998</v>
      </c>
      <c r="AA285" s="4">
        <v>835069.9</v>
      </c>
      <c r="AB285" s="4">
        <f t="shared" si="38"/>
        <v>3395847.5099999993</v>
      </c>
    </row>
    <row r="286" spans="1:28" x14ac:dyDescent="0.2">
      <c r="A286" s="3">
        <v>38629</v>
      </c>
      <c r="B286" s="4">
        <v>344299.52000000002</v>
      </c>
      <c r="C286" s="4">
        <v>57340.27</v>
      </c>
      <c r="D286" s="4">
        <v>37241.74</v>
      </c>
      <c r="E286" s="4">
        <v>93123.87</v>
      </c>
      <c r="F286" s="4">
        <v>49533.89</v>
      </c>
      <c r="G286" s="4">
        <v>37313.040000000001</v>
      </c>
      <c r="H286" s="4">
        <v>25909.31</v>
      </c>
      <c r="I286" s="4">
        <v>40046.339999999997</v>
      </c>
      <c r="J286" s="4">
        <v>40135.019999999997</v>
      </c>
      <c r="K286" s="4">
        <v>129256.66</v>
      </c>
      <c r="L286" s="4">
        <v>144770.71</v>
      </c>
      <c r="M286" s="4"/>
      <c r="N286" s="4">
        <v>260132.98</v>
      </c>
      <c r="O286" s="4"/>
      <c r="P286" s="4">
        <v>156537.91</v>
      </c>
      <c r="Q286" s="4">
        <v>30655.19</v>
      </c>
      <c r="R286" s="4"/>
      <c r="S286" s="4"/>
      <c r="T286" s="4">
        <v>19440.3</v>
      </c>
      <c r="U286" s="4"/>
      <c r="V286" s="4">
        <v>176845.96</v>
      </c>
      <c r="W286" s="4">
        <v>51294.14</v>
      </c>
      <c r="X286" s="4">
        <v>175494.55</v>
      </c>
      <c r="Y286" s="4">
        <v>82540.17</v>
      </c>
      <c r="Z286" s="4">
        <v>29589.49</v>
      </c>
      <c r="AA286" s="4">
        <v>319573</v>
      </c>
      <c r="AB286" s="4">
        <f t="shared" si="38"/>
        <v>2301074.0599999996</v>
      </c>
    </row>
    <row r="287" spans="1:28" x14ac:dyDescent="0.2">
      <c r="A287" s="3">
        <v>38660</v>
      </c>
      <c r="B287" s="4">
        <v>359165.23</v>
      </c>
      <c r="C287" s="4">
        <v>59264.42</v>
      </c>
      <c r="D287" s="4">
        <v>38325.79</v>
      </c>
      <c r="E287" s="4">
        <v>96065.11</v>
      </c>
      <c r="F287" s="4">
        <v>51583.93</v>
      </c>
      <c r="G287" s="4">
        <v>38843.730000000003</v>
      </c>
      <c r="H287" s="4">
        <v>26927.26</v>
      </c>
      <c r="I287" s="4">
        <v>40672.74</v>
      </c>
      <c r="J287" s="4">
        <v>41261.5</v>
      </c>
      <c r="K287" s="4">
        <v>133427.03</v>
      </c>
      <c r="L287" s="4">
        <v>108319.66</v>
      </c>
      <c r="M287" s="4"/>
      <c r="N287" s="4">
        <v>269832.61</v>
      </c>
      <c r="O287" s="4"/>
      <c r="P287" s="4">
        <v>160176.57</v>
      </c>
      <c r="Q287" s="4">
        <v>31479.33</v>
      </c>
      <c r="R287" s="4"/>
      <c r="S287" s="4"/>
      <c r="T287" s="4">
        <v>20093.080000000002</v>
      </c>
      <c r="U287" s="4"/>
      <c r="V287" s="4">
        <v>182517.78</v>
      </c>
      <c r="W287" s="4">
        <v>52959.35</v>
      </c>
      <c r="X287" s="4">
        <v>178985.59</v>
      </c>
      <c r="Y287" s="4">
        <v>85030.65</v>
      </c>
      <c r="Z287" s="4">
        <v>30411.46</v>
      </c>
      <c r="AA287" s="4">
        <v>330742.78000000003</v>
      </c>
      <c r="AB287" s="4">
        <f t="shared" si="38"/>
        <v>2336085.6000000006</v>
      </c>
    </row>
    <row r="288" spans="1:28" x14ac:dyDescent="0.2">
      <c r="A288" s="3">
        <v>38690</v>
      </c>
      <c r="B288" s="4">
        <v>585653.1</v>
      </c>
      <c r="C288" s="4">
        <v>95586.6</v>
      </c>
      <c r="D288" s="4">
        <v>66783.41</v>
      </c>
      <c r="E288" s="4">
        <v>166334.64000000001</v>
      </c>
      <c r="F288" s="4">
        <v>80416.800000000003</v>
      </c>
      <c r="G288" s="4">
        <v>57221.29</v>
      </c>
      <c r="H288" s="4">
        <v>52761.06</v>
      </c>
      <c r="I288" s="4">
        <v>76571.990000000005</v>
      </c>
      <c r="J288" s="4">
        <v>94750.78</v>
      </c>
      <c r="K288" s="4">
        <v>240237.02</v>
      </c>
      <c r="L288" s="4">
        <v>237679.15</v>
      </c>
      <c r="M288" s="4"/>
      <c r="N288" s="4">
        <v>394743.46</v>
      </c>
      <c r="O288" s="4"/>
      <c r="P288" s="4">
        <v>277351.32</v>
      </c>
      <c r="Q288" s="4">
        <v>53694.080000000002</v>
      </c>
      <c r="R288" s="4"/>
      <c r="S288" s="4"/>
      <c r="T288" s="4">
        <v>39505.370000000003</v>
      </c>
      <c r="U288" s="4"/>
      <c r="V288" s="4">
        <v>305409.96999999997</v>
      </c>
      <c r="W288" s="4">
        <v>132461.98000000001</v>
      </c>
      <c r="X288" s="4">
        <v>350881.73</v>
      </c>
      <c r="Y288" s="4">
        <v>155347.74</v>
      </c>
      <c r="Z288" s="4">
        <v>51366.49</v>
      </c>
      <c r="AA288" s="4">
        <v>456416.99</v>
      </c>
      <c r="AB288" s="4">
        <f t="shared" si="38"/>
        <v>3971174.9700000007</v>
      </c>
    </row>
    <row r="289" spans="1:28" ht="15.75" thickBot="1" x14ac:dyDescent="0.25">
      <c r="A289" s="3" t="s">
        <v>147</v>
      </c>
      <c r="B289" s="5">
        <f t="shared" ref="B289:AB289" si="39">SUM(B277:B288)</f>
        <v>5854512.9700000007</v>
      </c>
      <c r="C289" s="5">
        <f t="shared" si="39"/>
        <v>1067191.0100000002</v>
      </c>
      <c r="D289" s="5">
        <f t="shared" si="39"/>
        <v>611368.21</v>
      </c>
      <c r="E289" s="5">
        <f t="shared" si="39"/>
        <v>1441016.5499999998</v>
      </c>
      <c r="F289" s="5">
        <f t="shared" si="39"/>
        <v>916462.13000000012</v>
      </c>
      <c r="G289" s="5">
        <f t="shared" si="39"/>
        <v>553763.19000000006</v>
      </c>
      <c r="H289" s="5">
        <f t="shared" si="39"/>
        <v>552311.04000000004</v>
      </c>
      <c r="I289" s="5">
        <f t="shared" si="39"/>
        <v>628896.46</v>
      </c>
      <c r="J289" s="5">
        <f t="shared" si="39"/>
        <v>730590.68</v>
      </c>
      <c r="K289" s="5">
        <f t="shared" si="39"/>
        <v>2041469.44</v>
      </c>
      <c r="L289" s="5">
        <f t="shared" si="39"/>
        <v>1801816.7899999998</v>
      </c>
      <c r="M289" s="5"/>
      <c r="N289" s="5">
        <f t="shared" si="39"/>
        <v>3756928.5699999994</v>
      </c>
      <c r="O289" s="5"/>
      <c r="P289" s="5">
        <f t="shared" si="39"/>
        <v>2629952.5899999994</v>
      </c>
      <c r="Q289" s="5">
        <f t="shared" si="39"/>
        <v>521246.73999999993</v>
      </c>
      <c r="R289" s="5"/>
      <c r="S289" s="5"/>
      <c r="T289" s="5">
        <f t="shared" si="39"/>
        <v>311957.19</v>
      </c>
      <c r="U289" s="5"/>
      <c r="V289" s="5">
        <f t="shared" si="39"/>
        <v>2942956.1599999992</v>
      </c>
      <c r="W289" s="5">
        <f t="shared" si="39"/>
        <v>914500.69</v>
      </c>
      <c r="X289" s="5">
        <f t="shared" si="39"/>
        <v>2940779.6399999997</v>
      </c>
      <c r="Y289" s="5">
        <f t="shared" si="39"/>
        <v>1389185.2099999997</v>
      </c>
      <c r="Z289" s="5">
        <f t="shared" si="39"/>
        <v>481743.95999999996</v>
      </c>
      <c r="AA289" s="5">
        <f t="shared" si="39"/>
        <v>5073237.53</v>
      </c>
      <c r="AB289" s="5">
        <f t="shared" si="39"/>
        <v>37161886.75</v>
      </c>
    </row>
    <row r="290" spans="1:28" ht="15.75" thickTop="1" x14ac:dyDescent="0.2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x14ac:dyDescent="0.2">
      <c r="A291" s="3">
        <v>37990</v>
      </c>
      <c r="B291" s="4">
        <v>608092.35</v>
      </c>
      <c r="C291" s="4">
        <v>89422.36</v>
      </c>
      <c r="D291" s="4">
        <v>57860.83</v>
      </c>
      <c r="E291" s="4">
        <v>101081.68</v>
      </c>
      <c r="F291" s="4">
        <v>70896.600000000006</v>
      </c>
      <c r="G291" s="4">
        <v>49353.03</v>
      </c>
      <c r="H291" s="4">
        <v>46863.92</v>
      </c>
      <c r="I291" s="4">
        <v>60811.87</v>
      </c>
      <c r="J291" s="4">
        <v>55723.35</v>
      </c>
      <c r="K291" s="4">
        <v>139161.42000000001</v>
      </c>
      <c r="L291" s="4">
        <v>155633.85999999999</v>
      </c>
      <c r="M291" s="4"/>
      <c r="N291" s="4">
        <v>300113.02</v>
      </c>
      <c r="O291" s="4"/>
      <c r="P291" s="4">
        <v>240651.48</v>
      </c>
      <c r="Q291" s="4">
        <v>43661.75</v>
      </c>
      <c r="R291" s="4"/>
      <c r="S291" s="4"/>
      <c r="T291" s="4"/>
      <c r="U291" s="4"/>
      <c r="V291" s="4">
        <v>269751.75</v>
      </c>
      <c r="W291" s="4">
        <v>53725.99</v>
      </c>
      <c r="X291" s="4">
        <v>277041.75</v>
      </c>
      <c r="Y291" s="4">
        <v>125280.14</v>
      </c>
      <c r="Z291" s="4">
        <v>41231.269999999997</v>
      </c>
      <c r="AA291" s="4">
        <v>362474.3</v>
      </c>
      <c r="AB291" s="4">
        <f>SUM(B291:AA291)</f>
        <v>3148832.72</v>
      </c>
    </row>
    <row r="292" spans="1:28" x14ac:dyDescent="0.2">
      <c r="A292" s="3">
        <v>38021</v>
      </c>
      <c r="B292" s="4">
        <v>501052.21</v>
      </c>
      <c r="C292" s="4">
        <v>73357.710000000006</v>
      </c>
      <c r="D292" s="4">
        <v>47692.28</v>
      </c>
      <c r="E292" s="4">
        <v>83363.12</v>
      </c>
      <c r="F292" s="4">
        <v>58422.96</v>
      </c>
      <c r="G292" s="4">
        <v>44542.27</v>
      </c>
      <c r="H292" s="4">
        <v>38614.17</v>
      </c>
      <c r="I292" s="4">
        <v>50052.61</v>
      </c>
      <c r="J292" s="4">
        <v>54896.3</v>
      </c>
      <c r="K292" s="4">
        <v>114736.17</v>
      </c>
      <c r="L292" s="4">
        <v>128896.42</v>
      </c>
      <c r="M292" s="4"/>
      <c r="N292" s="4">
        <v>247352.95999999999</v>
      </c>
      <c r="O292" s="4"/>
      <c r="P292" s="4">
        <v>197853.38</v>
      </c>
      <c r="Q292" s="4">
        <v>35545.85</v>
      </c>
      <c r="R292" s="4"/>
      <c r="S292" s="4"/>
      <c r="T292" s="4"/>
      <c r="U292" s="4"/>
      <c r="V292" s="4">
        <v>221578.18</v>
      </c>
      <c r="W292" s="4">
        <v>120395.49</v>
      </c>
      <c r="X292" s="4">
        <v>232889.98</v>
      </c>
      <c r="Y292" s="4">
        <v>103191.34</v>
      </c>
      <c r="Z292" s="4">
        <v>33979.07</v>
      </c>
      <c r="AA292" s="4">
        <v>298650.96000000002</v>
      </c>
      <c r="AB292" s="4">
        <f t="shared" ref="AB292:AB302" si="40">SUM(B292:AA292)</f>
        <v>2687063.4299999997</v>
      </c>
    </row>
    <row r="293" spans="1:28" x14ac:dyDescent="0.2">
      <c r="A293" s="3">
        <v>38050</v>
      </c>
      <c r="B293" s="4">
        <v>388211.74</v>
      </c>
      <c r="C293" s="4">
        <v>82583.509999999995</v>
      </c>
      <c r="D293" s="4">
        <v>87876.79</v>
      </c>
      <c r="E293" s="4">
        <v>137562.12</v>
      </c>
      <c r="F293" s="4">
        <v>107079.52</v>
      </c>
      <c r="G293" s="4">
        <v>47448.480000000003</v>
      </c>
      <c r="H293" s="4">
        <v>34014.25</v>
      </c>
      <c r="I293" s="4">
        <v>65250.400000000001</v>
      </c>
      <c r="J293" s="4">
        <v>73205.52</v>
      </c>
      <c r="K293" s="4">
        <v>187315.35</v>
      </c>
      <c r="L293" s="4">
        <v>178440.75</v>
      </c>
      <c r="M293" s="4"/>
      <c r="N293" s="4">
        <v>410888.64</v>
      </c>
      <c r="O293" s="4"/>
      <c r="P293" s="4">
        <v>318082.92</v>
      </c>
      <c r="Q293" s="4">
        <v>60226.46</v>
      </c>
      <c r="R293" s="4"/>
      <c r="S293" s="4"/>
      <c r="T293" s="4"/>
      <c r="U293" s="4"/>
      <c r="V293" s="4">
        <v>374788.61</v>
      </c>
      <c r="W293" s="4">
        <v>23748.42</v>
      </c>
      <c r="X293" s="4">
        <v>331433.76</v>
      </c>
      <c r="Y293" s="4">
        <v>183202.83</v>
      </c>
      <c r="Z293" s="4">
        <v>59121.64</v>
      </c>
      <c r="AA293" s="4">
        <v>377246.61</v>
      </c>
      <c r="AB293" s="4">
        <f t="shared" si="40"/>
        <v>3527728.3200000003</v>
      </c>
    </row>
    <row r="294" spans="1:28" x14ac:dyDescent="0.2">
      <c r="A294" s="3">
        <v>38081</v>
      </c>
      <c r="B294" s="4">
        <v>463744.12</v>
      </c>
      <c r="C294" s="4">
        <v>76143.570000000007</v>
      </c>
      <c r="D294" s="4">
        <v>47587.7</v>
      </c>
      <c r="E294" s="4">
        <v>86226.71</v>
      </c>
      <c r="F294" s="4">
        <v>57567.65</v>
      </c>
      <c r="G294" s="4">
        <v>48919.87</v>
      </c>
      <c r="H294" s="4">
        <v>32007.32</v>
      </c>
      <c r="I294" s="4">
        <v>50164.54</v>
      </c>
      <c r="J294" s="4">
        <v>53363.62</v>
      </c>
      <c r="K294" s="4">
        <v>123769.75</v>
      </c>
      <c r="L294" s="4">
        <v>124663.95</v>
      </c>
      <c r="M294" s="4"/>
      <c r="N294" s="4">
        <v>235127.88</v>
      </c>
      <c r="O294" s="4"/>
      <c r="P294" s="4">
        <v>218086.95</v>
      </c>
      <c r="Q294" s="4">
        <v>36338.47</v>
      </c>
      <c r="R294" s="4"/>
      <c r="S294" s="4"/>
      <c r="T294" s="4"/>
      <c r="U294" s="4"/>
      <c r="V294" s="4">
        <v>229094.22</v>
      </c>
      <c r="W294" s="4">
        <v>75101.64</v>
      </c>
      <c r="X294" s="4">
        <v>243616.36</v>
      </c>
      <c r="Y294" s="4">
        <v>110009.87</v>
      </c>
      <c r="Z294" s="4">
        <v>34488.730000000003</v>
      </c>
      <c r="AA294" s="4">
        <v>303875.52</v>
      </c>
      <c r="AB294" s="4">
        <f t="shared" si="40"/>
        <v>2649898.4399999995</v>
      </c>
    </row>
    <row r="295" spans="1:28" x14ac:dyDescent="0.2">
      <c r="A295" s="3">
        <v>38111</v>
      </c>
      <c r="B295" s="4">
        <v>514965.8</v>
      </c>
      <c r="C295" s="4">
        <v>78446.75</v>
      </c>
      <c r="D295" s="4">
        <v>53834.27</v>
      </c>
      <c r="E295" s="4">
        <v>91770.11</v>
      </c>
      <c r="F295" s="4">
        <v>60919.94</v>
      </c>
      <c r="G295" s="4">
        <v>51987.31</v>
      </c>
      <c r="H295" s="4">
        <v>32599.49</v>
      </c>
      <c r="I295" s="4">
        <v>51876.85</v>
      </c>
      <c r="J295" s="4">
        <v>54924.65</v>
      </c>
      <c r="K295" s="4">
        <v>127997.22</v>
      </c>
      <c r="L295" s="4">
        <v>128578.96</v>
      </c>
      <c r="M295" s="4"/>
      <c r="N295" s="4">
        <v>240409.13</v>
      </c>
      <c r="O295" s="4"/>
      <c r="P295" s="4">
        <v>225181.05</v>
      </c>
      <c r="Q295" s="4">
        <v>37029.35</v>
      </c>
      <c r="R295" s="4"/>
      <c r="S295" s="4"/>
      <c r="T295" s="4"/>
      <c r="U295" s="4"/>
      <c r="V295" s="4">
        <v>236838.3</v>
      </c>
      <c r="W295" s="4">
        <v>99139.32</v>
      </c>
      <c r="X295" s="4">
        <v>250397.65</v>
      </c>
      <c r="Y295" s="4">
        <v>109102.57</v>
      </c>
      <c r="Z295" s="4">
        <v>37637.67</v>
      </c>
      <c r="AA295" s="4">
        <v>305671.37</v>
      </c>
      <c r="AB295" s="4">
        <f t="shared" si="40"/>
        <v>2789307.7600000002</v>
      </c>
    </row>
    <row r="296" spans="1:28" x14ac:dyDescent="0.2">
      <c r="A296" s="3">
        <v>38142</v>
      </c>
      <c r="B296" s="4">
        <v>374482.58</v>
      </c>
      <c r="C296" s="4">
        <v>81911.78</v>
      </c>
      <c r="D296" s="4">
        <v>45467.34</v>
      </c>
      <c r="E296" s="4">
        <v>224954.2</v>
      </c>
      <c r="F296" s="4">
        <v>66002.98</v>
      </c>
      <c r="G296" s="4">
        <v>43623.68</v>
      </c>
      <c r="H296" s="4">
        <v>48925.09</v>
      </c>
      <c r="I296" s="4">
        <v>38126.6</v>
      </c>
      <c r="J296" s="4">
        <v>42800.91</v>
      </c>
      <c r="K296" s="4">
        <v>300499.19</v>
      </c>
      <c r="L296" s="4">
        <v>145987.76999999999</v>
      </c>
      <c r="M296" s="4"/>
      <c r="N296" s="4">
        <v>238185.32</v>
      </c>
      <c r="O296" s="4"/>
      <c r="P296" s="4">
        <v>192533.7</v>
      </c>
      <c r="Q296" s="4">
        <v>43639.61</v>
      </c>
      <c r="R296" s="4"/>
      <c r="S296" s="4"/>
      <c r="T296" s="4">
        <v>10118.719999999999</v>
      </c>
      <c r="U296" s="4"/>
      <c r="V296" s="4">
        <v>216099.77</v>
      </c>
      <c r="W296" s="4">
        <v>33982.42</v>
      </c>
      <c r="X296" s="4">
        <v>166707.16</v>
      </c>
      <c r="Y296" s="4">
        <v>111103.69</v>
      </c>
      <c r="Z296" s="4">
        <v>45156.19</v>
      </c>
      <c r="AA296" s="4">
        <v>351480.42</v>
      </c>
      <c r="AB296" s="4">
        <f t="shared" si="40"/>
        <v>2821789.1199999996</v>
      </c>
    </row>
    <row r="297" spans="1:28" x14ac:dyDescent="0.2">
      <c r="A297" s="3">
        <v>38172</v>
      </c>
      <c r="B297" s="4">
        <v>380750.56</v>
      </c>
      <c r="C297" s="4">
        <v>59419.48</v>
      </c>
      <c r="D297" s="4">
        <v>40444.839999999997</v>
      </c>
      <c r="E297" s="4">
        <v>94574.1</v>
      </c>
      <c r="F297" s="4">
        <v>47192.11</v>
      </c>
      <c r="G297" s="4">
        <v>33742.22</v>
      </c>
      <c r="H297" s="4">
        <v>21452.75</v>
      </c>
      <c r="I297" s="4">
        <v>42555.03</v>
      </c>
      <c r="J297" s="4">
        <v>43405.72</v>
      </c>
      <c r="K297" s="4">
        <v>111237.8</v>
      </c>
      <c r="L297" s="4">
        <v>114495.89</v>
      </c>
      <c r="M297" s="4"/>
      <c r="N297" s="4">
        <v>259484.26</v>
      </c>
      <c r="O297" s="4"/>
      <c r="P297" s="4">
        <v>169078.34</v>
      </c>
      <c r="Q297" s="4">
        <v>28022.25</v>
      </c>
      <c r="R297" s="4"/>
      <c r="S297" s="4"/>
      <c r="T297" s="4">
        <v>20386.11</v>
      </c>
      <c r="U297" s="4"/>
      <c r="V297" s="4">
        <v>187602.66</v>
      </c>
      <c r="W297" s="4">
        <v>52429.14</v>
      </c>
      <c r="X297" s="4">
        <v>177177.82</v>
      </c>
      <c r="Y297" s="4">
        <v>87397.82</v>
      </c>
      <c r="Z297" s="4">
        <v>29568.959999999999</v>
      </c>
      <c r="AA297" s="4">
        <v>346627.75</v>
      </c>
      <c r="AB297" s="4">
        <f t="shared" si="40"/>
        <v>2347045.6100000003</v>
      </c>
    </row>
    <row r="298" spans="1:28" x14ac:dyDescent="0.2">
      <c r="A298" s="3">
        <v>38203</v>
      </c>
      <c r="B298" s="4">
        <v>371571.72</v>
      </c>
      <c r="C298" s="4">
        <v>58042.12</v>
      </c>
      <c r="D298" s="4">
        <v>39649.410000000003</v>
      </c>
      <c r="E298" s="4">
        <v>94354.38</v>
      </c>
      <c r="F298" s="4">
        <v>46043.56</v>
      </c>
      <c r="G298" s="4">
        <v>32930.29</v>
      </c>
      <c r="H298" s="4">
        <v>20952.12</v>
      </c>
      <c r="I298" s="4">
        <v>41613.49</v>
      </c>
      <c r="J298" s="4">
        <v>42327.88</v>
      </c>
      <c r="K298" s="4">
        <v>110712.62</v>
      </c>
      <c r="L298" s="4">
        <v>112934.26</v>
      </c>
      <c r="M298" s="4"/>
      <c r="N298" s="4">
        <v>254800.31</v>
      </c>
      <c r="O298" s="4"/>
      <c r="P298" s="4">
        <v>165218.26999999999</v>
      </c>
      <c r="Q298" s="4">
        <v>27738.2</v>
      </c>
      <c r="R298" s="4"/>
      <c r="S298" s="4"/>
      <c r="T298" s="4">
        <v>20099.669999999998</v>
      </c>
      <c r="U298" s="4"/>
      <c r="V298" s="4">
        <v>183282.25</v>
      </c>
      <c r="W298" s="4">
        <v>67503.75</v>
      </c>
      <c r="X298" s="4">
        <v>173129.42</v>
      </c>
      <c r="Y298" s="4">
        <v>85253.85</v>
      </c>
      <c r="Z298" s="4">
        <v>28819.18</v>
      </c>
      <c r="AA298" s="4">
        <v>339405.39</v>
      </c>
      <c r="AB298" s="4">
        <f t="shared" si="40"/>
        <v>2316382.1399999997</v>
      </c>
    </row>
    <row r="299" spans="1:28" x14ac:dyDescent="0.2">
      <c r="A299" s="3">
        <v>38234</v>
      </c>
      <c r="B299" s="4">
        <v>336954.08</v>
      </c>
      <c r="C299" s="4">
        <v>55267.75</v>
      </c>
      <c r="D299" s="4">
        <v>34271.29</v>
      </c>
      <c r="E299" s="4">
        <v>130555.22</v>
      </c>
      <c r="F299" s="4">
        <v>24573.8</v>
      </c>
      <c r="G299" s="4">
        <v>37118.910000000003</v>
      </c>
      <c r="H299" s="4">
        <v>31036.17</v>
      </c>
      <c r="I299" s="4">
        <v>34181.14</v>
      </c>
      <c r="J299" s="4">
        <v>23609.41</v>
      </c>
      <c r="K299" s="4">
        <v>148883.09</v>
      </c>
      <c r="L299" s="4">
        <v>104910.93</v>
      </c>
      <c r="M299" s="4"/>
      <c r="N299" s="4">
        <v>191486.87</v>
      </c>
      <c r="O299" s="4"/>
      <c r="P299" s="4">
        <v>89477.37</v>
      </c>
      <c r="Q299" s="4">
        <v>28484.25</v>
      </c>
      <c r="R299" s="4"/>
      <c r="S299" s="4"/>
      <c r="T299" s="4">
        <v>9206.2800000000007</v>
      </c>
      <c r="U299" s="4"/>
      <c r="V299" s="4">
        <v>157742.68</v>
      </c>
      <c r="W299" s="4">
        <v>19292.87</v>
      </c>
      <c r="X299" s="4">
        <v>182564.02</v>
      </c>
      <c r="Y299" s="4">
        <v>79709.53</v>
      </c>
      <c r="Z299" s="4">
        <v>26166.959999999999</v>
      </c>
      <c r="AA299" s="4">
        <v>348352.32</v>
      </c>
      <c r="AB299" s="4">
        <f t="shared" si="40"/>
        <v>2093844.9400000004</v>
      </c>
    </row>
    <row r="300" spans="1:28" x14ac:dyDescent="0.2">
      <c r="A300" s="3">
        <v>38264</v>
      </c>
      <c r="B300" s="4">
        <v>378005.43</v>
      </c>
      <c r="C300" s="4">
        <v>57113.16</v>
      </c>
      <c r="D300" s="4">
        <v>37587.19</v>
      </c>
      <c r="E300" s="4">
        <v>94673.33</v>
      </c>
      <c r="F300" s="4">
        <v>49679.27</v>
      </c>
      <c r="G300" s="4">
        <v>36086.639999999999</v>
      </c>
      <c r="H300" s="4">
        <v>23613.09</v>
      </c>
      <c r="I300" s="4">
        <v>40401.199999999997</v>
      </c>
      <c r="J300" s="4">
        <v>40537.4</v>
      </c>
      <c r="K300" s="4">
        <v>131208.98000000001</v>
      </c>
      <c r="L300" s="4">
        <v>107445.64</v>
      </c>
      <c r="M300" s="4"/>
      <c r="N300" s="4">
        <v>255669.12</v>
      </c>
      <c r="O300" s="4"/>
      <c r="P300" s="4">
        <v>165084.97</v>
      </c>
      <c r="Q300" s="4">
        <v>30792.84</v>
      </c>
      <c r="R300" s="4"/>
      <c r="S300" s="4"/>
      <c r="T300" s="4">
        <v>19826.939999999999</v>
      </c>
      <c r="U300" s="4"/>
      <c r="V300" s="4">
        <v>196563.98</v>
      </c>
      <c r="W300" s="4">
        <v>52382.11</v>
      </c>
      <c r="X300" s="4">
        <v>178158.39</v>
      </c>
      <c r="Y300" s="4">
        <v>88809.16</v>
      </c>
      <c r="Z300" s="4">
        <v>29994.639999999999</v>
      </c>
      <c r="AA300" s="4">
        <v>310371.27</v>
      </c>
      <c r="AB300" s="4">
        <f t="shared" si="40"/>
        <v>2324004.75</v>
      </c>
    </row>
    <row r="301" spans="1:28" x14ac:dyDescent="0.2">
      <c r="A301" s="3">
        <v>38295</v>
      </c>
      <c r="B301" s="4">
        <v>380970.95</v>
      </c>
      <c r="C301" s="4">
        <v>57689.26</v>
      </c>
      <c r="D301" s="4">
        <v>37991.93</v>
      </c>
      <c r="E301" s="4">
        <v>95671.48</v>
      </c>
      <c r="F301" s="4">
        <v>50533.03</v>
      </c>
      <c r="G301" s="4">
        <v>36643.79</v>
      </c>
      <c r="H301" s="4">
        <v>23881.74</v>
      </c>
      <c r="I301" s="4">
        <v>40873.949999999997</v>
      </c>
      <c r="J301" s="4">
        <v>40970.97</v>
      </c>
      <c r="K301" s="4">
        <v>132613.4</v>
      </c>
      <c r="L301" s="4">
        <v>108452.22</v>
      </c>
      <c r="M301" s="4"/>
      <c r="N301" s="4">
        <v>258507.98</v>
      </c>
      <c r="O301" s="4"/>
      <c r="P301" s="4">
        <v>166767.38</v>
      </c>
      <c r="Q301" s="4">
        <v>31115.15</v>
      </c>
      <c r="R301" s="4"/>
      <c r="S301" s="4"/>
      <c r="T301" s="4">
        <v>20044.88</v>
      </c>
      <c r="U301" s="4"/>
      <c r="V301" s="4">
        <v>197841.14</v>
      </c>
      <c r="W301" s="4">
        <v>52902.95</v>
      </c>
      <c r="X301" s="4">
        <v>177672.49</v>
      </c>
      <c r="Y301" s="4">
        <v>89795.14</v>
      </c>
      <c r="Z301" s="4">
        <v>30736.94</v>
      </c>
      <c r="AA301" s="4">
        <v>316909.68</v>
      </c>
      <c r="AB301" s="4">
        <f t="shared" si="40"/>
        <v>2348586.4499999997</v>
      </c>
    </row>
    <row r="302" spans="1:28" x14ac:dyDescent="0.2">
      <c r="A302" s="3">
        <v>38325</v>
      </c>
      <c r="B302" s="4">
        <v>410435.71</v>
      </c>
      <c r="C302" s="4">
        <v>72616.490000000005</v>
      </c>
      <c r="D302" s="4">
        <v>51080.11</v>
      </c>
      <c r="E302" s="4">
        <v>127477.5</v>
      </c>
      <c r="F302" s="4">
        <v>66557.48</v>
      </c>
      <c r="G302" s="4">
        <v>49471.6</v>
      </c>
      <c r="H302" s="4">
        <v>43833.01</v>
      </c>
      <c r="I302" s="4">
        <v>58019.53</v>
      </c>
      <c r="J302" s="4">
        <v>76478.960000000006</v>
      </c>
      <c r="K302" s="4">
        <v>186590.42</v>
      </c>
      <c r="L302" s="4">
        <v>174093.35</v>
      </c>
      <c r="M302" s="4"/>
      <c r="N302" s="4">
        <v>288093.71000000002</v>
      </c>
      <c r="O302" s="4"/>
      <c r="P302" s="4">
        <v>189378.92</v>
      </c>
      <c r="Q302" s="4">
        <v>39157.65</v>
      </c>
      <c r="R302" s="4"/>
      <c r="S302" s="4"/>
      <c r="T302" s="4">
        <v>25057.69</v>
      </c>
      <c r="U302" s="4"/>
      <c r="V302" s="4">
        <v>190324.21</v>
      </c>
      <c r="W302" s="4">
        <v>111205.82</v>
      </c>
      <c r="X302" s="4">
        <v>287912.96999999997</v>
      </c>
      <c r="Y302" s="4">
        <v>101331.82</v>
      </c>
      <c r="Z302" s="4">
        <v>70173.149999999994</v>
      </c>
      <c r="AA302" s="4">
        <v>352701.45</v>
      </c>
      <c r="AB302" s="4">
        <f t="shared" si="40"/>
        <v>2971991.55</v>
      </c>
    </row>
    <row r="303" spans="1:28" ht="15.75" thickBot="1" x14ac:dyDescent="0.25">
      <c r="A303" s="3" t="s">
        <v>145</v>
      </c>
      <c r="B303" s="5">
        <f>SUM(B291:B302)</f>
        <v>5109237.25</v>
      </c>
      <c r="C303" s="5">
        <f t="shared" ref="C303:AB303" si="41">SUM(C291:C302)</f>
        <v>842013.94000000006</v>
      </c>
      <c r="D303" s="5">
        <f t="shared" si="41"/>
        <v>581343.98</v>
      </c>
      <c r="E303" s="5">
        <f t="shared" si="41"/>
        <v>1362263.95</v>
      </c>
      <c r="F303" s="5">
        <f t="shared" si="41"/>
        <v>705468.9</v>
      </c>
      <c r="G303" s="5">
        <f t="shared" si="41"/>
        <v>511868.08999999991</v>
      </c>
      <c r="H303" s="5">
        <f t="shared" si="41"/>
        <v>397793.12</v>
      </c>
      <c r="I303" s="5">
        <f t="shared" si="41"/>
        <v>573927.21000000008</v>
      </c>
      <c r="J303" s="5">
        <f t="shared" si="41"/>
        <v>602244.68999999994</v>
      </c>
      <c r="K303" s="5">
        <f t="shared" si="41"/>
        <v>1814725.41</v>
      </c>
      <c r="L303" s="5">
        <f t="shared" si="41"/>
        <v>1584533.9999999998</v>
      </c>
      <c r="M303" s="5"/>
      <c r="N303" s="5">
        <f t="shared" si="41"/>
        <v>3180119.2</v>
      </c>
      <c r="O303" s="5"/>
      <c r="P303" s="5">
        <f t="shared" si="41"/>
        <v>2337394.73</v>
      </c>
      <c r="Q303" s="5">
        <f t="shared" si="41"/>
        <v>441751.83000000007</v>
      </c>
      <c r="R303" s="5"/>
      <c r="S303" s="5"/>
      <c r="T303" s="5">
        <f t="shared" si="41"/>
        <v>124740.29000000001</v>
      </c>
      <c r="U303" s="5"/>
      <c r="V303" s="5">
        <f t="shared" si="41"/>
        <v>2661507.75</v>
      </c>
      <c r="W303" s="5">
        <f t="shared" si="41"/>
        <v>761809.91999999993</v>
      </c>
      <c r="X303" s="5">
        <f t="shared" si="41"/>
        <v>2678701.7699999996</v>
      </c>
      <c r="Y303" s="5">
        <f t="shared" si="41"/>
        <v>1274187.76</v>
      </c>
      <c r="Z303" s="5">
        <f t="shared" si="41"/>
        <v>467074.4</v>
      </c>
      <c r="AA303" s="5">
        <f t="shared" si="41"/>
        <v>4013767.0400000005</v>
      </c>
      <c r="AB303" s="5">
        <f t="shared" si="41"/>
        <v>32026475.23</v>
      </c>
    </row>
    <row r="304" spans="1:28" ht="15.75" thickTop="1" x14ac:dyDescent="0.2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x14ac:dyDescent="0.2">
      <c r="A305" s="3">
        <v>37622</v>
      </c>
      <c r="B305" s="4">
        <v>506964.42</v>
      </c>
      <c r="C305" s="4">
        <v>85479.34</v>
      </c>
      <c r="D305" s="4">
        <v>55490.83</v>
      </c>
      <c r="E305" s="4">
        <v>96898.48</v>
      </c>
      <c r="F305" s="4">
        <v>66345.960000000006</v>
      </c>
      <c r="G305" s="4">
        <v>51187.1</v>
      </c>
      <c r="H305" s="4">
        <v>46257.88</v>
      </c>
      <c r="I305" s="4">
        <v>63550.14</v>
      </c>
      <c r="J305" s="4">
        <v>64234.16</v>
      </c>
      <c r="K305" s="4">
        <v>133260</v>
      </c>
      <c r="L305" s="4">
        <v>153437.24</v>
      </c>
      <c r="M305" s="4"/>
      <c r="N305" s="4">
        <v>288155.73</v>
      </c>
      <c r="O305" s="4"/>
      <c r="P305" s="4">
        <v>563765.26</v>
      </c>
      <c r="Q305" s="4">
        <v>41308.69</v>
      </c>
      <c r="R305" s="4"/>
      <c r="S305" s="4"/>
      <c r="T305" s="4"/>
      <c r="U305" s="4"/>
      <c r="V305" s="4">
        <v>258790.27</v>
      </c>
      <c r="W305" s="4"/>
      <c r="X305" s="4">
        <v>271231.34999999998</v>
      </c>
      <c r="Y305" s="4">
        <v>119929.09</v>
      </c>
      <c r="Z305" s="4">
        <v>39537.160000000003</v>
      </c>
      <c r="AA305" s="4">
        <v>353353.83</v>
      </c>
      <c r="AB305" s="4">
        <f t="shared" ref="AB305:AB317" si="42">SUM(B305:AA305)</f>
        <v>3259176.93</v>
      </c>
    </row>
    <row r="306" spans="1:28" x14ac:dyDescent="0.2">
      <c r="A306" s="3">
        <v>37653</v>
      </c>
      <c r="B306" s="4">
        <v>414829.58</v>
      </c>
      <c r="C306" s="4">
        <v>70142.78</v>
      </c>
      <c r="D306" s="4">
        <v>45847.55</v>
      </c>
      <c r="E306" s="4">
        <v>79503.839999999997</v>
      </c>
      <c r="F306" s="4">
        <v>54461.25</v>
      </c>
      <c r="G306" s="4">
        <v>41940.35</v>
      </c>
      <c r="H306" s="4">
        <v>38669.57</v>
      </c>
      <c r="I306" s="4">
        <v>52232.1</v>
      </c>
      <c r="J306" s="4">
        <v>52424.53</v>
      </c>
      <c r="K306" s="4">
        <v>109460.16</v>
      </c>
      <c r="L306" s="4">
        <v>125742.99</v>
      </c>
      <c r="M306" s="4"/>
      <c r="N306" s="4">
        <v>236650.06</v>
      </c>
      <c r="O306" s="4"/>
      <c r="P306" s="4">
        <v>185918.46</v>
      </c>
      <c r="Q306" s="4">
        <v>33891.919999999998</v>
      </c>
      <c r="R306" s="4"/>
      <c r="S306" s="4"/>
      <c r="T306" s="4"/>
      <c r="U306" s="4"/>
      <c r="V306" s="4">
        <v>211810.85</v>
      </c>
      <c r="W306" s="4"/>
      <c r="X306" s="4">
        <v>224439.08</v>
      </c>
      <c r="Y306" s="4">
        <v>98598.23</v>
      </c>
      <c r="Z306" s="4">
        <v>32500.87</v>
      </c>
      <c r="AA306" s="4">
        <v>289064.67</v>
      </c>
      <c r="AB306" s="4">
        <f t="shared" si="42"/>
        <v>2398128.84</v>
      </c>
    </row>
    <row r="307" spans="1:28" x14ac:dyDescent="0.2">
      <c r="A307" s="3">
        <v>37681</v>
      </c>
      <c r="B307" s="4">
        <v>580522.22</v>
      </c>
      <c r="C307" s="4">
        <v>90104.320000000007</v>
      </c>
      <c r="D307" s="4">
        <v>61177.17</v>
      </c>
      <c r="E307" s="4">
        <v>115105.78</v>
      </c>
      <c r="F307" s="4">
        <v>91085.91</v>
      </c>
      <c r="G307" s="4">
        <v>74134.460000000006</v>
      </c>
      <c r="H307" s="4">
        <v>6621.38</v>
      </c>
      <c r="I307" s="4">
        <v>51551.360000000001</v>
      </c>
      <c r="J307" s="4">
        <v>98455.41</v>
      </c>
      <c r="K307" s="4">
        <v>163976.34</v>
      </c>
      <c r="L307" s="4">
        <v>174260.94</v>
      </c>
      <c r="M307" s="4"/>
      <c r="N307" s="4">
        <v>259458.86</v>
      </c>
      <c r="O307" s="4"/>
      <c r="P307" s="4">
        <v>314874.33</v>
      </c>
      <c r="Q307" s="4">
        <v>47450.04</v>
      </c>
      <c r="R307" s="4"/>
      <c r="S307" s="4"/>
      <c r="T307" s="4"/>
      <c r="U307" s="4"/>
      <c r="V307" s="4">
        <v>305188.07</v>
      </c>
      <c r="W307" s="4"/>
      <c r="X307" s="4">
        <v>291617.09999999998</v>
      </c>
      <c r="Y307" s="4">
        <v>126436.2</v>
      </c>
      <c r="Z307" s="4">
        <v>52153.59</v>
      </c>
      <c r="AA307" s="4">
        <v>238981.5</v>
      </c>
      <c r="AB307" s="4">
        <f t="shared" si="42"/>
        <v>3143154.98</v>
      </c>
    </row>
    <row r="308" spans="1:28" x14ac:dyDescent="0.2">
      <c r="A308" s="3">
        <v>37712</v>
      </c>
      <c r="B308" s="4">
        <v>442998.09</v>
      </c>
      <c r="C308" s="4">
        <v>72305.259999999995</v>
      </c>
      <c r="D308" s="4">
        <v>45068.959999999999</v>
      </c>
      <c r="E308" s="4">
        <v>90091.42</v>
      </c>
      <c r="F308" s="4">
        <v>54568.53</v>
      </c>
      <c r="G308" s="4">
        <v>44964.08</v>
      </c>
      <c r="H308" s="4">
        <v>31698.69</v>
      </c>
      <c r="I308" s="4">
        <v>47533.42</v>
      </c>
      <c r="J308" s="4">
        <v>51110.33</v>
      </c>
      <c r="K308" s="4">
        <v>120778.76</v>
      </c>
      <c r="L308" s="4">
        <v>119519.95</v>
      </c>
      <c r="M308" s="4"/>
      <c r="N308" s="4">
        <v>251671.39</v>
      </c>
      <c r="O308" s="4"/>
      <c r="P308" s="4">
        <v>206990.47</v>
      </c>
      <c r="Q308" s="4">
        <v>34431.43</v>
      </c>
      <c r="R308" s="4"/>
      <c r="S308" s="4"/>
      <c r="T308" s="4"/>
      <c r="U308" s="4"/>
      <c r="V308" s="4">
        <v>218360.5</v>
      </c>
      <c r="W308" s="4"/>
      <c r="X308" s="4">
        <v>231720.66</v>
      </c>
      <c r="Y308" s="4">
        <v>100543.35</v>
      </c>
      <c r="Z308" s="4">
        <v>32572.240000000002</v>
      </c>
      <c r="AA308" s="4">
        <v>333309.03000000003</v>
      </c>
      <c r="AB308" s="4">
        <f t="shared" si="42"/>
        <v>2530236.5599999996</v>
      </c>
    </row>
    <row r="309" spans="1:28" x14ac:dyDescent="0.2">
      <c r="A309" s="3">
        <v>37742</v>
      </c>
      <c r="B309" s="4">
        <v>469028.33</v>
      </c>
      <c r="C309" s="4">
        <v>76349.45</v>
      </c>
      <c r="D309" s="4">
        <v>56140.39</v>
      </c>
      <c r="E309" s="4">
        <v>89601.13</v>
      </c>
      <c r="F309" s="4">
        <v>58220.25</v>
      </c>
      <c r="G309" s="4">
        <v>47553.29</v>
      </c>
      <c r="H309" s="4">
        <v>31909.17</v>
      </c>
      <c r="I309" s="4">
        <v>51760.92</v>
      </c>
      <c r="J309" s="4">
        <v>53366.38</v>
      </c>
      <c r="K309" s="4">
        <v>128091.1</v>
      </c>
      <c r="L309" s="4">
        <v>125669.63</v>
      </c>
      <c r="M309" s="4"/>
      <c r="N309" s="4">
        <v>232721.32</v>
      </c>
      <c r="O309" s="4"/>
      <c r="P309" s="4">
        <v>218801.98</v>
      </c>
      <c r="Q309" s="4">
        <v>35969.61</v>
      </c>
      <c r="R309" s="4"/>
      <c r="S309" s="4"/>
      <c r="T309" s="4"/>
      <c r="U309" s="4"/>
      <c r="V309" s="4">
        <v>230731.6</v>
      </c>
      <c r="W309" s="4"/>
      <c r="X309" s="4">
        <v>245755.2</v>
      </c>
      <c r="Y309" s="4">
        <v>109875.91</v>
      </c>
      <c r="Z309" s="4">
        <v>35198.519999999997</v>
      </c>
      <c r="AA309" s="4">
        <v>300816.56</v>
      </c>
      <c r="AB309" s="4">
        <f t="shared" si="42"/>
        <v>2597560.7400000007</v>
      </c>
    </row>
    <row r="310" spans="1:28" x14ac:dyDescent="0.2">
      <c r="A310" s="3">
        <v>37773</v>
      </c>
      <c r="B310" s="4">
        <v>573417.79</v>
      </c>
      <c r="C310" s="4">
        <v>99129.65</v>
      </c>
      <c r="D310" s="4">
        <v>60611.41</v>
      </c>
      <c r="E310" s="4">
        <v>162423.42000000001</v>
      </c>
      <c r="F310" s="4">
        <v>73472.009999999995</v>
      </c>
      <c r="G310" s="4">
        <v>28716.9</v>
      </c>
      <c r="H310" s="4">
        <v>27105.32</v>
      </c>
      <c r="I310" s="4">
        <v>56071.85</v>
      </c>
      <c r="J310" s="4">
        <v>72342.78</v>
      </c>
      <c r="K310" s="4">
        <v>210194.84</v>
      </c>
      <c r="L310" s="4">
        <v>154878.35999999999</v>
      </c>
      <c r="M310" s="4"/>
      <c r="N310" s="4">
        <v>319460.64</v>
      </c>
      <c r="O310" s="4"/>
      <c r="P310" s="4">
        <v>274438.21999999997</v>
      </c>
      <c r="Q310" s="4">
        <v>44156.58</v>
      </c>
      <c r="R310" s="4"/>
      <c r="S310" s="4"/>
      <c r="T310" s="4"/>
      <c r="U310" s="4"/>
      <c r="V310" s="4">
        <v>297915.13</v>
      </c>
      <c r="W310" s="4"/>
      <c r="X310" s="4">
        <v>260447.69</v>
      </c>
      <c r="Y310" s="4">
        <v>138533.01999999999</v>
      </c>
      <c r="Z310" s="4">
        <v>44013.11</v>
      </c>
      <c r="AA310" s="4">
        <v>304857.90000000002</v>
      </c>
      <c r="AB310" s="4">
        <f t="shared" si="42"/>
        <v>3202186.62</v>
      </c>
    </row>
    <row r="311" spans="1:28" x14ac:dyDescent="0.2">
      <c r="A311" s="3">
        <v>37803</v>
      </c>
      <c r="B311" s="4">
        <v>415137.41</v>
      </c>
      <c r="C311" s="4">
        <v>64193.64</v>
      </c>
      <c r="D311" s="4">
        <v>37837.03</v>
      </c>
      <c r="E311" s="4">
        <v>96751.18</v>
      </c>
      <c r="F311" s="4">
        <v>43113.1</v>
      </c>
      <c r="G311" s="4">
        <v>35912.5</v>
      </c>
      <c r="H311" s="4">
        <v>22139.19</v>
      </c>
      <c r="I311" s="4">
        <v>48033.11</v>
      </c>
      <c r="J311" s="4">
        <v>42574.25</v>
      </c>
      <c r="K311" s="4">
        <v>109254.32</v>
      </c>
      <c r="L311" s="4">
        <v>146711</v>
      </c>
      <c r="M311" s="4"/>
      <c r="N311" s="4">
        <v>266044.27</v>
      </c>
      <c r="O311" s="4"/>
      <c r="P311" s="4">
        <v>165759.41</v>
      </c>
      <c r="Q311" s="4">
        <v>28468.15</v>
      </c>
      <c r="R311" s="4"/>
      <c r="S311" s="4"/>
      <c r="T311" s="4"/>
      <c r="U311" s="4"/>
      <c r="V311" s="4">
        <v>172986.14</v>
      </c>
      <c r="W311" s="4"/>
      <c r="X311" s="4">
        <v>189808.68</v>
      </c>
      <c r="Y311" s="4">
        <v>86780.74</v>
      </c>
      <c r="Z311" s="4">
        <v>26744.86</v>
      </c>
      <c r="AA311" s="4">
        <v>353957.77</v>
      </c>
      <c r="AB311" s="4">
        <f t="shared" si="42"/>
        <v>2352206.75</v>
      </c>
    </row>
    <row r="312" spans="1:28" x14ac:dyDescent="0.2">
      <c r="A312" s="3">
        <v>37834</v>
      </c>
      <c r="B312" s="4">
        <v>398744.9</v>
      </c>
      <c r="C312" s="4">
        <v>61235.22</v>
      </c>
      <c r="D312" s="4">
        <v>36166.21</v>
      </c>
      <c r="E312" s="4">
        <v>91918.87</v>
      </c>
      <c r="F312" s="4">
        <v>41125.800000000003</v>
      </c>
      <c r="G312" s="4">
        <v>33852.050000000003</v>
      </c>
      <c r="H312" s="4">
        <v>21119.18</v>
      </c>
      <c r="I312" s="4">
        <v>45341.75</v>
      </c>
      <c r="J312" s="4">
        <v>40641</v>
      </c>
      <c r="K312" s="4">
        <v>103783.24</v>
      </c>
      <c r="L312" s="4">
        <v>139956.66</v>
      </c>
      <c r="M312" s="4"/>
      <c r="N312" s="4">
        <v>253370.22</v>
      </c>
      <c r="O312" s="4"/>
      <c r="P312" s="4">
        <v>158155.93</v>
      </c>
      <c r="Q312" s="4">
        <v>27153.61</v>
      </c>
      <c r="R312" s="4"/>
      <c r="S312" s="4"/>
      <c r="T312" s="4"/>
      <c r="U312" s="4"/>
      <c r="V312" s="4">
        <v>166073.74</v>
      </c>
      <c r="W312" s="4"/>
      <c r="X312" s="4">
        <v>181378.13</v>
      </c>
      <c r="Y312" s="4">
        <v>82808.36</v>
      </c>
      <c r="Z312" s="4">
        <v>25591.19</v>
      </c>
      <c r="AA312" s="4">
        <v>336963.18</v>
      </c>
      <c r="AB312" s="4">
        <f t="shared" si="42"/>
        <v>2245379.2400000002</v>
      </c>
    </row>
    <row r="313" spans="1:28" x14ac:dyDescent="0.2">
      <c r="A313" s="3">
        <v>37865</v>
      </c>
      <c r="B313" s="4">
        <v>205918.38</v>
      </c>
      <c r="C313" s="4">
        <v>51736.06</v>
      </c>
      <c r="D313" s="4">
        <v>33356.269999999997</v>
      </c>
      <c r="E313" s="4">
        <v>100113.71</v>
      </c>
      <c r="F313" s="4">
        <v>47021.82</v>
      </c>
      <c r="G313" s="4">
        <v>28836.22</v>
      </c>
      <c r="H313" s="4">
        <v>24939.46</v>
      </c>
      <c r="I313" s="4">
        <v>21835.69</v>
      </c>
      <c r="J313" s="4">
        <v>38547.480000000003</v>
      </c>
      <c r="K313" s="4">
        <v>116025.19</v>
      </c>
      <c r="L313" s="4">
        <v>21180.01</v>
      </c>
      <c r="M313" s="4"/>
      <c r="N313" s="4">
        <v>361133.59</v>
      </c>
      <c r="O313" s="4"/>
      <c r="P313" s="4">
        <v>127772.85</v>
      </c>
      <c r="Q313" s="4">
        <v>24870.14</v>
      </c>
      <c r="R313" s="4"/>
      <c r="S313" s="4"/>
      <c r="T313" s="4"/>
      <c r="U313" s="4"/>
      <c r="V313" s="4">
        <v>156616.64000000001</v>
      </c>
      <c r="W313" s="4">
        <v>44062.2</v>
      </c>
      <c r="X313" s="4">
        <v>107133.99</v>
      </c>
      <c r="Y313" s="4">
        <v>62207.23</v>
      </c>
      <c r="Z313" s="4">
        <v>26204.33</v>
      </c>
      <c r="AA313" s="4">
        <v>467528.18</v>
      </c>
      <c r="AB313" s="4">
        <f t="shared" si="42"/>
        <v>2067039.4400000002</v>
      </c>
    </row>
    <row r="314" spans="1:28" x14ac:dyDescent="0.2">
      <c r="A314" s="3">
        <v>37895</v>
      </c>
      <c r="B314" s="4">
        <v>384109.48</v>
      </c>
      <c r="C314" s="4">
        <v>60003.89</v>
      </c>
      <c r="D314" s="4">
        <v>39509.660000000003</v>
      </c>
      <c r="E314" s="4">
        <v>91786.32</v>
      </c>
      <c r="F314" s="4">
        <v>50056.35</v>
      </c>
      <c r="G314" s="4">
        <v>35489.699999999997</v>
      </c>
      <c r="H314" s="4">
        <v>24354.68</v>
      </c>
      <c r="I314" s="4">
        <v>39200.519999999997</v>
      </c>
      <c r="J314" s="4">
        <v>50638.94</v>
      </c>
      <c r="K314" s="4">
        <v>129207.98</v>
      </c>
      <c r="L314" s="4">
        <v>115828.82</v>
      </c>
      <c r="M314" s="4"/>
      <c r="N314" s="4">
        <v>250069.58</v>
      </c>
      <c r="O314" s="4"/>
      <c r="P314" s="4">
        <v>161815.94</v>
      </c>
      <c r="Q314" s="4">
        <v>31698.39</v>
      </c>
      <c r="R314" s="4"/>
      <c r="S314" s="4"/>
      <c r="T314" s="4"/>
      <c r="U314" s="4"/>
      <c r="V314" s="4">
        <v>188543.01</v>
      </c>
      <c r="W314" s="4">
        <v>92905.78</v>
      </c>
      <c r="X314" s="4">
        <v>191501.63</v>
      </c>
      <c r="Y314" s="4">
        <v>84237.46</v>
      </c>
      <c r="Z314" s="4">
        <v>28626.26</v>
      </c>
      <c r="AA314" s="4">
        <v>315185.75</v>
      </c>
      <c r="AB314" s="4">
        <f t="shared" si="42"/>
        <v>2364770.1399999997</v>
      </c>
    </row>
    <row r="315" spans="1:28" x14ac:dyDescent="0.2">
      <c r="A315" s="3">
        <v>37926</v>
      </c>
      <c r="B315" s="4">
        <v>389080.46</v>
      </c>
      <c r="C315" s="4">
        <v>59149.67</v>
      </c>
      <c r="D315" s="4">
        <v>39923.06</v>
      </c>
      <c r="E315" s="4">
        <v>90870.58</v>
      </c>
      <c r="F315" s="4">
        <v>49159.360000000001</v>
      </c>
      <c r="G315" s="4">
        <v>34846.699999999997</v>
      </c>
      <c r="H315" s="4">
        <v>24058.25</v>
      </c>
      <c r="I315" s="4">
        <v>41800.18</v>
      </c>
      <c r="J315" s="4">
        <v>50087</v>
      </c>
      <c r="K315" s="4">
        <v>128005.93</v>
      </c>
      <c r="L315" s="4">
        <v>113600.97</v>
      </c>
      <c r="M315" s="4"/>
      <c r="N315" s="4">
        <v>247519.84</v>
      </c>
      <c r="O315" s="4"/>
      <c r="P315" s="4">
        <v>159835.04</v>
      </c>
      <c r="Q315" s="4">
        <v>31311.49</v>
      </c>
      <c r="R315" s="4"/>
      <c r="S315" s="4"/>
      <c r="T315" s="4"/>
      <c r="U315" s="4"/>
      <c r="V315" s="4">
        <v>187946.51</v>
      </c>
      <c r="W315" s="4">
        <v>91266.63</v>
      </c>
      <c r="X315" s="4">
        <v>192319</v>
      </c>
      <c r="Y315" s="4">
        <v>84889.24</v>
      </c>
      <c r="Z315" s="4">
        <v>28503.52</v>
      </c>
      <c r="AA315" s="4">
        <v>312210.23</v>
      </c>
      <c r="AB315" s="4">
        <f t="shared" si="42"/>
        <v>2356383.66</v>
      </c>
    </row>
    <row r="316" spans="1:28" x14ac:dyDescent="0.2">
      <c r="A316" s="3">
        <v>37956</v>
      </c>
      <c r="B316" s="4">
        <v>384735.37</v>
      </c>
      <c r="C316" s="4">
        <v>66180.149999999994</v>
      </c>
      <c r="D316" s="4">
        <v>40902.080000000002</v>
      </c>
      <c r="E316" s="4">
        <v>108984.73</v>
      </c>
      <c r="F316" s="4">
        <v>56950.879999999997</v>
      </c>
      <c r="G316" s="4">
        <v>45447.13</v>
      </c>
      <c r="H316" s="4">
        <v>56196.41</v>
      </c>
      <c r="I316" s="4">
        <v>38834.01</v>
      </c>
      <c r="J316" s="4">
        <v>46828.86</v>
      </c>
      <c r="K316" s="4">
        <v>143644.37</v>
      </c>
      <c r="L316" s="4">
        <v>151352.37</v>
      </c>
      <c r="M316" s="4"/>
      <c r="N316" s="4">
        <v>275149.25</v>
      </c>
      <c r="O316" s="4"/>
      <c r="P316" s="4">
        <v>236220.52</v>
      </c>
      <c r="Q316" s="4">
        <v>32858.14</v>
      </c>
      <c r="R316" s="4"/>
      <c r="S316" s="4"/>
      <c r="T316" s="4"/>
      <c r="U316" s="4"/>
      <c r="V316" s="4">
        <v>221137.52</v>
      </c>
      <c r="W316" s="4">
        <v>87209.81</v>
      </c>
      <c r="X316" s="4">
        <v>158513.13</v>
      </c>
      <c r="Y316" s="4">
        <v>112644.16</v>
      </c>
      <c r="Z316" s="4">
        <v>43120.18</v>
      </c>
      <c r="AA316" s="4">
        <v>369973.52</v>
      </c>
      <c r="AB316" s="4">
        <f t="shared" si="42"/>
        <v>2676882.5900000003</v>
      </c>
    </row>
    <row r="317" spans="1:28" ht="15.75" thickBot="1" x14ac:dyDescent="0.25">
      <c r="A317" s="3" t="s">
        <v>143</v>
      </c>
      <c r="B317" s="5">
        <f t="shared" ref="B317:W317" si="43">SUM(B305:B316)</f>
        <v>5165486.43</v>
      </c>
      <c r="C317" s="5">
        <f t="shared" si="43"/>
        <v>856009.43</v>
      </c>
      <c r="D317" s="5">
        <f t="shared" si="43"/>
        <v>552030.62</v>
      </c>
      <c r="E317" s="5">
        <f t="shared" si="43"/>
        <v>1214049.46</v>
      </c>
      <c r="F317" s="5">
        <f t="shared" si="43"/>
        <v>685581.22</v>
      </c>
      <c r="G317" s="5">
        <f t="shared" si="43"/>
        <v>502880.48</v>
      </c>
      <c r="H317" s="5">
        <f t="shared" si="43"/>
        <v>355069.18000000005</v>
      </c>
      <c r="I317" s="5">
        <f t="shared" si="43"/>
        <v>557745.04999999993</v>
      </c>
      <c r="J317" s="5">
        <f t="shared" si="43"/>
        <v>661251.12</v>
      </c>
      <c r="K317" s="5">
        <f t="shared" si="43"/>
        <v>1595682.23</v>
      </c>
      <c r="L317" s="5">
        <f t="shared" si="43"/>
        <v>1542138.94</v>
      </c>
      <c r="M317" s="5"/>
      <c r="N317" s="5">
        <f t="shared" si="43"/>
        <v>3241404.75</v>
      </c>
      <c r="O317" s="5"/>
      <c r="P317" s="5">
        <f t="shared" si="43"/>
        <v>2774348.4099999997</v>
      </c>
      <c r="Q317" s="5">
        <f t="shared" si="43"/>
        <v>413568.19000000006</v>
      </c>
      <c r="R317" s="5"/>
      <c r="S317" s="5"/>
      <c r="T317" s="5"/>
      <c r="U317" s="5"/>
      <c r="V317" s="5">
        <f t="shared" si="43"/>
        <v>2616099.98</v>
      </c>
      <c r="W317" s="5">
        <f t="shared" si="43"/>
        <v>315444.42</v>
      </c>
      <c r="X317" s="5">
        <f>SUM(X305:X316)</f>
        <v>2545865.6399999997</v>
      </c>
      <c r="Y317" s="5">
        <f>SUM(Y305:Y316)</f>
        <v>1207482.99</v>
      </c>
      <c r="Z317" s="5">
        <f>SUM(Z305:Z316)</f>
        <v>414765.83</v>
      </c>
      <c r="AA317" s="5">
        <f>SUM(AA305:AA316)</f>
        <v>3976202.1200000006</v>
      </c>
      <c r="AB317" s="5">
        <f t="shared" si="42"/>
        <v>31193106.490000002</v>
      </c>
    </row>
    <row r="318" spans="1:28" ht="15.75" thickTop="1" x14ac:dyDescent="0.2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x14ac:dyDescent="0.2">
      <c r="A319" s="3">
        <v>37257</v>
      </c>
      <c r="B319" s="4">
        <v>629517.36</v>
      </c>
      <c r="C319" s="4">
        <v>89188.61</v>
      </c>
      <c r="D319" s="4">
        <v>53164.42</v>
      </c>
      <c r="E319" s="4">
        <v>96305.69</v>
      </c>
      <c r="F319" s="4">
        <v>63797.51</v>
      </c>
      <c r="G319" s="4">
        <v>44098.92</v>
      </c>
      <c r="H319" s="4">
        <v>43767.83</v>
      </c>
      <c r="I319" s="4">
        <v>55872.88</v>
      </c>
      <c r="J319" s="4">
        <v>69347.960000000006</v>
      </c>
      <c r="K319" s="4">
        <v>129656.2</v>
      </c>
      <c r="L319" s="4">
        <v>152239.48000000001</v>
      </c>
      <c r="M319" s="4"/>
      <c r="N319" s="4">
        <v>280969.84999999998</v>
      </c>
      <c r="O319" s="4"/>
      <c r="P319" s="4">
        <v>252352.58</v>
      </c>
      <c r="Q319" s="4">
        <v>47226.95</v>
      </c>
      <c r="R319" s="4"/>
      <c r="S319" s="4"/>
      <c r="T319" s="4"/>
      <c r="U319" s="4"/>
      <c r="V319" s="4">
        <v>254507.66</v>
      </c>
      <c r="W319" s="4"/>
      <c r="X319" s="4">
        <v>260867.07</v>
      </c>
      <c r="Y319" s="4">
        <v>127717.68</v>
      </c>
      <c r="Z319" s="4">
        <v>37652.980000000003</v>
      </c>
      <c r="AA319" s="4">
        <v>320845.40000000002</v>
      </c>
      <c r="AB319" s="4">
        <f t="shared" ref="AB319:AB331" si="44">SUM(B319:AA319)</f>
        <v>3009097.03</v>
      </c>
    </row>
    <row r="320" spans="1:28" x14ac:dyDescent="0.2">
      <c r="A320" s="3">
        <v>37288</v>
      </c>
      <c r="B320" s="4">
        <v>371656.87</v>
      </c>
      <c r="C320" s="4">
        <v>63492.05</v>
      </c>
      <c r="D320" s="4">
        <v>42176.67</v>
      </c>
      <c r="E320" s="4">
        <v>74525.649999999994</v>
      </c>
      <c r="F320" s="4">
        <v>50972.92</v>
      </c>
      <c r="G320" s="4">
        <v>35094.629999999997</v>
      </c>
      <c r="H320" s="4">
        <v>32279.39</v>
      </c>
      <c r="I320" s="4">
        <v>42878.73</v>
      </c>
      <c r="J320" s="4">
        <v>50249.24</v>
      </c>
      <c r="K320" s="4">
        <v>102953.15</v>
      </c>
      <c r="L320" s="4">
        <v>116331.28</v>
      </c>
      <c r="M320" s="4"/>
      <c r="N320" s="4">
        <v>210733.42</v>
      </c>
      <c r="O320" s="4"/>
      <c r="P320" s="4">
        <v>187686.75</v>
      </c>
      <c r="Q320" s="4">
        <v>33046.480000000003</v>
      </c>
      <c r="R320" s="4"/>
      <c r="S320" s="4"/>
      <c r="T320" s="4"/>
      <c r="U320" s="4"/>
      <c r="V320" s="4">
        <v>192328.61</v>
      </c>
      <c r="W320" s="4"/>
      <c r="X320" s="4">
        <v>202245.19</v>
      </c>
      <c r="Y320" s="4">
        <v>96978.55</v>
      </c>
      <c r="Z320" s="4">
        <v>29731.07</v>
      </c>
      <c r="AA320" s="4">
        <v>234097.45</v>
      </c>
      <c r="AB320" s="4">
        <f t="shared" si="44"/>
        <v>2169458.1</v>
      </c>
    </row>
    <row r="321" spans="1:28" x14ac:dyDescent="0.2">
      <c r="A321" s="3">
        <v>37316</v>
      </c>
      <c r="B321" s="4">
        <v>1137642.49</v>
      </c>
      <c r="C321" s="4">
        <v>106000.01</v>
      </c>
      <c r="D321" s="4">
        <v>49794.13</v>
      </c>
      <c r="E321" s="4">
        <v>110372.29</v>
      </c>
      <c r="F321" s="4">
        <v>56991.91</v>
      </c>
      <c r="G321" s="4">
        <v>71427.44</v>
      </c>
      <c r="H321" s="4">
        <v>66523.27</v>
      </c>
      <c r="I321" s="4">
        <v>108807.84</v>
      </c>
      <c r="J321" s="4">
        <v>61210.44</v>
      </c>
      <c r="K321" s="4">
        <v>148693.72</v>
      </c>
      <c r="L321" s="4">
        <v>85047.22</v>
      </c>
      <c r="M321" s="4"/>
      <c r="N321" s="4">
        <v>172950.42</v>
      </c>
      <c r="O321" s="4"/>
      <c r="P321" s="4">
        <v>221393.52</v>
      </c>
      <c r="Q321" s="4">
        <v>38664.379999999997</v>
      </c>
      <c r="R321" s="4"/>
      <c r="S321" s="4"/>
      <c r="T321" s="4"/>
      <c r="U321" s="4"/>
      <c r="V321" s="4">
        <v>281339.34999999998</v>
      </c>
      <c r="W321" s="4"/>
      <c r="X321" s="4">
        <v>270670.86</v>
      </c>
      <c r="Y321" s="4">
        <v>79360.399999999994</v>
      </c>
      <c r="Z321" s="4">
        <v>40987.019999999997</v>
      </c>
      <c r="AA321" s="4">
        <v>452168.52</v>
      </c>
      <c r="AB321" s="4">
        <f t="shared" si="44"/>
        <v>3560045.2299999995</v>
      </c>
    </row>
    <row r="322" spans="1:28" x14ac:dyDescent="0.2">
      <c r="A322" s="3">
        <v>37347</v>
      </c>
      <c r="B322" s="4">
        <v>379025.75</v>
      </c>
      <c r="C322" s="4">
        <v>58820.41</v>
      </c>
      <c r="D322" s="4">
        <v>39931.82</v>
      </c>
      <c r="E322" s="4">
        <v>79060.22</v>
      </c>
      <c r="F322" s="4">
        <v>49322.57</v>
      </c>
      <c r="G322" s="4">
        <v>37637.06</v>
      </c>
      <c r="H322" s="4">
        <v>33973.33</v>
      </c>
      <c r="I322" s="4">
        <v>41344.36</v>
      </c>
      <c r="J322" s="4">
        <v>42958.04</v>
      </c>
      <c r="K322" s="4">
        <v>109327.81</v>
      </c>
      <c r="L322" s="4">
        <v>0</v>
      </c>
      <c r="M322" s="4"/>
      <c r="N322" s="4">
        <v>209427.96</v>
      </c>
      <c r="O322" s="4"/>
      <c r="P322" s="4">
        <v>186139.2</v>
      </c>
      <c r="Q322" s="4">
        <v>30344.34</v>
      </c>
      <c r="R322" s="4"/>
      <c r="S322" s="4"/>
      <c r="T322" s="4"/>
      <c r="U322" s="4"/>
      <c r="V322" s="4">
        <v>190448.69</v>
      </c>
      <c r="W322" s="4"/>
      <c r="X322" s="4">
        <v>202339.48</v>
      </c>
      <c r="Y322" s="4">
        <v>95698.7</v>
      </c>
      <c r="Z322" s="4">
        <v>30410.37</v>
      </c>
      <c r="AA322" s="4">
        <v>251171.08</v>
      </c>
      <c r="AB322" s="4">
        <f t="shared" si="44"/>
        <v>2067381.1900000002</v>
      </c>
    </row>
    <row r="323" spans="1:28" x14ac:dyDescent="0.2">
      <c r="A323" s="3">
        <v>37377</v>
      </c>
      <c r="B323" s="4">
        <v>361534.93</v>
      </c>
      <c r="C323" s="4">
        <v>58314.7</v>
      </c>
      <c r="D323" s="4">
        <v>39643.72</v>
      </c>
      <c r="E323" s="4">
        <v>80314.73</v>
      </c>
      <c r="F323" s="4">
        <v>46200.06</v>
      </c>
      <c r="G323" s="4">
        <v>35855.480000000003</v>
      </c>
      <c r="H323" s="4">
        <v>33190.36</v>
      </c>
      <c r="I323" s="4">
        <v>41177.25</v>
      </c>
      <c r="J323" s="4">
        <v>43535.55</v>
      </c>
      <c r="K323" s="4">
        <v>112800.62</v>
      </c>
      <c r="L323" s="4">
        <v>92986.69</v>
      </c>
      <c r="M323" s="4"/>
      <c r="N323" s="4">
        <v>208988.1</v>
      </c>
      <c r="O323" s="4"/>
      <c r="P323" s="4">
        <v>187035.61</v>
      </c>
      <c r="Q323" s="4">
        <v>30450.32</v>
      </c>
      <c r="R323" s="4"/>
      <c r="S323" s="4"/>
      <c r="T323" s="4"/>
      <c r="U323" s="4"/>
      <c r="V323" s="4">
        <v>185976.09</v>
      </c>
      <c r="W323" s="4"/>
      <c r="X323" s="4">
        <v>196892.16</v>
      </c>
      <c r="Y323" s="4">
        <v>92850.05</v>
      </c>
      <c r="Z323" s="4">
        <v>29359.88</v>
      </c>
      <c r="AA323" s="4">
        <v>259006.71</v>
      </c>
      <c r="AB323" s="4">
        <f t="shared" si="44"/>
        <v>2136113.0099999998</v>
      </c>
    </row>
    <row r="324" spans="1:28" x14ac:dyDescent="0.2">
      <c r="A324" s="3">
        <v>37408</v>
      </c>
      <c r="B324" s="4">
        <v>609163.13</v>
      </c>
      <c r="C324" s="4">
        <v>135275.59</v>
      </c>
      <c r="D324" s="4">
        <v>57038.93</v>
      </c>
      <c r="E324" s="4">
        <v>120438.04</v>
      </c>
      <c r="F324" s="4">
        <v>66043.73</v>
      </c>
      <c r="G324" s="4">
        <v>65295.63</v>
      </c>
      <c r="H324" s="4">
        <v>35161.85</v>
      </c>
      <c r="I324" s="4">
        <v>95341.94</v>
      </c>
      <c r="J324" s="4">
        <v>69746.58</v>
      </c>
      <c r="K324" s="4">
        <v>187336.17</v>
      </c>
      <c r="L324" s="4">
        <v>200178.64</v>
      </c>
      <c r="M324" s="4"/>
      <c r="N324" s="4">
        <v>282385.24</v>
      </c>
      <c r="O324" s="4"/>
      <c r="P324" s="4">
        <v>233999.18</v>
      </c>
      <c r="Q324" s="4">
        <v>57812.73</v>
      </c>
      <c r="R324" s="4"/>
      <c r="S324" s="4"/>
      <c r="T324" s="4"/>
      <c r="U324" s="4"/>
      <c r="V324" s="4">
        <v>259264.91</v>
      </c>
      <c r="W324" s="4"/>
      <c r="X324" s="4">
        <v>289901.40000000002</v>
      </c>
      <c r="Y324" s="4">
        <v>111045.48</v>
      </c>
      <c r="Z324" s="4">
        <v>44498.44</v>
      </c>
      <c r="AA324" s="4">
        <v>328076.25</v>
      </c>
      <c r="AB324" s="4">
        <f t="shared" si="44"/>
        <v>3248003.86</v>
      </c>
    </row>
    <row r="325" spans="1:28" x14ac:dyDescent="0.2">
      <c r="A325" s="3">
        <v>37438</v>
      </c>
      <c r="B325" s="4">
        <v>337659.24</v>
      </c>
      <c r="C325" s="4">
        <v>48843.18</v>
      </c>
      <c r="D325" s="4">
        <v>34714.699999999997</v>
      </c>
      <c r="E325" s="4">
        <v>79018.31</v>
      </c>
      <c r="F325" s="4">
        <v>41284.589999999997</v>
      </c>
      <c r="G325" s="4">
        <v>25911.919999999998</v>
      </c>
      <c r="H325" s="4">
        <v>24298.79</v>
      </c>
      <c r="I325" s="4">
        <v>38985.93</v>
      </c>
      <c r="J325" s="4">
        <v>35025</v>
      </c>
      <c r="K325" s="4">
        <v>91627.44</v>
      </c>
      <c r="L325" s="4">
        <v>129919.95</v>
      </c>
      <c r="M325" s="4"/>
      <c r="N325" s="4">
        <v>224966.19</v>
      </c>
      <c r="O325" s="4"/>
      <c r="P325" s="4">
        <v>148875.72</v>
      </c>
      <c r="Q325" s="4">
        <v>25089.22</v>
      </c>
      <c r="R325" s="4"/>
      <c r="S325" s="4"/>
      <c r="T325" s="4"/>
      <c r="U325" s="4"/>
      <c r="V325" s="4">
        <v>155610.1</v>
      </c>
      <c r="W325" s="4"/>
      <c r="X325" s="4">
        <v>166876.78</v>
      </c>
      <c r="Y325" s="4">
        <v>82168.58</v>
      </c>
      <c r="Z325" s="4">
        <v>24312.05</v>
      </c>
      <c r="AA325" s="4">
        <v>330209.76</v>
      </c>
      <c r="AB325" s="4">
        <f t="shared" si="44"/>
        <v>2045397.4500000002</v>
      </c>
    </row>
    <row r="326" spans="1:28" x14ac:dyDescent="0.2">
      <c r="A326" s="3">
        <v>37469</v>
      </c>
      <c r="B326" s="4">
        <v>338740</v>
      </c>
      <c r="C326" s="4">
        <v>48579.95</v>
      </c>
      <c r="D326" s="4">
        <v>34943.51</v>
      </c>
      <c r="E326" s="4">
        <v>84337.68</v>
      </c>
      <c r="F326" s="4">
        <v>39789.79</v>
      </c>
      <c r="G326" s="4">
        <v>26165.759999999998</v>
      </c>
      <c r="H326" s="4">
        <v>24913.4</v>
      </c>
      <c r="I326" s="4">
        <v>39099.26</v>
      </c>
      <c r="J326" s="4">
        <v>36038.699999999997</v>
      </c>
      <c r="K326" s="4">
        <v>93612.63</v>
      </c>
      <c r="L326" s="4">
        <v>132245.60999999999</v>
      </c>
      <c r="M326" s="4"/>
      <c r="N326" s="4">
        <v>230949.68</v>
      </c>
      <c r="O326" s="4"/>
      <c r="P326" s="4">
        <v>151866.72</v>
      </c>
      <c r="Q326" s="4">
        <v>24911.42</v>
      </c>
      <c r="R326" s="4"/>
      <c r="S326" s="4"/>
      <c r="T326" s="4"/>
      <c r="U326" s="4"/>
      <c r="V326" s="4">
        <v>151556.10999999999</v>
      </c>
      <c r="W326" s="4"/>
      <c r="X326" s="4">
        <v>166865.98000000001</v>
      </c>
      <c r="Y326" s="4">
        <v>80112.570000000007</v>
      </c>
      <c r="Z326" s="4">
        <v>24299.14</v>
      </c>
      <c r="AA326" s="4">
        <v>336051.7</v>
      </c>
      <c r="AB326" s="4">
        <f t="shared" si="44"/>
        <v>2065079.6099999996</v>
      </c>
    </row>
    <row r="327" spans="1:28" x14ac:dyDescent="0.2">
      <c r="A327" s="3">
        <v>37500</v>
      </c>
      <c r="B327" s="4">
        <v>660429.80000000005</v>
      </c>
      <c r="C327" s="4">
        <v>69943.929999999993</v>
      </c>
      <c r="D327" s="4">
        <v>46057.69</v>
      </c>
      <c r="E327" s="4">
        <v>115911.81</v>
      </c>
      <c r="F327" s="4">
        <v>46833.18</v>
      </c>
      <c r="G327" s="4">
        <v>47325.55</v>
      </c>
      <c r="H327" s="4">
        <v>22710.77</v>
      </c>
      <c r="I327" s="4">
        <v>45637.18</v>
      </c>
      <c r="J327" s="4">
        <v>45404.08</v>
      </c>
      <c r="K327" s="4">
        <v>142973.29999999999</v>
      </c>
      <c r="L327" s="4">
        <v>337719.1</v>
      </c>
      <c r="M327" s="4"/>
      <c r="N327" s="4">
        <v>436367.21</v>
      </c>
      <c r="O327" s="4"/>
      <c r="P327" s="4">
        <v>147326.81</v>
      </c>
      <c r="Q327" s="4">
        <v>31318.54</v>
      </c>
      <c r="R327" s="4"/>
      <c r="S327" s="4"/>
      <c r="T327" s="4"/>
      <c r="U327" s="4"/>
      <c r="V327" s="4">
        <v>260753.74</v>
      </c>
      <c r="W327" s="4"/>
      <c r="X327" s="4">
        <v>234388.11</v>
      </c>
      <c r="Y327" s="4">
        <v>124676.69</v>
      </c>
      <c r="Z327" s="4">
        <v>31335.37</v>
      </c>
      <c r="AA327" s="4">
        <v>369041.48</v>
      </c>
      <c r="AB327" s="4">
        <f t="shared" si="44"/>
        <v>3216154.3400000003</v>
      </c>
    </row>
    <row r="328" spans="1:28" x14ac:dyDescent="0.2">
      <c r="A328" s="3">
        <v>37530</v>
      </c>
      <c r="B328" s="4">
        <v>401413.33</v>
      </c>
      <c r="C328" s="4">
        <v>52076.69</v>
      </c>
      <c r="D328" s="4">
        <v>36249.51</v>
      </c>
      <c r="E328" s="4">
        <v>79294.259999999995</v>
      </c>
      <c r="F328" s="4">
        <v>43524.7</v>
      </c>
      <c r="G328" s="4">
        <v>33060.410000000003</v>
      </c>
      <c r="H328" s="4">
        <v>28872.21</v>
      </c>
      <c r="I328" s="4">
        <v>40754.39</v>
      </c>
      <c r="J328" s="4">
        <v>45336.67</v>
      </c>
      <c r="K328" s="4">
        <v>110985.02</v>
      </c>
      <c r="L328" s="4">
        <v>105577.75</v>
      </c>
      <c r="M328" s="4"/>
      <c r="N328" s="4">
        <v>219749.04</v>
      </c>
      <c r="O328" s="4"/>
      <c r="P328" s="4">
        <v>157159.4</v>
      </c>
      <c r="Q328" s="4">
        <v>28585.09</v>
      </c>
      <c r="R328" s="4"/>
      <c r="S328" s="4"/>
      <c r="T328" s="4"/>
      <c r="U328" s="4"/>
      <c r="V328" s="4">
        <v>172679.09</v>
      </c>
      <c r="W328" s="4"/>
      <c r="X328" s="4">
        <v>180343.11</v>
      </c>
      <c r="Y328" s="4">
        <v>86152.61</v>
      </c>
      <c r="Z328" s="4">
        <v>25745.61</v>
      </c>
      <c r="AA328" s="4">
        <v>306499.67</v>
      </c>
      <c r="AB328" s="4">
        <f t="shared" si="44"/>
        <v>2154058.56</v>
      </c>
    </row>
    <row r="329" spans="1:28" x14ac:dyDescent="0.2">
      <c r="A329" s="3">
        <v>37561</v>
      </c>
      <c r="B329" s="4">
        <v>409628.86</v>
      </c>
      <c r="C329" s="4">
        <v>53128.1</v>
      </c>
      <c r="D329" s="4">
        <v>36772.93</v>
      </c>
      <c r="E329" s="4">
        <v>80194.87</v>
      </c>
      <c r="F329" s="4">
        <v>44332.88</v>
      </c>
      <c r="G329" s="4">
        <v>33817.29</v>
      </c>
      <c r="H329" s="4">
        <v>29496.2</v>
      </c>
      <c r="I329" s="4">
        <v>39311.35</v>
      </c>
      <c r="J329" s="4">
        <v>45560.29</v>
      </c>
      <c r="K329" s="4">
        <v>113317.56</v>
      </c>
      <c r="L329" s="4">
        <v>105955.5</v>
      </c>
      <c r="M329" s="4"/>
      <c r="N329" s="4">
        <v>225163.25</v>
      </c>
      <c r="O329" s="4"/>
      <c r="P329" s="4">
        <v>159170.96</v>
      </c>
      <c r="Q329" s="4">
        <v>29071.119999999999</v>
      </c>
      <c r="R329" s="4"/>
      <c r="S329" s="4"/>
      <c r="T329" s="4"/>
      <c r="U329" s="4"/>
      <c r="V329" s="4">
        <v>174702.02</v>
      </c>
      <c r="W329" s="4"/>
      <c r="X329" s="4">
        <v>184631.01</v>
      </c>
      <c r="Y329" s="4">
        <v>88254.69</v>
      </c>
      <c r="Z329" s="4">
        <v>26140.62</v>
      </c>
      <c r="AA329" s="4">
        <v>313590.71000000002</v>
      </c>
      <c r="AB329" s="4">
        <f t="shared" si="44"/>
        <v>2192240.2100000004</v>
      </c>
    </row>
    <row r="330" spans="1:28" x14ac:dyDescent="0.2">
      <c r="A330" s="3">
        <v>37591</v>
      </c>
      <c r="B330" s="4">
        <v>344902.03</v>
      </c>
      <c r="C330" s="4">
        <v>76198.73</v>
      </c>
      <c r="D330" s="4">
        <v>52621.88</v>
      </c>
      <c r="E330" s="4">
        <v>97318.33</v>
      </c>
      <c r="F330" s="4">
        <v>79073.67</v>
      </c>
      <c r="G330" s="4">
        <v>110822.99</v>
      </c>
      <c r="H330" s="4">
        <v>28108.98</v>
      </c>
      <c r="I330" s="4">
        <v>55701.53</v>
      </c>
      <c r="J330" s="4">
        <v>52726.23</v>
      </c>
      <c r="K330" s="4">
        <v>142746.51</v>
      </c>
      <c r="L330" s="4">
        <v>126135.4</v>
      </c>
      <c r="M330" s="4"/>
      <c r="N330" s="4">
        <v>295648.2</v>
      </c>
      <c r="O330" s="4"/>
      <c r="P330" s="4">
        <v>263399.17</v>
      </c>
      <c r="Q330" s="4">
        <v>37494.370000000003</v>
      </c>
      <c r="R330" s="4"/>
      <c r="S330" s="4"/>
      <c r="T330" s="4"/>
      <c r="U330" s="4"/>
      <c r="V330" s="4">
        <v>227581.76</v>
      </c>
      <c r="W330" s="4"/>
      <c r="X330" s="4">
        <v>228493.17</v>
      </c>
      <c r="Y330" s="4">
        <v>88350.26</v>
      </c>
      <c r="Z330" s="4">
        <v>37402.050000000003</v>
      </c>
      <c r="AA330" s="4">
        <v>327191.5</v>
      </c>
      <c r="AB330" s="4">
        <f t="shared" si="44"/>
        <v>2671916.7599999998</v>
      </c>
    </row>
    <row r="331" spans="1:28" ht="15.75" thickBot="1" x14ac:dyDescent="0.25">
      <c r="A331" s="3" t="s">
        <v>3</v>
      </c>
      <c r="B331" s="5">
        <f t="shared" ref="B331:W331" si="45">SUM(B319:B330)</f>
        <v>5981313.79</v>
      </c>
      <c r="C331" s="5">
        <f t="shared" si="45"/>
        <v>859861.94999999984</v>
      </c>
      <c r="D331" s="5">
        <f t="shared" si="45"/>
        <v>523109.91000000003</v>
      </c>
      <c r="E331" s="5">
        <f t="shared" si="45"/>
        <v>1097091.8799999999</v>
      </c>
      <c r="F331" s="5">
        <f t="shared" si="45"/>
        <v>628167.50999999989</v>
      </c>
      <c r="G331" s="5">
        <f t="shared" si="45"/>
        <v>566513.07999999996</v>
      </c>
      <c r="H331" s="5">
        <f t="shared" si="45"/>
        <v>403296.38000000006</v>
      </c>
      <c r="I331" s="5">
        <f t="shared" si="45"/>
        <v>644912.64000000001</v>
      </c>
      <c r="J331" s="5">
        <f t="shared" si="45"/>
        <v>597138.78</v>
      </c>
      <c r="K331" s="5">
        <f t="shared" si="45"/>
        <v>1486030.1300000001</v>
      </c>
      <c r="L331" s="5">
        <f t="shared" si="45"/>
        <v>1584336.6199999999</v>
      </c>
      <c r="M331" s="5"/>
      <c r="N331" s="5">
        <f t="shared" si="45"/>
        <v>2998298.56</v>
      </c>
      <c r="O331" s="5"/>
      <c r="P331" s="5">
        <f t="shared" si="45"/>
        <v>2296405.62</v>
      </c>
      <c r="Q331" s="5">
        <f t="shared" si="45"/>
        <v>414014.96</v>
      </c>
      <c r="R331" s="5"/>
      <c r="S331" s="5"/>
      <c r="T331" s="5"/>
      <c r="U331" s="5"/>
      <c r="V331" s="5">
        <f t="shared" si="45"/>
        <v>2506748.13</v>
      </c>
      <c r="W331" s="5">
        <f t="shared" si="45"/>
        <v>0</v>
      </c>
      <c r="X331" s="5">
        <f>SUM(X319:X330)</f>
        <v>2584514.3200000003</v>
      </c>
      <c r="Y331" s="5">
        <f>SUM(Y319:Y330)</f>
        <v>1153366.26</v>
      </c>
      <c r="Z331" s="5">
        <f>SUM(Z319:Z330)</f>
        <v>381874.6</v>
      </c>
      <c r="AA331" s="5">
        <f>SUM(AA319:AA330)</f>
        <v>3827950.23</v>
      </c>
      <c r="AB331" s="5">
        <f t="shared" si="44"/>
        <v>30534945.350000005</v>
      </c>
    </row>
    <row r="332" spans="1:28" ht="15.75" thickTop="1" x14ac:dyDescent="0.2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x14ac:dyDescent="0.2">
      <c r="A333" s="3">
        <v>36892</v>
      </c>
      <c r="B333" s="4">
        <v>475066.53</v>
      </c>
      <c r="C333" s="4">
        <v>77565.72</v>
      </c>
      <c r="D333" s="4">
        <v>51317.68</v>
      </c>
      <c r="E333" s="4">
        <v>99468.53</v>
      </c>
      <c r="F333" s="4">
        <v>62821.93</v>
      </c>
      <c r="G333" s="4">
        <v>39705.800000000003</v>
      </c>
      <c r="H333" s="4">
        <v>38579.629999999997</v>
      </c>
      <c r="I333" s="4">
        <v>61876.44</v>
      </c>
      <c r="J333" s="4">
        <v>59143.3</v>
      </c>
      <c r="K333" s="4">
        <v>135824.84</v>
      </c>
      <c r="L333" s="4">
        <v>140843.38</v>
      </c>
      <c r="M333" s="4"/>
      <c r="N333" s="4">
        <v>252301.88</v>
      </c>
      <c r="O333" s="4"/>
      <c r="P333" s="4">
        <v>222976.47</v>
      </c>
      <c r="Q333" s="4">
        <v>32106.2</v>
      </c>
      <c r="R333" s="4"/>
      <c r="S333" s="4"/>
      <c r="T333" s="4"/>
      <c r="U333" s="4"/>
      <c r="V333" s="4">
        <v>237301.85</v>
      </c>
      <c r="W333" s="4"/>
      <c r="X333" s="4">
        <v>259864.21</v>
      </c>
      <c r="Y333" s="4">
        <v>124844.88</v>
      </c>
      <c r="Z333" s="4">
        <v>36690.639999999999</v>
      </c>
      <c r="AA333" s="4">
        <v>285826.48</v>
      </c>
      <c r="AB333" s="4">
        <f t="shared" ref="AB333:AB345" si="46">SUM(B333:AA333)</f>
        <v>2694126.39</v>
      </c>
    </row>
    <row r="334" spans="1:28" x14ac:dyDescent="0.2">
      <c r="A334" s="3">
        <v>36923</v>
      </c>
      <c r="B334" s="4">
        <v>344090.6</v>
      </c>
      <c r="C334" s="4">
        <v>58759.3</v>
      </c>
      <c r="D334" s="4">
        <v>39366.68</v>
      </c>
      <c r="E334" s="4">
        <v>69435.759999999995</v>
      </c>
      <c r="F334" s="4">
        <v>49734.67</v>
      </c>
      <c r="G334" s="4">
        <v>33737.019999999997</v>
      </c>
      <c r="H334" s="4">
        <v>30203.48</v>
      </c>
      <c r="I334" s="4">
        <v>39615.72</v>
      </c>
      <c r="J334" s="4">
        <v>46688.47</v>
      </c>
      <c r="K334" s="4">
        <v>95036.56</v>
      </c>
      <c r="L334" s="4">
        <v>113822.51</v>
      </c>
      <c r="M334" s="4"/>
      <c r="N334" s="4">
        <v>196689.62</v>
      </c>
      <c r="O334" s="4"/>
      <c r="P334" s="4">
        <v>174763.5</v>
      </c>
      <c r="Q334" s="4">
        <v>30760.82</v>
      </c>
      <c r="R334" s="4"/>
      <c r="S334" s="4"/>
      <c r="T334" s="4"/>
      <c r="U334" s="4"/>
      <c r="V334" s="4">
        <v>178638.16</v>
      </c>
      <c r="W334" s="4"/>
      <c r="X334" s="4">
        <v>188265.1</v>
      </c>
      <c r="Y334" s="4">
        <v>90526.42</v>
      </c>
      <c r="Z334" s="4">
        <v>27733.439999999999</v>
      </c>
      <c r="AA334" s="4">
        <v>216546.97</v>
      </c>
      <c r="AB334" s="4">
        <f t="shared" si="46"/>
        <v>2024414.8</v>
      </c>
    </row>
    <row r="335" spans="1:28" x14ac:dyDescent="0.2">
      <c r="A335" s="3">
        <v>36951</v>
      </c>
      <c r="B335" s="4">
        <v>791814.18</v>
      </c>
      <c r="C335" s="4">
        <v>129078.25</v>
      </c>
      <c r="D335" s="4">
        <v>82855.399999999994</v>
      </c>
      <c r="E335" s="4">
        <v>132411.22</v>
      </c>
      <c r="F335" s="4">
        <v>113415.65</v>
      </c>
      <c r="G335" s="4">
        <v>78198.16</v>
      </c>
      <c r="H335" s="4">
        <v>72964.899999999994</v>
      </c>
      <c r="I335" s="4">
        <v>79813.740000000005</v>
      </c>
      <c r="J335" s="4">
        <v>118911.41</v>
      </c>
      <c r="K335" s="4">
        <v>167271.60999999999</v>
      </c>
      <c r="L335" s="4">
        <v>312421.32</v>
      </c>
      <c r="M335" s="4"/>
      <c r="N335" s="4">
        <v>431038.88</v>
      </c>
      <c r="O335" s="4"/>
      <c r="P335" s="4">
        <v>379099.53</v>
      </c>
      <c r="Q335" s="4">
        <v>49899.44</v>
      </c>
      <c r="R335" s="4"/>
      <c r="S335" s="4"/>
      <c r="T335" s="4"/>
      <c r="U335" s="4"/>
      <c r="V335" s="4">
        <v>415550.77</v>
      </c>
      <c r="W335" s="4"/>
      <c r="X335" s="4">
        <v>443877.12</v>
      </c>
      <c r="Y335" s="4">
        <v>179064.97</v>
      </c>
      <c r="Z335" s="4">
        <v>61636.65</v>
      </c>
      <c r="AA335" s="4">
        <v>561535.77</v>
      </c>
      <c r="AB335" s="4">
        <f t="shared" si="46"/>
        <v>4600858.9700000007</v>
      </c>
    </row>
    <row r="336" spans="1:28" x14ac:dyDescent="0.2">
      <c r="A336" s="3">
        <v>36982</v>
      </c>
      <c r="B336" s="4">
        <v>363625.2</v>
      </c>
      <c r="C336" s="4">
        <v>58835.02</v>
      </c>
      <c r="D336" s="4">
        <v>40641.54</v>
      </c>
      <c r="E336" s="4">
        <v>69793.22</v>
      </c>
      <c r="F336" s="4">
        <v>54001.49</v>
      </c>
      <c r="G336" s="4">
        <v>41626.379999999997</v>
      </c>
      <c r="H336" s="4">
        <v>33196.65</v>
      </c>
      <c r="I336" s="4">
        <v>42523.62</v>
      </c>
      <c r="J336" s="4">
        <v>44104.05</v>
      </c>
      <c r="K336" s="4">
        <v>107305.05</v>
      </c>
      <c r="L336" s="4">
        <v>118490.34</v>
      </c>
      <c r="M336" s="4"/>
      <c r="N336" s="4">
        <v>215439.05</v>
      </c>
      <c r="O336" s="4"/>
      <c r="P336" s="4">
        <v>187037.63</v>
      </c>
      <c r="Q336" s="4">
        <v>32399.82</v>
      </c>
      <c r="R336" s="4"/>
      <c r="S336" s="4"/>
      <c r="T336" s="4"/>
      <c r="U336" s="4"/>
      <c r="V336" s="4">
        <v>188050.52</v>
      </c>
      <c r="W336" s="4"/>
      <c r="X336" s="4">
        <v>207016.52</v>
      </c>
      <c r="Y336" s="4">
        <v>97899.38</v>
      </c>
      <c r="Z336" s="4">
        <v>29323.35</v>
      </c>
      <c r="AA336" s="4">
        <v>254962.93</v>
      </c>
      <c r="AB336" s="4">
        <f t="shared" si="46"/>
        <v>2186271.7600000007</v>
      </c>
    </row>
    <row r="337" spans="1:28" x14ac:dyDescent="0.2">
      <c r="A337" s="3">
        <v>37012</v>
      </c>
      <c r="B337" s="4">
        <v>375593.74</v>
      </c>
      <c r="C337" s="4">
        <v>58715.8</v>
      </c>
      <c r="D337" s="4">
        <v>48925.19</v>
      </c>
      <c r="E337" s="4">
        <v>75966.179999999993</v>
      </c>
      <c r="F337" s="4">
        <v>47691.75</v>
      </c>
      <c r="G337" s="4">
        <v>37175.85</v>
      </c>
      <c r="H337" s="4">
        <v>34672.870000000003</v>
      </c>
      <c r="I337" s="4">
        <v>45906.34</v>
      </c>
      <c r="J337" s="4">
        <v>44908.42</v>
      </c>
      <c r="K337" s="4">
        <v>112028.01</v>
      </c>
      <c r="L337" s="4">
        <v>125870.11</v>
      </c>
      <c r="M337" s="4"/>
      <c r="N337" s="4">
        <v>218861.28</v>
      </c>
      <c r="O337" s="4"/>
      <c r="P337" s="4">
        <v>260790.33</v>
      </c>
      <c r="Q337" s="4">
        <v>31828.51</v>
      </c>
      <c r="R337" s="4"/>
      <c r="S337" s="4"/>
      <c r="T337" s="4"/>
      <c r="U337" s="4"/>
      <c r="V337" s="4">
        <v>195613.61</v>
      </c>
      <c r="W337" s="4"/>
      <c r="X337" s="4">
        <v>206770.72</v>
      </c>
      <c r="Y337" s="4">
        <v>97138.75</v>
      </c>
      <c r="Z337" s="4">
        <v>33725.919999999998</v>
      </c>
      <c r="AA337" s="4">
        <v>257605.83</v>
      </c>
      <c r="AB337" s="4">
        <f t="shared" si="46"/>
        <v>2309789.2099999995</v>
      </c>
    </row>
    <row r="338" spans="1:28" x14ac:dyDescent="0.2">
      <c r="A338" s="3">
        <v>37043</v>
      </c>
      <c r="B338" s="4">
        <v>692375.47</v>
      </c>
      <c r="C338" s="4">
        <v>89410.94</v>
      </c>
      <c r="D338" s="4">
        <v>56830.13</v>
      </c>
      <c r="E338" s="4">
        <v>127174.67</v>
      </c>
      <c r="F338" s="4">
        <v>71339.13</v>
      </c>
      <c r="G338" s="4">
        <v>46156.18</v>
      </c>
      <c r="H338" s="4">
        <v>34750.639999999999</v>
      </c>
      <c r="I338" s="4">
        <v>51795.18</v>
      </c>
      <c r="J338" s="4">
        <v>62371.03</v>
      </c>
      <c r="K338" s="4">
        <v>116032.51</v>
      </c>
      <c r="L338" s="4">
        <v>178394.68</v>
      </c>
      <c r="M338" s="4"/>
      <c r="N338" s="4">
        <v>325946.27</v>
      </c>
      <c r="O338" s="4"/>
      <c r="P338" s="4">
        <v>271990.74</v>
      </c>
      <c r="Q338" s="4">
        <v>55220.67</v>
      </c>
      <c r="R338" s="4"/>
      <c r="S338" s="4"/>
      <c r="T338" s="4"/>
      <c r="U338" s="4"/>
      <c r="V338" s="4">
        <v>227625.47</v>
      </c>
      <c r="W338" s="4"/>
      <c r="X338" s="4">
        <v>295429.34999999998</v>
      </c>
      <c r="Y338" s="4">
        <v>125100.23</v>
      </c>
      <c r="Z338" s="4">
        <v>43320.12</v>
      </c>
      <c r="AA338" s="4">
        <v>449951.79</v>
      </c>
      <c r="AB338" s="4">
        <f t="shared" si="46"/>
        <v>3321215.2</v>
      </c>
    </row>
    <row r="339" spans="1:28" x14ac:dyDescent="0.2">
      <c r="A339" s="3">
        <v>37073</v>
      </c>
      <c r="B339" s="4">
        <v>424439.92</v>
      </c>
      <c r="C339" s="4">
        <v>50090.48</v>
      </c>
      <c r="D339" s="4">
        <v>34410.06</v>
      </c>
      <c r="E339" s="4">
        <v>76771.100000000006</v>
      </c>
      <c r="F339" s="4">
        <v>39440.92</v>
      </c>
      <c r="G339" s="4">
        <v>25853.74</v>
      </c>
      <c r="H339" s="4">
        <v>25138.1</v>
      </c>
      <c r="I339" s="4">
        <v>38408.22</v>
      </c>
      <c r="J339" s="4">
        <v>35668.730000000003</v>
      </c>
      <c r="K339" s="4">
        <v>88249.48</v>
      </c>
      <c r="L339" s="4">
        <v>126791.51</v>
      </c>
      <c r="M339" s="4"/>
      <c r="N339" s="4">
        <v>223056.78</v>
      </c>
      <c r="O339" s="4"/>
      <c r="P339" s="4">
        <v>151679.66</v>
      </c>
      <c r="Q339" s="4">
        <v>24047.86</v>
      </c>
      <c r="R339" s="4"/>
      <c r="S339" s="4"/>
      <c r="T339" s="4"/>
      <c r="U339" s="4"/>
      <c r="V339" s="4">
        <v>157785.63</v>
      </c>
      <c r="W339" s="4"/>
      <c r="X339" s="4">
        <v>178107.16</v>
      </c>
      <c r="Y339" s="4">
        <v>86274.92</v>
      </c>
      <c r="Z339" s="4">
        <v>23607.52</v>
      </c>
      <c r="AA339" s="4">
        <v>342446.42</v>
      </c>
      <c r="AB339" s="4">
        <f t="shared" si="46"/>
        <v>2152268.21</v>
      </c>
    </row>
    <row r="340" spans="1:28" x14ac:dyDescent="0.2">
      <c r="A340" s="3">
        <v>37104</v>
      </c>
      <c r="B340" s="4">
        <v>332628.31</v>
      </c>
      <c r="C340" s="4">
        <v>47695.28</v>
      </c>
      <c r="D340" s="4">
        <v>36003.29</v>
      </c>
      <c r="E340" s="4">
        <v>77813.539999999994</v>
      </c>
      <c r="F340" s="4">
        <v>47388.17</v>
      </c>
      <c r="G340" s="4">
        <v>25547.47</v>
      </c>
      <c r="H340" s="4">
        <v>24157.43</v>
      </c>
      <c r="I340" s="4">
        <v>36085.81</v>
      </c>
      <c r="J340" s="4">
        <v>34973.949999999997</v>
      </c>
      <c r="K340" s="4">
        <v>90272.71</v>
      </c>
      <c r="L340" s="4">
        <v>127963.49</v>
      </c>
      <c r="M340" s="4"/>
      <c r="N340" s="4">
        <v>224031.15</v>
      </c>
      <c r="O340" s="4"/>
      <c r="P340" s="4">
        <v>149308.81</v>
      </c>
      <c r="Q340" s="4">
        <v>24229.64</v>
      </c>
      <c r="R340" s="4"/>
      <c r="S340" s="4"/>
      <c r="T340" s="4"/>
      <c r="U340" s="4"/>
      <c r="V340" s="4">
        <v>145263.25</v>
      </c>
      <c r="W340" s="4"/>
      <c r="X340" s="4">
        <v>163226.69</v>
      </c>
      <c r="Y340" s="4">
        <v>82317.14</v>
      </c>
      <c r="Z340" s="4">
        <v>23603.17</v>
      </c>
      <c r="AA340" s="4">
        <v>320753.65000000002</v>
      </c>
      <c r="AB340" s="4">
        <f t="shared" si="46"/>
        <v>2013262.9499999997</v>
      </c>
    </row>
    <row r="341" spans="1:28" x14ac:dyDescent="0.2">
      <c r="A341" s="3">
        <v>37135</v>
      </c>
      <c r="B341" s="4">
        <v>261310.95</v>
      </c>
      <c r="C341" s="4">
        <v>37803.58</v>
      </c>
      <c r="D341" s="4">
        <v>23773.03</v>
      </c>
      <c r="E341" s="4">
        <v>56129.760000000002</v>
      </c>
      <c r="F341" s="4">
        <v>33345.06</v>
      </c>
      <c r="G341" s="4">
        <v>24081.5</v>
      </c>
      <c r="H341" s="4">
        <v>21113.66</v>
      </c>
      <c r="I341" s="4">
        <v>29538.21</v>
      </c>
      <c r="J341" s="4">
        <v>32528.53</v>
      </c>
      <c r="K341" s="4">
        <v>75879.86</v>
      </c>
      <c r="L341" s="4">
        <v>89477.19</v>
      </c>
      <c r="M341" s="4"/>
      <c r="N341" s="4">
        <v>160768.78</v>
      </c>
      <c r="O341" s="4"/>
      <c r="P341" s="4">
        <v>140340.70000000001</v>
      </c>
      <c r="Q341" s="4">
        <v>38152.959999999999</v>
      </c>
      <c r="R341" s="4"/>
      <c r="S341" s="4"/>
      <c r="T341" s="4"/>
      <c r="U341" s="4"/>
      <c r="V341" s="4">
        <v>95384.12</v>
      </c>
      <c r="W341" s="4"/>
      <c r="X341" s="4">
        <v>146502.48000000001</v>
      </c>
      <c r="Y341" s="4">
        <v>73142.14</v>
      </c>
      <c r="Z341" s="4">
        <v>20392.259999999998</v>
      </c>
      <c r="AA341" s="4">
        <v>325042.56</v>
      </c>
      <c r="AB341" s="4">
        <f t="shared" si="46"/>
        <v>1684707.33</v>
      </c>
    </row>
    <row r="342" spans="1:28" x14ac:dyDescent="0.2">
      <c r="A342" s="3">
        <v>37165</v>
      </c>
      <c r="B342" s="4">
        <v>345105.16</v>
      </c>
      <c r="C342" s="4">
        <v>45728.68</v>
      </c>
      <c r="D342" s="4">
        <v>32118.63</v>
      </c>
      <c r="E342" s="4">
        <v>68908.12</v>
      </c>
      <c r="F342" s="4">
        <v>39601.620000000003</v>
      </c>
      <c r="G342" s="4">
        <v>30765.59</v>
      </c>
      <c r="H342" s="4">
        <v>25201.17</v>
      </c>
      <c r="I342" s="4">
        <v>34339.97</v>
      </c>
      <c r="J342" s="4">
        <v>38835.199999999997</v>
      </c>
      <c r="K342" s="4">
        <v>93287.96</v>
      </c>
      <c r="L342" s="4">
        <v>109627.68</v>
      </c>
      <c r="M342" s="4"/>
      <c r="N342" s="4">
        <v>204067.84</v>
      </c>
      <c r="O342" s="4"/>
      <c r="P342" s="4">
        <v>142074.07999999999</v>
      </c>
      <c r="Q342" s="4">
        <v>24895.61</v>
      </c>
      <c r="R342" s="4"/>
      <c r="S342" s="4"/>
      <c r="T342" s="4"/>
      <c r="U342" s="4"/>
      <c r="V342" s="4">
        <v>148461.32</v>
      </c>
      <c r="W342" s="4"/>
      <c r="X342" s="4">
        <v>166785.06</v>
      </c>
      <c r="Y342" s="4">
        <v>80595.509999999995</v>
      </c>
      <c r="Z342" s="4">
        <v>22301.68</v>
      </c>
      <c r="AA342" s="4">
        <v>311167.88</v>
      </c>
      <c r="AB342" s="4">
        <f t="shared" si="46"/>
        <v>1963868.7600000002</v>
      </c>
    </row>
    <row r="343" spans="1:28" x14ac:dyDescent="0.2">
      <c r="A343" s="3">
        <v>37196</v>
      </c>
      <c r="B343" s="4">
        <v>403266.13</v>
      </c>
      <c r="C343" s="4">
        <v>55666.33</v>
      </c>
      <c r="D343" s="4">
        <v>36796.019999999997</v>
      </c>
      <c r="E343" s="4">
        <v>78120.97</v>
      </c>
      <c r="F343" s="4">
        <v>45737.95</v>
      </c>
      <c r="G343" s="4">
        <v>38293.919999999998</v>
      </c>
      <c r="H343" s="4">
        <v>33189.31</v>
      </c>
      <c r="I343" s="4">
        <v>39446.480000000003</v>
      </c>
      <c r="J343" s="4">
        <v>45705.75</v>
      </c>
      <c r="K343" s="4">
        <v>108727.31</v>
      </c>
      <c r="L343" s="4">
        <v>123433.64</v>
      </c>
      <c r="M343" s="4"/>
      <c r="N343" s="4">
        <v>235816.83</v>
      </c>
      <c r="O343" s="4"/>
      <c r="P343" s="4">
        <v>171344.73</v>
      </c>
      <c r="Q343" s="4">
        <v>28893.54</v>
      </c>
      <c r="R343" s="4"/>
      <c r="S343" s="4"/>
      <c r="T343" s="4"/>
      <c r="U343" s="4"/>
      <c r="V343" s="4">
        <v>188184.2</v>
      </c>
      <c r="W343" s="4"/>
      <c r="X343" s="4">
        <v>194094.35</v>
      </c>
      <c r="Y343" s="4">
        <v>93471.11</v>
      </c>
      <c r="Z343" s="4">
        <v>25528.79</v>
      </c>
      <c r="AA343" s="4">
        <v>363095.39</v>
      </c>
      <c r="AB343" s="4">
        <f t="shared" si="46"/>
        <v>2308812.7500000005</v>
      </c>
    </row>
    <row r="344" spans="1:28" x14ac:dyDescent="0.2">
      <c r="A344" s="3">
        <v>37226</v>
      </c>
      <c r="B344" s="4">
        <v>760246.33</v>
      </c>
      <c r="C344" s="4">
        <v>92311.59</v>
      </c>
      <c r="D344" s="4">
        <v>43367.83</v>
      </c>
      <c r="E344" s="4">
        <v>121097.26</v>
      </c>
      <c r="F344" s="4">
        <v>67648.399999999994</v>
      </c>
      <c r="G344" s="4">
        <v>40845.86</v>
      </c>
      <c r="H344" s="4">
        <v>40782.699999999997</v>
      </c>
      <c r="I344" s="4">
        <v>51207.040000000001</v>
      </c>
      <c r="J344" s="4">
        <v>55925.51</v>
      </c>
      <c r="K344" s="4">
        <v>167159.54999999999</v>
      </c>
      <c r="L344" s="4">
        <v>107979.71</v>
      </c>
      <c r="M344" s="4"/>
      <c r="N344" s="4">
        <v>312745.45</v>
      </c>
      <c r="O344" s="4"/>
      <c r="P344" s="4">
        <v>240630.08</v>
      </c>
      <c r="Q344" s="4">
        <v>20189.740000000002</v>
      </c>
      <c r="R344" s="4"/>
      <c r="S344" s="4"/>
      <c r="T344" s="4"/>
      <c r="U344" s="4"/>
      <c r="V344" s="4">
        <v>274921.65000000002</v>
      </c>
      <c r="W344" s="4"/>
      <c r="X344" s="4">
        <v>231373.14</v>
      </c>
      <c r="Y344" s="4">
        <v>123030.05</v>
      </c>
      <c r="Z344" s="4">
        <v>33028.730000000003</v>
      </c>
      <c r="AA344" s="4">
        <v>332777.40999999997</v>
      </c>
      <c r="AB344" s="4">
        <f t="shared" si="46"/>
        <v>3117268.0300000003</v>
      </c>
    </row>
    <row r="345" spans="1:28" ht="15.75" thickBot="1" x14ac:dyDescent="0.25">
      <c r="A345" s="3" t="s">
        <v>4</v>
      </c>
      <c r="B345" s="5">
        <f t="shared" ref="B345:W345" si="47">SUM(B333:B344)</f>
        <v>5569562.5199999996</v>
      </c>
      <c r="C345" s="5">
        <f t="shared" si="47"/>
        <v>801660.97</v>
      </c>
      <c r="D345" s="5">
        <f t="shared" si="47"/>
        <v>526405.48</v>
      </c>
      <c r="E345" s="5">
        <f t="shared" si="47"/>
        <v>1053090.3299999998</v>
      </c>
      <c r="F345" s="5">
        <f t="shared" si="47"/>
        <v>672166.74</v>
      </c>
      <c r="G345" s="5">
        <f t="shared" si="47"/>
        <v>461987.47</v>
      </c>
      <c r="H345" s="5">
        <f t="shared" si="47"/>
        <v>413950.53999999992</v>
      </c>
      <c r="I345" s="5">
        <f t="shared" si="47"/>
        <v>550556.77</v>
      </c>
      <c r="J345" s="5">
        <f t="shared" si="47"/>
        <v>619764.34999999986</v>
      </c>
      <c r="K345" s="5">
        <f t="shared" si="47"/>
        <v>1357075.45</v>
      </c>
      <c r="L345" s="5">
        <f t="shared" si="47"/>
        <v>1675115.5599999996</v>
      </c>
      <c r="M345" s="5"/>
      <c r="N345" s="5">
        <f t="shared" si="47"/>
        <v>3000763.81</v>
      </c>
      <c r="O345" s="5"/>
      <c r="P345" s="5">
        <f t="shared" si="47"/>
        <v>2492036.2600000002</v>
      </c>
      <c r="Q345" s="5">
        <f t="shared" si="47"/>
        <v>392624.81</v>
      </c>
      <c r="R345" s="5"/>
      <c r="S345" s="5"/>
      <c r="T345" s="5"/>
      <c r="U345" s="5"/>
      <c r="V345" s="5">
        <f t="shared" si="47"/>
        <v>2452780.5500000003</v>
      </c>
      <c r="W345" s="5">
        <f t="shared" si="47"/>
        <v>0</v>
      </c>
      <c r="X345" s="5">
        <f>SUM(X333:X344)</f>
        <v>2681311.9</v>
      </c>
      <c r="Y345" s="5">
        <f>SUM(Y333:Y344)</f>
        <v>1253405.5000000002</v>
      </c>
      <c r="Z345" s="5">
        <f>SUM(Z333:Z344)</f>
        <v>380892.26999999996</v>
      </c>
      <c r="AA345" s="5">
        <f>SUM(AA333:AA344)</f>
        <v>4021713.08</v>
      </c>
      <c r="AB345" s="5">
        <f t="shared" si="46"/>
        <v>30376864.359999992</v>
      </c>
    </row>
    <row r="346" spans="1:28" ht="15.75" thickTop="1" x14ac:dyDescent="0.2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 x14ac:dyDescent="0.2">
      <c r="A347" s="3">
        <v>36526</v>
      </c>
      <c r="B347" s="4">
        <v>511406.11</v>
      </c>
      <c r="C347" s="4">
        <v>89152.12</v>
      </c>
      <c r="D347" s="4">
        <v>58657.58</v>
      </c>
      <c r="E347" s="4">
        <v>97777.61</v>
      </c>
      <c r="F347" s="4">
        <v>75049.98</v>
      </c>
      <c r="G347" s="4">
        <v>50922.05</v>
      </c>
      <c r="H347" s="4">
        <v>45169.91</v>
      </c>
      <c r="I347" s="4">
        <v>63078.04</v>
      </c>
      <c r="J347" s="4">
        <v>70273.53</v>
      </c>
      <c r="K347" s="4">
        <v>138204.53</v>
      </c>
      <c r="L347" s="4">
        <v>146529.99</v>
      </c>
      <c r="M347" s="4"/>
      <c r="N347" s="4">
        <v>294487.3</v>
      </c>
      <c r="O347" s="4"/>
      <c r="P347" s="4">
        <v>256288.49</v>
      </c>
      <c r="Q347" s="4">
        <v>44900.97</v>
      </c>
      <c r="R347" s="4"/>
      <c r="S347" s="4"/>
      <c r="T347" s="4"/>
      <c r="U347" s="4"/>
      <c r="V347" s="4">
        <v>276146.65999999997</v>
      </c>
      <c r="W347" s="4"/>
      <c r="X347" s="4">
        <v>273551.32</v>
      </c>
      <c r="Y347" s="4">
        <v>136306.1</v>
      </c>
      <c r="Z347" s="4">
        <v>42119.519999999997</v>
      </c>
      <c r="AA347" s="4">
        <v>337408.71</v>
      </c>
      <c r="AB347" s="4">
        <f t="shared" ref="AB347:AB359" si="48">SUM(B347:AA347)</f>
        <v>3007430.52</v>
      </c>
    </row>
    <row r="348" spans="1:28" x14ac:dyDescent="0.2">
      <c r="A348" s="3">
        <v>36557</v>
      </c>
      <c r="B348" s="4">
        <v>387861.86</v>
      </c>
      <c r="C348" s="4">
        <v>68175.210000000006</v>
      </c>
      <c r="D348" s="4">
        <v>44684.17</v>
      </c>
      <c r="E348" s="4">
        <v>74448.58</v>
      </c>
      <c r="F348" s="4">
        <v>56084.21</v>
      </c>
      <c r="G348" s="4">
        <v>38560.300000000003</v>
      </c>
      <c r="H348" s="4">
        <v>34326.400000000001</v>
      </c>
      <c r="I348" s="4">
        <v>48224.98</v>
      </c>
      <c r="J348" s="4">
        <v>53574.18</v>
      </c>
      <c r="K348" s="4">
        <v>105387.5</v>
      </c>
      <c r="L348" s="4">
        <v>139718.60999999999</v>
      </c>
      <c r="M348" s="4"/>
      <c r="N348" s="4">
        <v>203986.08</v>
      </c>
      <c r="O348" s="4"/>
      <c r="P348" s="4">
        <v>194880.43</v>
      </c>
      <c r="Q348" s="4">
        <v>34074.019999999997</v>
      </c>
      <c r="R348" s="4"/>
      <c r="S348" s="4"/>
      <c r="T348" s="4"/>
      <c r="U348" s="4"/>
      <c r="V348" s="4">
        <v>208962.29</v>
      </c>
      <c r="W348" s="4"/>
      <c r="X348" s="4">
        <v>207420.97</v>
      </c>
      <c r="Y348" s="4">
        <v>103701.09</v>
      </c>
      <c r="Z348" s="4">
        <v>31951.59</v>
      </c>
      <c r="AA348" s="4">
        <v>235726.43</v>
      </c>
      <c r="AB348" s="4">
        <f t="shared" si="48"/>
        <v>2271748.9000000004</v>
      </c>
    </row>
    <row r="349" spans="1:28" x14ac:dyDescent="0.2">
      <c r="A349" s="3">
        <v>36586</v>
      </c>
      <c r="B349" s="4">
        <v>371110.49</v>
      </c>
      <c r="C349" s="4">
        <v>48800.41</v>
      </c>
      <c r="D349" s="4">
        <v>35190.86</v>
      </c>
      <c r="E349" s="4">
        <v>8824.42</v>
      </c>
      <c r="F349" s="4">
        <v>38461.68</v>
      </c>
      <c r="G349" s="4">
        <v>32732.91</v>
      </c>
      <c r="H349" s="4">
        <v>23140.68</v>
      </c>
      <c r="I349" s="4">
        <v>26753.25</v>
      </c>
      <c r="J349" s="4">
        <v>30335.34</v>
      </c>
      <c r="K349" s="4">
        <v>1862.43</v>
      </c>
      <c r="L349" s="4">
        <v>139921.19</v>
      </c>
      <c r="M349" s="4"/>
      <c r="N349" s="4">
        <v>281651.38</v>
      </c>
      <c r="O349" s="4"/>
      <c r="P349" s="4">
        <v>142367.26999999999</v>
      </c>
      <c r="Q349" s="4">
        <v>32041.99</v>
      </c>
      <c r="R349" s="4"/>
      <c r="S349" s="4"/>
      <c r="T349" s="4"/>
      <c r="U349" s="4"/>
      <c r="V349" s="4">
        <v>130086.58</v>
      </c>
      <c r="W349" s="4"/>
      <c r="X349" s="4">
        <v>250377.27</v>
      </c>
      <c r="Y349" s="4">
        <v>89327.94</v>
      </c>
      <c r="Z349" s="4">
        <v>27315.89</v>
      </c>
      <c r="AA349" s="4">
        <v>392920.1</v>
      </c>
      <c r="AB349" s="4">
        <f t="shared" si="48"/>
        <v>2103222.08</v>
      </c>
    </row>
    <row r="350" spans="1:28" x14ac:dyDescent="0.2">
      <c r="A350" s="3">
        <v>36617</v>
      </c>
      <c r="B350" s="4">
        <v>379269.61</v>
      </c>
      <c r="C350" s="4">
        <v>63795.96</v>
      </c>
      <c r="D350" s="4">
        <v>41357.03</v>
      </c>
      <c r="E350" s="4">
        <v>107790.68</v>
      </c>
      <c r="F350" s="4">
        <v>53467.64</v>
      </c>
      <c r="G350" s="4">
        <v>38290.11</v>
      </c>
      <c r="H350" s="4">
        <v>32282.34</v>
      </c>
      <c r="I350" s="4">
        <v>42334.84</v>
      </c>
      <c r="J350" s="4">
        <v>44947.09</v>
      </c>
      <c r="K350" s="4">
        <v>161097.5</v>
      </c>
      <c r="L350" s="4">
        <v>145548.28</v>
      </c>
      <c r="M350" s="4"/>
      <c r="N350" s="4">
        <v>178156.93</v>
      </c>
      <c r="O350" s="4"/>
      <c r="P350" s="4">
        <v>189102.81</v>
      </c>
      <c r="Q350" s="4">
        <v>30403.38</v>
      </c>
      <c r="R350" s="4"/>
      <c r="S350" s="4"/>
      <c r="T350" s="4"/>
      <c r="U350" s="4"/>
      <c r="V350" s="4">
        <v>189034.78</v>
      </c>
      <c r="W350" s="4"/>
      <c r="X350" s="4">
        <v>195448.67</v>
      </c>
      <c r="Y350" s="4">
        <v>96828.1</v>
      </c>
      <c r="Z350" s="4">
        <v>29767.33</v>
      </c>
      <c r="AA350" s="4">
        <v>223259.54</v>
      </c>
      <c r="AB350" s="4">
        <f t="shared" si="48"/>
        <v>2242182.6199999996</v>
      </c>
    </row>
    <row r="351" spans="1:28" x14ac:dyDescent="0.2">
      <c r="A351" s="3">
        <v>36647</v>
      </c>
      <c r="B351" s="4">
        <v>386106.7</v>
      </c>
      <c r="C351" s="4">
        <v>63022.8</v>
      </c>
      <c r="D351" s="4">
        <v>41177.339999999997</v>
      </c>
      <c r="E351" s="4">
        <v>68760.05</v>
      </c>
      <c r="F351" s="4">
        <v>49085.3</v>
      </c>
      <c r="G351" s="4">
        <v>35470.36</v>
      </c>
      <c r="H351" s="4">
        <v>32203.34</v>
      </c>
      <c r="I351" s="4">
        <v>51452.35</v>
      </c>
      <c r="J351" s="4">
        <v>44795.17</v>
      </c>
      <c r="K351" s="4">
        <v>105926.39999999999</v>
      </c>
      <c r="L351" s="4">
        <v>130595.54</v>
      </c>
      <c r="M351" s="4"/>
      <c r="N351" s="4">
        <v>174925.82</v>
      </c>
      <c r="O351" s="4"/>
      <c r="P351" s="4">
        <v>187378.94</v>
      </c>
      <c r="Q351" s="4">
        <v>31137.119999999999</v>
      </c>
      <c r="R351" s="4"/>
      <c r="S351" s="4"/>
      <c r="T351" s="4"/>
      <c r="U351" s="4"/>
      <c r="V351" s="4">
        <v>187866.52</v>
      </c>
      <c r="W351" s="4"/>
      <c r="X351" s="4">
        <v>204782.72</v>
      </c>
      <c r="Y351" s="4">
        <v>96830.69</v>
      </c>
      <c r="Z351" s="4">
        <v>29526.65</v>
      </c>
      <c r="AA351" s="4">
        <v>222510.77</v>
      </c>
      <c r="AB351" s="4">
        <f t="shared" si="48"/>
        <v>2143554.58</v>
      </c>
    </row>
    <row r="352" spans="1:28" x14ac:dyDescent="0.2">
      <c r="A352" s="3">
        <v>36678</v>
      </c>
      <c r="B352" s="4">
        <v>366044.93</v>
      </c>
      <c r="C352" s="4">
        <v>59199.88</v>
      </c>
      <c r="D352" s="4">
        <v>40237.01</v>
      </c>
      <c r="E352" s="4">
        <v>107261.67</v>
      </c>
      <c r="F352" s="4">
        <v>53499.45</v>
      </c>
      <c r="G352" s="4">
        <v>58891.74</v>
      </c>
      <c r="H352" s="4">
        <v>37028.53</v>
      </c>
      <c r="I352" s="4">
        <v>36640.949999999997</v>
      </c>
      <c r="J352" s="4">
        <v>43035.72</v>
      </c>
      <c r="K352" s="4">
        <v>105540.54</v>
      </c>
      <c r="L352" s="4">
        <v>123361.71</v>
      </c>
      <c r="M352" s="4"/>
      <c r="N352" s="4">
        <v>262036.22</v>
      </c>
      <c r="O352" s="4"/>
      <c r="P352" s="4">
        <v>192917.84</v>
      </c>
      <c r="Q352" s="4">
        <v>32473.4</v>
      </c>
      <c r="R352" s="4"/>
      <c r="S352" s="4"/>
      <c r="T352" s="4"/>
      <c r="U352" s="4"/>
      <c r="V352" s="4">
        <v>214509.14</v>
      </c>
      <c r="W352" s="4"/>
      <c r="X352" s="4">
        <v>206113.18</v>
      </c>
      <c r="Y352" s="4">
        <v>94376.66</v>
      </c>
      <c r="Z352" s="4">
        <v>33919.65</v>
      </c>
      <c r="AA352" s="4">
        <v>230022.81</v>
      </c>
      <c r="AB352" s="4">
        <f t="shared" si="48"/>
        <v>2297111.0299999998</v>
      </c>
    </row>
    <row r="353" spans="1:28" x14ac:dyDescent="0.2">
      <c r="A353" s="3">
        <v>36708</v>
      </c>
      <c r="B353" s="4">
        <v>343614.03</v>
      </c>
      <c r="C353" s="4">
        <v>50076.08</v>
      </c>
      <c r="D353" s="4">
        <v>34390.79</v>
      </c>
      <c r="E353" s="4">
        <v>88050.09</v>
      </c>
      <c r="F353" s="4">
        <v>40727.629999999997</v>
      </c>
      <c r="G353" s="4">
        <v>30308.93</v>
      </c>
      <c r="H353" s="4">
        <v>24021.01</v>
      </c>
      <c r="I353" s="4">
        <v>37655.910000000003</v>
      </c>
      <c r="J353" s="4">
        <v>36661.69</v>
      </c>
      <c r="K353" s="4">
        <v>107752.68</v>
      </c>
      <c r="L353" s="4">
        <v>118518.75</v>
      </c>
      <c r="M353" s="4"/>
      <c r="N353" s="4">
        <v>241820.25</v>
      </c>
      <c r="O353" s="4"/>
      <c r="P353" s="4">
        <v>152532.96</v>
      </c>
      <c r="Q353" s="4">
        <v>24403.8</v>
      </c>
      <c r="R353" s="4"/>
      <c r="S353" s="4"/>
      <c r="T353" s="4"/>
      <c r="U353" s="4"/>
      <c r="V353" s="4">
        <v>157343.31</v>
      </c>
      <c r="W353" s="4"/>
      <c r="X353" s="4">
        <v>184454.59</v>
      </c>
      <c r="Y353" s="4">
        <v>81237.399999999994</v>
      </c>
      <c r="Z353" s="4">
        <v>24671.05</v>
      </c>
      <c r="AA353" s="4">
        <v>319836.84000000003</v>
      </c>
      <c r="AB353" s="4">
        <f t="shared" si="48"/>
        <v>2098077.79</v>
      </c>
    </row>
    <row r="354" spans="1:28" x14ac:dyDescent="0.2">
      <c r="A354" s="3">
        <v>36739</v>
      </c>
      <c r="B354" s="4">
        <v>348189.98</v>
      </c>
      <c r="C354" s="4">
        <v>50732.72</v>
      </c>
      <c r="D354" s="4">
        <v>34797.5</v>
      </c>
      <c r="E354" s="4">
        <v>79743.990000000005</v>
      </c>
      <c r="F354" s="4">
        <v>41092.160000000003</v>
      </c>
      <c r="G354" s="4">
        <v>30443.55</v>
      </c>
      <c r="H354" s="4">
        <v>24230.02</v>
      </c>
      <c r="I354" s="4">
        <v>38087.74</v>
      </c>
      <c r="J354" s="4">
        <v>37177.85</v>
      </c>
      <c r="K354" s="4">
        <v>94986.89</v>
      </c>
      <c r="L354" s="4">
        <v>120000.14</v>
      </c>
      <c r="M354" s="4"/>
      <c r="N354" s="4">
        <v>195341.77</v>
      </c>
      <c r="O354" s="4"/>
      <c r="P354" s="4">
        <v>151324.72</v>
      </c>
      <c r="Q354" s="4">
        <v>24856.34</v>
      </c>
      <c r="R354" s="4"/>
      <c r="S354" s="4"/>
      <c r="T354" s="4"/>
      <c r="U354" s="4"/>
      <c r="V354" s="4">
        <v>158315.03</v>
      </c>
      <c r="W354" s="4"/>
      <c r="X354" s="4">
        <v>180800.54</v>
      </c>
      <c r="Y354" s="4">
        <v>83128.69</v>
      </c>
      <c r="Z354" s="4">
        <v>24553.98</v>
      </c>
      <c r="AA354" s="4">
        <v>277920.26</v>
      </c>
      <c r="AB354" s="4">
        <f t="shared" si="48"/>
        <v>1995723.87</v>
      </c>
    </row>
    <row r="355" spans="1:28" x14ac:dyDescent="0.2">
      <c r="A355" s="3">
        <v>36770</v>
      </c>
      <c r="B355" s="4">
        <v>224322.7</v>
      </c>
      <c r="C355" s="4">
        <v>33407.199999999997</v>
      </c>
      <c r="D355" s="4">
        <v>30385.52</v>
      </c>
      <c r="E355" s="4">
        <v>78707.81</v>
      </c>
      <c r="F355" s="4">
        <v>34405.71</v>
      </c>
      <c r="G355" s="4">
        <v>14441.04</v>
      </c>
      <c r="H355" s="4">
        <v>26503.53</v>
      </c>
      <c r="I355" s="4">
        <v>25771.25</v>
      </c>
      <c r="J355" s="4">
        <v>31159.88</v>
      </c>
      <c r="K355" s="4">
        <v>93106.55</v>
      </c>
      <c r="L355" s="4">
        <v>148169.85999999999</v>
      </c>
      <c r="M355" s="4"/>
      <c r="N355" s="4">
        <v>224446.72</v>
      </c>
      <c r="O355" s="4"/>
      <c r="P355" s="4">
        <v>150626.45000000001</v>
      </c>
      <c r="Q355" s="4">
        <v>23292.32</v>
      </c>
      <c r="R355" s="4"/>
      <c r="S355" s="4"/>
      <c r="T355" s="4"/>
      <c r="U355" s="4"/>
      <c r="V355" s="4">
        <v>125017.49</v>
      </c>
      <c r="W355" s="4"/>
      <c r="X355" s="4">
        <v>88657.27</v>
      </c>
      <c r="Y355" s="4">
        <v>72768.05</v>
      </c>
      <c r="Z355" s="4">
        <v>20620.400000000001</v>
      </c>
      <c r="AA355" s="4">
        <v>318249.32</v>
      </c>
      <c r="AB355" s="4">
        <f t="shared" si="48"/>
        <v>1764059.07</v>
      </c>
    </row>
    <row r="356" spans="1:28" x14ac:dyDescent="0.2">
      <c r="A356" s="3">
        <v>36800</v>
      </c>
      <c r="B356" s="4">
        <v>354512.29</v>
      </c>
      <c r="C356" s="4">
        <v>51747.94</v>
      </c>
      <c r="D356" s="4">
        <v>34140.93</v>
      </c>
      <c r="E356" s="4">
        <v>323839.67</v>
      </c>
      <c r="F356" s="4">
        <v>42196.91</v>
      </c>
      <c r="G356" s="4">
        <v>22777</v>
      </c>
      <c r="H356" s="4">
        <v>26292.46</v>
      </c>
      <c r="I356" s="4">
        <v>36689.53</v>
      </c>
      <c r="J356" s="4">
        <v>40760.080000000002</v>
      </c>
      <c r="K356" s="4">
        <v>309341.01</v>
      </c>
      <c r="L356" s="4">
        <v>110987.2</v>
      </c>
      <c r="M356" s="4"/>
      <c r="N356" s="4">
        <v>312765.27</v>
      </c>
      <c r="O356" s="4"/>
      <c r="P356" s="4">
        <v>155186.06</v>
      </c>
      <c r="Q356" s="4">
        <v>28395.15</v>
      </c>
      <c r="R356" s="4"/>
      <c r="S356" s="4"/>
      <c r="T356" s="4"/>
      <c r="U356" s="4"/>
      <c r="V356" s="4">
        <v>156261.32</v>
      </c>
      <c r="W356" s="4"/>
      <c r="X356" s="4">
        <v>174951.08</v>
      </c>
      <c r="Y356" s="4">
        <v>93184.83</v>
      </c>
      <c r="Z356" s="4">
        <v>24189.38</v>
      </c>
      <c r="AA356" s="4">
        <v>387522.87</v>
      </c>
      <c r="AB356" s="4">
        <f t="shared" si="48"/>
        <v>2685740.98</v>
      </c>
    </row>
    <row r="357" spans="1:28" x14ac:dyDescent="0.2">
      <c r="A357" s="3">
        <v>36831</v>
      </c>
      <c r="B357" s="4">
        <v>340812.44</v>
      </c>
      <c r="C357" s="4">
        <v>54719.51</v>
      </c>
      <c r="D357" s="4">
        <v>35617.379999999997</v>
      </c>
      <c r="E357" s="4">
        <v>76691.13</v>
      </c>
      <c r="F357" s="4">
        <v>44879.25</v>
      </c>
      <c r="G357" s="4">
        <v>32333.040000000001</v>
      </c>
      <c r="H357" s="4">
        <v>27895.19</v>
      </c>
      <c r="I357" s="4">
        <v>39275.279999999999</v>
      </c>
      <c r="J357" s="4">
        <v>43453.16</v>
      </c>
      <c r="K357" s="4">
        <v>111812.17</v>
      </c>
      <c r="L357" s="4">
        <v>118011.37</v>
      </c>
      <c r="M357" s="4"/>
      <c r="N357" s="4">
        <v>193176.05</v>
      </c>
      <c r="O357" s="4"/>
      <c r="P357" s="4">
        <v>163787.5</v>
      </c>
      <c r="Q357" s="4">
        <v>29754.28</v>
      </c>
      <c r="R357" s="4"/>
      <c r="S357" s="4"/>
      <c r="T357" s="4"/>
      <c r="U357" s="4"/>
      <c r="V357" s="4">
        <v>159304.13</v>
      </c>
      <c r="W357" s="4"/>
      <c r="X357" s="4">
        <v>179826.73</v>
      </c>
      <c r="Y357" s="4">
        <v>86717.68</v>
      </c>
      <c r="Z357" s="4">
        <v>25768.76</v>
      </c>
      <c r="AA357" s="4">
        <v>259240.15</v>
      </c>
      <c r="AB357" s="4">
        <f t="shared" si="48"/>
        <v>2023075.1999999997</v>
      </c>
    </row>
    <row r="358" spans="1:28" x14ac:dyDescent="0.2">
      <c r="A358" s="3">
        <v>36861</v>
      </c>
      <c r="B358" s="4">
        <v>317909.81</v>
      </c>
      <c r="C358" s="4">
        <v>45242.28</v>
      </c>
      <c r="D358" s="4">
        <v>43726.67</v>
      </c>
      <c r="E358" s="4">
        <v>74706.03</v>
      </c>
      <c r="F358" s="4">
        <v>46218.32</v>
      </c>
      <c r="G358" s="4">
        <v>27806.54</v>
      </c>
      <c r="H358" s="4">
        <v>39131.56</v>
      </c>
      <c r="I358" s="4">
        <v>34264.75</v>
      </c>
      <c r="J358" s="4">
        <v>56029.58</v>
      </c>
      <c r="K358" s="4">
        <v>92350.98</v>
      </c>
      <c r="L358" s="4">
        <v>139436.57</v>
      </c>
      <c r="M358" s="4"/>
      <c r="N358" s="4">
        <v>360190.97</v>
      </c>
      <c r="O358" s="4"/>
      <c r="P358" s="4">
        <v>159708.76999999999</v>
      </c>
      <c r="Q358" s="4">
        <v>28875.73</v>
      </c>
      <c r="R358" s="4"/>
      <c r="S358" s="4"/>
      <c r="T358" s="4"/>
      <c r="U358" s="4"/>
      <c r="V358" s="4">
        <v>196977.41</v>
      </c>
      <c r="W358" s="4"/>
      <c r="X358" s="4">
        <v>165208.82</v>
      </c>
      <c r="Y358" s="4">
        <v>91796.84</v>
      </c>
      <c r="Z358" s="4">
        <v>28095.79</v>
      </c>
      <c r="AA358" s="4">
        <v>602447.43999999994</v>
      </c>
      <c r="AB358" s="4">
        <f t="shared" si="48"/>
        <v>2550124.86</v>
      </c>
    </row>
    <row r="359" spans="1:28" ht="15.75" thickBot="1" x14ac:dyDescent="0.25">
      <c r="A359" s="3" t="s">
        <v>5</v>
      </c>
      <c r="B359" s="5">
        <f t="shared" ref="B359:W359" si="49">SUM(B347:B358)</f>
        <v>4331160.9499999993</v>
      </c>
      <c r="C359" s="5">
        <f t="shared" si="49"/>
        <v>678072.1100000001</v>
      </c>
      <c r="D359" s="5">
        <f t="shared" si="49"/>
        <v>474362.77999999997</v>
      </c>
      <c r="E359" s="5">
        <f t="shared" si="49"/>
        <v>1186601.7299999997</v>
      </c>
      <c r="F359" s="5">
        <f t="shared" si="49"/>
        <v>575168.24</v>
      </c>
      <c r="G359" s="5">
        <f t="shared" si="49"/>
        <v>412977.56999999989</v>
      </c>
      <c r="H359" s="5">
        <f t="shared" si="49"/>
        <v>372224.97000000003</v>
      </c>
      <c r="I359" s="5">
        <f t="shared" si="49"/>
        <v>480228.87000000011</v>
      </c>
      <c r="J359" s="5">
        <f t="shared" si="49"/>
        <v>532203.27</v>
      </c>
      <c r="K359" s="5">
        <f t="shared" si="49"/>
        <v>1427369.1800000002</v>
      </c>
      <c r="L359" s="5">
        <f t="shared" si="49"/>
        <v>1580799.2099999997</v>
      </c>
      <c r="M359" s="5"/>
      <c r="N359" s="5">
        <f t="shared" si="49"/>
        <v>2922984.76</v>
      </c>
      <c r="O359" s="5"/>
      <c r="P359" s="5">
        <f t="shared" si="49"/>
        <v>2096102.24</v>
      </c>
      <c r="Q359" s="5">
        <f t="shared" si="49"/>
        <v>364608.5</v>
      </c>
      <c r="R359" s="5"/>
      <c r="S359" s="5"/>
      <c r="T359" s="5"/>
      <c r="U359" s="5"/>
      <c r="V359" s="5">
        <f t="shared" si="49"/>
        <v>2159824.66</v>
      </c>
      <c r="W359" s="5">
        <f t="shared" si="49"/>
        <v>0</v>
      </c>
      <c r="X359" s="5">
        <f>SUM(X347:X358)</f>
        <v>2311593.16</v>
      </c>
      <c r="Y359" s="5">
        <f>SUM(Y347:Y358)</f>
        <v>1126204.07</v>
      </c>
      <c r="Z359" s="5">
        <f>SUM(Z347:Z358)</f>
        <v>342499.99</v>
      </c>
      <c r="AA359" s="5">
        <f>SUM(AA347:AA358)</f>
        <v>3807065.2399999998</v>
      </c>
      <c r="AB359" s="5">
        <f t="shared" si="48"/>
        <v>27182051.499999993</v>
      </c>
    </row>
    <row r="360" spans="1:28" ht="15.75" thickTop="1" x14ac:dyDescent="0.2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x14ac:dyDescent="0.2">
      <c r="A361" s="3">
        <v>36161</v>
      </c>
      <c r="B361" s="4">
        <v>462764.97</v>
      </c>
      <c r="C361" s="4">
        <v>85077.08</v>
      </c>
      <c r="D361" s="4">
        <v>55240.71</v>
      </c>
      <c r="E361" s="4">
        <v>98217.01</v>
      </c>
      <c r="F361" s="4">
        <v>69181.87</v>
      </c>
      <c r="G361" s="4">
        <v>44341.21</v>
      </c>
      <c r="H361" s="4">
        <v>40594.74</v>
      </c>
      <c r="I361" s="4">
        <v>56389.17</v>
      </c>
      <c r="J361" s="4">
        <v>68096.25</v>
      </c>
      <c r="K361" s="4">
        <v>135445.79999999999</v>
      </c>
      <c r="L361" s="4">
        <v>129652.83</v>
      </c>
      <c r="M361" s="4"/>
      <c r="N361" s="4">
        <v>253125.94</v>
      </c>
      <c r="O361" s="4"/>
      <c r="P361" s="4">
        <v>247858.82</v>
      </c>
      <c r="Q361" s="4">
        <v>37412.83</v>
      </c>
      <c r="R361" s="4"/>
      <c r="S361" s="4"/>
      <c r="T361" s="4"/>
      <c r="U361" s="4"/>
      <c r="V361" s="4">
        <v>256532.67</v>
      </c>
      <c r="W361" s="4"/>
      <c r="X361" s="4">
        <v>261813.67</v>
      </c>
      <c r="Y361" s="4">
        <v>120390.29</v>
      </c>
      <c r="Z361" s="4">
        <v>40473.83</v>
      </c>
      <c r="AA361" s="4">
        <v>315283.59000000003</v>
      </c>
      <c r="AB361" s="4">
        <f t="shared" ref="AB361:AB373" si="50">SUM(B361:AA361)</f>
        <v>2777893.28</v>
      </c>
    </row>
    <row r="362" spans="1:28" x14ac:dyDescent="0.2">
      <c r="A362" s="3">
        <v>36192</v>
      </c>
      <c r="B362" s="4">
        <v>382228.79</v>
      </c>
      <c r="C362" s="4">
        <v>70656.69</v>
      </c>
      <c r="D362" s="4">
        <v>45668.31</v>
      </c>
      <c r="E362" s="4">
        <v>81190.009999999995</v>
      </c>
      <c r="F362" s="4">
        <v>57221.57</v>
      </c>
      <c r="G362" s="4">
        <v>36664.769999999997</v>
      </c>
      <c r="H362" s="4">
        <v>33483.269999999997</v>
      </c>
      <c r="I362" s="4">
        <v>46619.19</v>
      </c>
      <c r="J362" s="4">
        <v>56321.36</v>
      </c>
      <c r="K362" s="4">
        <v>111967.82</v>
      </c>
      <c r="L362" s="4">
        <v>107209.16</v>
      </c>
      <c r="M362" s="4"/>
      <c r="N362" s="4">
        <v>209179.19</v>
      </c>
      <c r="O362" s="4"/>
      <c r="P362" s="4">
        <v>204512.8</v>
      </c>
      <c r="Q362" s="4">
        <v>30788.959999999999</v>
      </c>
      <c r="R362" s="4"/>
      <c r="S362" s="4"/>
      <c r="T362" s="4"/>
      <c r="U362" s="4"/>
      <c r="V362" s="4">
        <v>211858.56</v>
      </c>
      <c r="W362" s="4"/>
      <c r="X362" s="4">
        <v>216198.97</v>
      </c>
      <c r="Y362" s="4">
        <v>99571.69</v>
      </c>
      <c r="Z362" s="4">
        <v>33466.47</v>
      </c>
      <c r="AA362" s="4">
        <v>260503.92</v>
      </c>
      <c r="AB362" s="4">
        <f t="shared" si="50"/>
        <v>2295311.5</v>
      </c>
    </row>
    <row r="363" spans="1:28" x14ac:dyDescent="0.2">
      <c r="A363" s="3">
        <v>36220</v>
      </c>
      <c r="B363" s="4">
        <v>318047.82</v>
      </c>
      <c r="C363" s="4">
        <v>52350.43</v>
      </c>
      <c r="D363" s="4">
        <v>27412.04</v>
      </c>
      <c r="E363" s="4">
        <v>65581.75</v>
      </c>
      <c r="F363" s="4">
        <v>46076.32</v>
      </c>
      <c r="G363" s="4">
        <v>38466.61</v>
      </c>
      <c r="H363" s="4">
        <v>30225.26</v>
      </c>
      <c r="I363" s="4">
        <v>41378.07</v>
      </c>
      <c r="J363" s="4">
        <v>35315.360000000001</v>
      </c>
      <c r="K363" s="4">
        <v>74864.44</v>
      </c>
      <c r="L363" s="4">
        <v>190576.39</v>
      </c>
      <c r="M363" s="4"/>
      <c r="N363" s="4">
        <v>145512.22</v>
      </c>
      <c r="O363" s="4"/>
      <c r="P363" s="4">
        <v>155113.41</v>
      </c>
      <c r="Q363" s="4">
        <v>37655.06</v>
      </c>
      <c r="R363" s="4"/>
      <c r="S363" s="4"/>
      <c r="T363" s="4"/>
      <c r="U363" s="4"/>
      <c r="V363" s="4">
        <v>160759.72</v>
      </c>
      <c r="W363" s="4"/>
      <c r="X363" s="4">
        <v>148072.25</v>
      </c>
      <c r="Y363" s="4">
        <v>101257.73</v>
      </c>
      <c r="Z363" s="4">
        <v>19617.53</v>
      </c>
      <c r="AA363" s="4">
        <v>130620.44</v>
      </c>
      <c r="AB363" s="4">
        <f t="shared" si="50"/>
        <v>1818902.8499999999</v>
      </c>
    </row>
    <row r="364" spans="1:28" x14ac:dyDescent="0.2">
      <c r="A364" s="3">
        <v>36251</v>
      </c>
      <c r="B364" s="4">
        <v>378154.99</v>
      </c>
      <c r="C364" s="4">
        <v>68090.27</v>
      </c>
      <c r="D364" s="4">
        <v>39518.410000000003</v>
      </c>
      <c r="E364" s="4">
        <v>73476.22</v>
      </c>
      <c r="F364" s="4">
        <v>49323.39</v>
      </c>
      <c r="G364" s="4">
        <v>36440.35</v>
      </c>
      <c r="H364" s="4">
        <v>31593.73</v>
      </c>
      <c r="I364" s="4">
        <v>47287.12</v>
      </c>
      <c r="J364" s="4">
        <v>46266.99</v>
      </c>
      <c r="K364" s="4">
        <v>130788.44</v>
      </c>
      <c r="L364" s="4">
        <v>91942.46</v>
      </c>
      <c r="M364" s="4"/>
      <c r="N364" s="4">
        <v>192077.08</v>
      </c>
      <c r="O364" s="4"/>
      <c r="P364" s="4">
        <v>180831.49</v>
      </c>
      <c r="Q364" s="4">
        <v>30539.63</v>
      </c>
      <c r="R364" s="4"/>
      <c r="S364" s="4"/>
      <c r="T364" s="4"/>
      <c r="U364" s="4"/>
      <c r="V364" s="4">
        <v>196429.75</v>
      </c>
      <c r="W364" s="4"/>
      <c r="X364" s="4">
        <v>198451.07</v>
      </c>
      <c r="Y364" s="4">
        <v>101357.65</v>
      </c>
      <c r="Z364" s="4">
        <v>29968.92</v>
      </c>
      <c r="AA364" s="4">
        <v>259964.58</v>
      </c>
      <c r="AB364" s="4">
        <f t="shared" si="50"/>
        <v>2182502.5399999996</v>
      </c>
    </row>
    <row r="365" spans="1:28" x14ac:dyDescent="0.2">
      <c r="A365" s="3">
        <v>36281</v>
      </c>
      <c r="B365" s="4">
        <v>365281.36</v>
      </c>
      <c r="C365" s="4">
        <v>67494.45</v>
      </c>
      <c r="D365" s="4">
        <v>39423.21</v>
      </c>
      <c r="E365" s="4">
        <v>77034.12</v>
      </c>
      <c r="F365" s="4">
        <v>48900.14</v>
      </c>
      <c r="G365" s="4">
        <v>36256.120000000003</v>
      </c>
      <c r="H365" s="4">
        <v>31545.99</v>
      </c>
      <c r="I365" s="4">
        <v>43239.61</v>
      </c>
      <c r="J365" s="4">
        <v>46277.15</v>
      </c>
      <c r="K365" s="4">
        <v>115543.85</v>
      </c>
      <c r="L365" s="4">
        <v>91758.34</v>
      </c>
      <c r="M365" s="4"/>
      <c r="N365" s="4">
        <v>190064.91</v>
      </c>
      <c r="O365" s="4"/>
      <c r="P365" s="4">
        <v>179747.86</v>
      </c>
      <c r="Q365" s="4">
        <v>30391.39</v>
      </c>
      <c r="R365" s="4"/>
      <c r="S365" s="4"/>
      <c r="T365" s="4"/>
      <c r="U365" s="4"/>
      <c r="V365" s="4">
        <v>189939.11</v>
      </c>
      <c r="W365" s="4"/>
      <c r="X365" s="4">
        <v>195742.42</v>
      </c>
      <c r="Y365" s="4">
        <v>100664.13</v>
      </c>
      <c r="Z365" s="4">
        <v>29627.48</v>
      </c>
      <c r="AA365" s="4">
        <v>256905.09</v>
      </c>
      <c r="AB365" s="4">
        <f t="shared" si="50"/>
        <v>2135836.7299999995</v>
      </c>
    </row>
    <row r="366" spans="1:28" x14ac:dyDescent="0.2">
      <c r="A366" s="3">
        <v>36312</v>
      </c>
      <c r="B366" s="4">
        <v>383896.31</v>
      </c>
      <c r="C366" s="4">
        <v>53522.48</v>
      </c>
      <c r="D366" s="4">
        <v>43932.68</v>
      </c>
      <c r="E366" s="4">
        <v>51729.24</v>
      </c>
      <c r="F366" s="4">
        <v>51072.49</v>
      </c>
      <c r="G366" s="4">
        <v>35436.410000000003</v>
      </c>
      <c r="H366" s="4">
        <v>32303.63</v>
      </c>
      <c r="I366" s="4">
        <v>41888.1</v>
      </c>
      <c r="J366" s="4">
        <v>42164.82</v>
      </c>
      <c r="K366" s="4">
        <v>72423.960000000006</v>
      </c>
      <c r="L366" s="4">
        <v>183557</v>
      </c>
      <c r="M366" s="4"/>
      <c r="N366" s="4">
        <v>161008.72</v>
      </c>
      <c r="O366" s="4"/>
      <c r="P366" s="4">
        <v>203938.48</v>
      </c>
      <c r="Q366" s="4">
        <v>30105.24</v>
      </c>
      <c r="R366" s="4"/>
      <c r="S366" s="4"/>
      <c r="T366" s="4"/>
      <c r="U366" s="4"/>
      <c r="V366" s="4">
        <v>180237.5</v>
      </c>
      <c r="W366" s="4"/>
      <c r="X366" s="4">
        <v>180376.94</v>
      </c>
      <c r="Y366" s="4">
        <v>89449.66</v>
      </c>
      <c r="Z366" s="4">
        <v>31362.32</v>
      </c>
      <c r="AA366" s="4">
        <v>163964.34</v>
      </c>
      <c r="AB366" s="4">
        <f t="shared" si="50"/>
        <v>2032370.3199999998</v>
      </c>
    </row>
    <row r="367" spans="1:28" x14ac:dyDescent="0.2">
      <c r="A367" s="3">
        <v>36342</v>
      </c>
      <c r="B367" s="4">
        <v>326627.31</v>
      </c>
      <c r="C367" s="4">
        <v>52824.32</v>
      </c>
      <c r="D367" s="4">
        <v>32989.07</v>
      </c>
      <c r="E367" s="4">
        <v>82346.78</v>
      </c>
      <c r="F367" s="4">
        <v>43631.97</v>
      </c>
      <c r="G367" s="4">
        <v>28998.57</v>
      </c>
      <c r="H367" s="4">
        <v>23166.9</v>
      </c>
      <c r="I367" s="4">
        <v>40679.160000000003</v>
      </c>
      <c r="J367" s="4">
        <v>39189.629999999997</v>
      </c>
      <c r="K367" s="4">
        <v>104460.68</v>
      </c>
      <c r="L367" s="4">
        <v>91114.84</v>
      </c>
      <c r="M367" s="4"/>
      <c r="N367" s="4">
        <v>192852.35</v>
      </c>
      <c r="O367" s="4"/>
      <c r="P367" s="4">
        <v>155205.22</v>
      </c>
      <c r="Q367" s="4">
        <v>25158.25</v>
      </c>
      <c r="R367" s="4"/>
      <c r="S367" s="4"/>
      <c r="T367" s="4"/>
      <c r="U367" s="4"/>
      <c r="V367" s="4">
        <v>171588.2</v>
      </c>
      <c r="W367" s="4"/>
      <c r="X367" s="4">
        <v>168427.12</v>
      </c>
      <c r="Y367" s="4">
        <v>82536.679999999993</v>
      </c>
      <c r="Z367" s="4">
        <v>24421.11</v>
      </c>
      <c r="AA367" s="4">
        <v>257845.76000000001</v>
      </c>
      <c r="AB367" s="4">
        <f t="shared" si="50"/>
        <v>1944063.9199999997</v>
      </c>
    </row>
    <row r="368" spans="1:28" x14ac:dyDescent="0.2">
      <c r="A368" s="3">
        <v>36373</v>
      </c>
      <c r="B368" s="4">
        <v>328608.21000000002</v>
      </c>
      <c r="C368" s="4">
        <v>53485.14</v>
      </c>
      <c r="D368" s="4">
        <v>33384.36</v>
      </c>
      <c r="E368" s="4">
        <v>76198.320000000007</v>
      </c>
      <c r="F368" s="4">
        <v>44132.25</v>
      </c>
      <c r="G368" s="4">
        <v>29126.080000000002</v>
      </c>
      <c r="H368" s="4">
        <v>23451.54</v>
      </c>
      <c r="I368" s="4">
        <v>38632.76</v>
      </c>
      <c r="J368" s="4">
        <v>39658.959999999999</v>
      </c>
      <c r="K368" s="4">
        <v>93567.12</v>
      </c>
      <c r="L368" s="4">
        <v>92202.240000000005</v>
      </c>
      <c r="M368" s="4"/>
      <c r="N368" s="4">
        <v>194501.47</v>
      </c>
      <c r="O368" s="4"/>
      <c r="P368" s="4">
        <v>157285.66</v>
      </c>
      <c r="Q368" s="4">
        <v>25413.77</v>
      </c>
      <c r="R368" s="4"/>
      <c r="S368" s="4"/>
      <c r="T368" s="4"/>
      <c r="U368" s="4"/>
      <c r="V368" s="4">
        <v>172111.08</v>
      </c>
      <c r="W368" s="4"/>
      <c r="X368" s="4">
        <v>164860.9</v>
      </c>
      <c r="Y368" s="4">
        <v>83471.58</v>
      </c>
      <c r="Z368" s="4">
        <v>24715.73</v>
      </c>
      <c r="AA368" s="4">
        <v>260076.13</v>
      </c>
      <c r="AB368" s="4">
        <f t="shared" si="50"/>
        <v>1934883.2999999998</v>
      </c>
    </row>
    <row r="369" spans="1:28" x14ac:dyDescent="0.2">
      <c r="A369" s="3">
        <v>36404</v>
      </c>
      <c r="B369" s="4">
        <v>378958.57</v>
      </c>
      <c r="C369" s="4">
        <v>52221.79</v>
      </c>
      <c r="D369" s="4">
        <v>41376.68</v>
      </c>
      <c r="E369" s="4">
        <v>89328.35</v>
      </c>
      <c r="F369" s="4">
        <v>48965.81</v>
      </c>
      <c r="G369" s="4">
        <v>38405.629999999997</v>
      </c>
      <c r="H369" s="4">
        <v>34151.599999999999</v>
      </c>
      <c r="I369" s="4">
        <v>43256.44</v>
      </c>
      <c r="J369" s="4">
        <v>38267.68</v>
      </c>
      <c r="K369" s="4">
        <v>101715.83</v>
      </c>
      <c r="L369" s="4">
        <v>173633.35</v>
      </c>
      <c r="M369" s="4"/>
      <c r="N369" s="4">
        <v>163679.82</v>
      </c>
      <c r="O369" s="4"/>
      <c r="P369" s="4">
        <v>143875.26</v>
      </c>
      <c r="Q369" s="4">
        <v>29816.83</v>
      </c>
      <c r="R369" s="4"/>
      <c r="S369" s="4"/>
      <c r="T369" s="4"/>
      <c r="U369" s="4"/>
      <c r="V369" s="4">
        <v>135790.79</v>
      </c>
      <c r="W369" s="4"/>
      <c r="X369" s="4">
        <v>181777.52</v>
      </c>
      <c r="Y369" s="4">
        <v>86540.41</v>
      </c>
      <c r="Z369" s="4">
        <v>27605.61</v>
      </c>
      <c r="AA369" s="4">
        <v>169056.38</v>
      </c>
      <c r="AB369" s="4">
        <f t="shared" si="50"/>
        <v>1978424.35</v>
      </c>
    </row>
    <row r="370" spans="1:28" x14ac:dyDescent="0.2">
      <c r="A370" s="3">
        <v>36434</v>
      </c>
      <c r="B370" s="4">
        <v>312611.09000000003</v>
      </c>
      <c r="C370" s="4">
        <v>51528.62</v>
      </c>
      <c r="D370" s="4">
        <v>34871.629999999997</v>
      </c>
      <c r="E370" s="4">
        <v>72200.289999999994</v>
      </c>
      <c r="F370" s="4">
        <v>38670.9</v>
      </c>
      <c r="G370" s="4">
        <v>28363.19</v>
      </c>
      <c r="H370" s="4">
        <v>27411.42</v>
      </c>
      <c r="I370" s="4">
        <v>37703.51</v>
      </c>
      <c r="J370" s="4">
        <v>42346.35</v>
      </c>
      <c r="K370" s="4">
        <v>107876.1</v>
      </c>
      <c r="L370" s="4">
        <v>103732.11</v>
      </c>
      <c r="M370" s="4"/>
      <c r="N370" s="4">
        <v>187755.91</v>
      </c>
      <c r="O370" s="4"/>
      <c r="P370" s="4">
        <v>154132.74</v>
      </c>
      <c r="Q370" s="4">
        <v>26187.06</v>
      </c>
      <c r="R370" s="4"/>
      <c r="S370" s="4"/>
      <c r="T370" s="4"/>
      <c r="U370" s="4"/>
      <c r="V370" s="4">
        <v>147614.49</v>
      </c>
      <c r="W370" s="4"/>
      <c r="X370" s="4">
        <v>160325.01</v>
      </c>
      <c r="Y370" s="4">
        <v>83444.42</v>
      </c>
      <c r="Z370" s="4">
        <v>24389.52</v>
      </c>
      <c r="AA370" s="4">
        <v>249054.91</v>
      </c>
      <c r="AB370" s="4">
        <f t="shared" si="50"/>
        <v>1890219.2699999998</v>
      </c>
    </row>
    <row r="371" spans="1:28" x14ac:dyDescent="0.2">
      <c r="A371" s="3">
        <v>36465</v>
      </c>
      <c r="B371" s="4">
        <v>317912.12</v>
      </c>
      <c r="C371" s="4">
        <v>59042.83</v>
      </c>
      <c r="D371" s="4">
        <v>35034.9</v>
      </c>
      <c r="E371" s="4">
        <v>73816.789999999994</v>
      </c>
      <c r="F371" s="4">
        <v>39588.28</v>
      </c>
      <c r="G371" s="4">
        <v>28808.01</v>
      </c>
      <c r="H371" s="4">
        <v>28046.92</v>
      </c>
      <c r="I371" s="4">
        <v>38276.379999999997</v>
      </c>
      <c r="J371" s="4">
        <v>43360.53</v>
      </c>
      <c r="K371" s="4">
        <v>121166.43</v>
      </c>
      <c r="L371" s="4">
        <v>106058.06</v>
      </c>
      <c r="M371" s="4"/>
      <c r="N371" s="4">
        <v>187206.01</v>
      </c>
      <c r="O371" s="4"/>
      <c r="P371" s="4">
        <v>156822.48000000001</v>
      </c>
      <c r="Q371" s="4">
        <v>26689.599999999999</v>
      </c>
      <c r="R371" s="4"/>
      <c r="S371" s="4"/>
      <c r="T371" s="4"/>
      <c r="U371" s="4"/>
      <c r="V371" s="4">
        <v>150109.01999999999</v>
      </c>
      <c r="W371" s="4"/>
      <c r="X371" s="4">
        <v>165742.97</v>
      </c>
      <c r="Y371" s="4">
        <v>85065.56</v>
      </c>
      <c r="Z371" s="4">
        <v>24965.96</v>
      </c>
      <c r="AA371" s="4">
        <v>248538.43</v>
      </c>
      <c r="AB371" s="4">
        <f t="shared" si="50"/>
        <v>1936251.2800000003</v>
      </c>
    </row>
    <row r="372" spans="1:28" x14ac:dyDescent="0.2">
      <c r="A372" s="3">
        <v>36495</v>
      </c>
      <c r="B372" s="4">
        <v>503735.53</v>
      </c>
      <c r="C372" s="4">
        <v>88075.65</v>
      </c>
      <c r="D372" s="4">
        <v>54404.82</v>
      </c>
      <c r="E372" s="4">
        <v>94643.74</v>
      </c>
      <c r="F372" s="4">
        <v>61499.74</v>
      </c>
      <c r="G372" s="4">
        <v>49534.94</v>
      </c>
      <c r="H372" s="4">
        <v>39703.42</v>
      </c>
      <c r="I372" s="4">
        <v>56723.5</v>
      </c>
      <c r="J372" s="4">
        <v>64380.46</v>
      </c>
      <c r="K372" s="4">
        <v>126339.26</v>
      </c>
      <c r="L372" s="4">
        <v>103349.4</v>
      </c>
      <c r="M372" s="4"/>
      <c r="N372" s="4">
        <v>232432.67</v>
      </c>
      <c r="O372" s="4"/>
      <c r="P372" s="4">
        <v>247421.08</v>
      </c>
      <c r="Q372" s="4">
        <v>50795.9</v>
      </c>
      <c r="R372" s="4"/>
      <c r="S372" s="4"/>
      <c r="T372" s="4"/>
      <c r="U372" s="4"/>
      <c r="V372" s="4">
        <v>334785.62</v>
      </c>
      <c r="W372" s="4"/>
      <c r="X372" s="4">
        <v>296783.21999999997</v>
      </c>
      <c r="Y372" s="4">
        <v>125143.46</v>
      </c>
      <c r="Z372" s="4">
        <v>42169.91</v>
      </c>
      <c r="AA372" s="4">
        <v>285092.93</v>
      </c>
      <c r="AB372" s="4">
        <f t="shared" si="50"/>
        <v>2857015.2499999995</v>
      </c>
    </row>
    <row r="373" spans="1:28" ht="15.75" thickBot="1" x14ac:dyDescent="0.25">
      <c r="A373" s="3" t="s">
        <v>6</v>
      </c>
      <c r="B373" s="5">
        <f t="shared" ref="B373:W373" si="51">SUM(B361:B372)</f>
        <v>4458827.07</v>
      </c>
      <c r="C373" s="5">
        <f t="shared" si="51"/>
        <v>754369.75</v>
      </c>
      <c r="D373" s="5">
        <f t="shared" si="51"/>
        <v>483256.82</v>
      </c>
      <c r="E373" s="5">
        <f t="shared" si="51"/>
        <v>935762.62</v>
      </c>
      <c r="F373" s="5">
        <f t="shared" si="51"/>
        <v>598264.73</v>
      </c>
      <c r="G373" s="5">
        <f t="shared" si="51"/>
        <v>430841.89</v>
      </c>
      <c r="H373" s="5">
        <f t="shared" si="51"/>
        <v>375678.41999999993</v>
      </c>
      <c r="I373" s="5">
        <f t="shared" si="51"/>
        <v>532073.01</v>
      </c>
      <c r="J373" s="5">
        <f t="shared" si="51"/>
        <v>561645.53999999992</v>
      </c>
      <c r="K373" s="5">
        <f t="shared" si="51"/>
        <v>1296159.73</v>
      </c>
      <c r="L373" s="5">
        <f t="shared" si="51"/>
        <v>1464786.1800000002</v>
      </c>
      <c r="M373" s="5"/>
      <c r="N373" s="5">
        <f t="shared" si="51"/>
        <v>2309396.29</v>
      </c>
      <c r="O373" s="5"/>
      <c r="P373" s="5">
        <f t="shared" si="51"/>
        <v>2186745.2999999998</v>
      </c>
      <c r="Q373" s="5">
        <f t="shared" si="51"/>
        <v>380954.51999999996</v>
      </c>
      <c r="R373" s="5"/>
      <c r="S373" s="5"/>
      <c r="T373" s="5"/>
      <c r="U373" s="5"/>
      <c r="V373" s="5">
        <f t="shared" si="51"/>
        <v>2307756.5100000002</v>
      </c>
      <c r="W373" s="5">
        <f t="shared" si="51"/>
        <v>0</v>
      </c>
      <c r="X373" s="5">
        <f>SUM(X361:X372)</f>
        <v>2338572.0599999996</v>
      </c>
      <c r="Y373" s="5">
        <f>SUM(Y361:Y372)</f>
        <v>1158893.26</v>
      </c>
      <c r="Z373" s="5">
        <f>SUM(Z361:Z372)</f>
        <v>352784.39000000013</v>
      </c>
      <c r="AA373" s="5">
        <f>SUM(AA361:AA372)</f>
        <v>2856906.5000000005</v>
      </c>
      <c r="AB373" s="5">
        <f t="shared" si="50"/>
        <v>25783674.590000004</v>
      </c>
    </row>
    <row r="374" spans="1:28" ht="15.75" thickTop="1" x14ac:dyDescent="0.2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1:28" x14ac:dyDescent="0.2">
      <c r="A375" s="3">
        <v>35796</v>
      </c>
      <c r="B375" s="4">
        <v>525876.37</v>
      </c>
      <c r="C375" s="4">
        <v>101164.2</v>
      </c>
      <c r="D375" s="4">
        <v>64229.06</v>
      </c>
      <c r="E375" s="4">
        <v>101151.85</v>
      </c>
      <c r="F375" s="4">
        <v>74904.38</v>
      </c>
      <c r="G375" s="4">
        <v>50359.91</v>
      </c>
      <c r="H375" s="4">
        <v>46749.2</v>
      </c>
      <c r="I375" s="4">
        <v>61109.09</v>
      </c>
      <c r="J375" s="4">
        <v>87994.69</v>
      </c>
      <c r="K375" s="4">
        <v>144538.47</v>
      </c>
      <c r="L375" s="4">
        <v>150136.47</v>
      </c>
      <c r="M375" s="4"/>
      <c r="N375" s="4">
        <v>283115.74</v>
      </c>
      <c r="O375" s="4"/>
      <c r="P375" s="4">
        <v>297883.7</v>
      </c>
      <c r="Q375" s="4">
        <v>42834.95</v>
      </c>
      <c r="R375" s="4"/>
      <c r="S375" s="4"/>
      <c r="T375" s="4"/>
      <c r="U375" s="4"/>
      <c r="V375" s="4">
        <v>295168.15000000002</v>
      </c>
      <c r="W375" s="4"/>
      <c r="X375" s="4">
        <v>305650.78999999998</v>
      </c>
      <c r="Y375" s="4">
        <v>140399.79</v>
      </c>
      <c r="Z375" s="4">
        <v>45582.13</v>
      </c>
      <c r="AA375" s="4">
        <v>342634.95</v>
      </c>
      <c r="AB375" s="4">
        <f t="shared" ref="AB375:AB387" si="52">SUM(B375:AA375)</f>
        <v>3161483.8899999997</v>
      </c>
    </row>
    <row r="376" spans="1:28" x14ac:dyDescent="0.2">
      <c r="A376" s="3">
        <v>35827</v>
      </c>
      <c r="B376" s="4">
        <v>421770.47</v>
      </c>
      <c r="C376" s="4">
        <v>81072.929999999993</v>
      </c>
      <c r="D376" s="4">
        <v>51511.99</v>
      </c>
      <c r="E376" s="4">
        <v>81124.84</v>
      </c>
      <c r="F376" s="4">
        <v>60028.480000000003</v>
      </c>
      <c r="G376" s="4">
        <v>40399.47</v>
      </c>
      <c r="H376" s="4">
        <v>37297.47</v>
      </c>
      <c r="I376" s="4">
        <v>49009.02</v>
      </c>
      <c r="J376" s="4">
        <v>70548.759999999995</v>
      </c>
      <c r="K376" s="4">
        <v>123433.02</v>
      </c>
      <c r="L376" s="4">
        <v>120449.91</v>
      </c>
      <c r="M376" s="4"/>
      <c r="N376" s="4">
        <v>227067.99</v>
      </c>
      <c r="O376" s="4"/>
      <c r="P376" s="4">
        <v>238939.56</v>
      </c>
      <c r="Q376" s="4">
        <v>34228.080000000002</v>
      </c>
      <c r="R376" s="4"/>
      <c r="S376" s="4"/>
      <c r="T376" s="4"/>
      <c r="U376" s="4"/>
      <c r="V376" s="4">
        <v>237400.95</v>
      </c>
      <c r="W376" s="4"/>
      <c r="X376" s="4">
        <v>245125.55</v>
      </c>
      <c r="Y376" s="4">
        <v>111944.47</v>
      </c>
      <c r="Z376" s="4">
        <v>36555.870000000003</v>
      </c>
      <c r="AA376" s="4">
        <v>275037.76</v>
      </c>
      <c r="AB376" s="4">
        <f t="shared" si="52"/>
        <v>2542946.59</v>
      </c>
    </row>
    <row r="377" spans="1:28" x14ac:dyDescent="0.2">
      <c r="A377" s="3">
        <v>35855</v>
      </c>
      <c r="B377" s="4">
        <v>444627.98</v>
      </c>
      <c r="C377" s="4">
        <v>50770.87</v>
      </c>
      <c r="D377" s="4">
        <v>27754.99</v>
      </c>
      <c r="E377" s="4">
        <v>81315.850000000006</v>
      </c>
      <c r="F377" s="4">
        <v>38620.57</v>
      </c>
      <c r="G377" s="4">
        <v>52788.44</v>
      </c>
      <c r="H377" s="4">
        <v>28038.32</v>
      </c>
      <c r="I377" s="4">
        <v>36168.199999999997</v>
      </c>
      <c r="J377" s="4">
        <v>38913.35</v>
      </c>
      <c r="K377" s="4">
        <v>92714.92</v>
      </c>
      <c r="L377" s="4">
        <v>99659.89</v>
      </c>
      <c r="M377" s="4"/>
      <c r="N377" s="4">
        <v>151293.42000000001</v>
      </c>
      <c r="O377" s="4"/>
      <c r="P377" s="4">
        <v>129259.25</v>
      </c>
      <c r="Q377" s="4">
        <v>22134.29</v>
      </c>
      <c r="R377" s="4"/>
      <c r="S377" s="4"/>
      <c r="T377" s="4"/>
      <c r="U377" s="4"/>
      <c r="V377" s="4">
        <v>252200.27</v>
      </c>
      <c r="W377" s="4"/>
      <c r="X377" s="4">
        <v>132153.57</v>
      </c>
      <c r="Y377" s="4">
        <v>141783.54999999999</v>
      </c>
      <c r="Z377" s="4">
        <v>28393.200000000001</v>
      </c>
      <c r="AA377" s="4">
        <v>274082.21000000002</v>
      </c>
      <c r="AB377" s="4">
        <f t="shared" si="52"/>
        <v>2122673.14</v>
      </c>
    </row>
    <row r="378" spans="1:28" x14ac:dyDescent="0.2">
      <c r="A378" s="3">
        <v>35886</v>
      </c>
      <c r="B378" s="4">
        <v>362699.51</v>
      </c>
      <c r="C378" s="4">
        <v>62821.62</v>
      </c>
      <c r="D378" s="4">
        <v>41259.08</v>
      </c>
      <c r="E378" s="4">
        <v>74220.14</v>
      </c>
      <c r="F378" s="4">
        <v>49375.35</v>
      </c>
      <c r="G378" s="4">
        <v>35945.800000000003</v>
      </c>
      <c r="H378" s="4">
        <v>33274.269999999997</v>
      </c>
      <c r="I378" s="4">
        <v>44323.49</v>
      </c>
      <c r="J378" s="4">
        <v>36009.81</v>
      </c>
      <c r="K378" s="4">
        <v>116195.46</v>
      </c>
      <c r="L378" s="4">
        <v>110586.61</v>
      </c>
      <c r="M378" s="4"/>
      <c r="N378" s="4">
        <v>191589.25</v>
      </c>
      <c r="O378" s="4"/>
      <c r="P378" s="4">
        <v>173312.24</v>
      </c>
      <c r="Q378" s="4">
        <v>32313.01</v>
      </c>
      <c r="R378" s="4"/>
      <c r="S378" s="4"/>
      <c r="T378" s="4"/>
      <c r="U378" s="4"/>
      <c r="V378" s="4">
        <v>196772.99</v>
      </c>
      <c r="W378" s="4"/>
      <c r="X378" s="4">
        <v>206004.9</v>
      </c>
      <c r="Y378" s="4">
        <v>102514.87</v>
      </c>
      <c r="Z378" s="4">
        <v>30699.71</v>
      </c>
      <c r="AA378" s="4">
        <v>264537.74</v>
      </c>
      <c r="AB378" s="4">
        <f t="shared" si="52"/>
        <v>2164455.8499999996</v>
      </c>
    </row>
    <row r="379" spans="1:28" x14ac:dyDescent="0.2">
      <c r="A379" s="3">
        <v>35916</v>
      </c>
      <c r="B379" s="4">
        <v>378024.11</v>
      </c>
      <c r="C379" s="4">
        <v>65793.960000000006</v>
      </c>
      <c r="D379" s="4">
        <v>42728.19</v>
      </c>
      <c r="E379" s="4">
        <v>77356.429999999993</v>
      </c>
      <c r="F379" s="4">
        <v>51459.7</v>
      </c>
      <c r="G379" s="4">
        <v>37462.879999999997</v>
      </c>
      <c r="H379" s="4">
        <v>35005.519999999997</v>
      </c>
      <c r="I379" s="4">
        <v>46213.75</v>
      </c>
      <c r="J379" s="4">
        <v>51970.9</v>
      </c>
      <c r="K379" s="4">
        <v>121103.91</v>
      </c>
      <c r="L379" s="4">
        <v>115260.28</v>
      </c>
      <c r="M379" s="4"/>
      <c r="N379" s="4">
        <v>199669.68</v>
      </c>
      <c r="O379" s="4"/>
      <c r="P379" s="4">
        <v>205873.78</v>
      </c>
      <c r="Q379" s="4">
        <v>33664.269999999997</v>
      </c>
      <c r="R379" s="4"/>
      <c r="S379" s="4"/>
      <c r="T379" s="4"/>
      <c r="U379" s="4"/>
      <c r="V379" s="4">
        <v>204226.59</v>
      </c>
      <c r="W379" s="4"/>
      <c r="X379" s="4">
        <v>214513.72</v>
      </c>
      <c r="Y379" s="4">
        <v>106168.1</v>
      </c>
      <c r="Z379" s="4">
        <v>31997.88</v>
      </c>
      <c r="AA379" s="4">
        <v>275680.59000000003</v>
      </c>
      <c r="AB379" s="4">
        <f t="shared" si="52"/>
        <v>2294174.2400000002</v>
      </c>
    </row>
    <row r="380" spans="1:28" x14ac:dyDescent="0.2">
      <c r="A380" s="3">
        <v>35947</v>
      </c>
      <c r="B380" s="4">
        <v>321557.11</v>
      </c>
      <c r="C380" s="4">
        <v>68334.649999999994</v>
      </c>
      <c r="D380" s="4">
        <v>30149.040000000001</v>
      </c>
      <c r="E380" s="4">
        <v>79913.03</v>
      </c>
      <c r="F380" s="4">
        <v>46273.57</v>
      </c>
      <c r="G380" s="4">
        <v>25657.38</v>
      </c>
      <c r="H380" s="4">
        <v>22891.57</v>
      </c>
      <c r="I380" s="4">
        <v>31859.13</v>
      </c>
      <c r="J380" s="4">
        <v>30952.63</v>
      </c>
      <c r="K380" s="4">
        <v>96354.25</v>
      </c>
      <c r="L380" s="4">
        <v>75503.37</v>
      </c>
      <c r="M380" s="4"/>
      <c r="N380" s="4">
        <v>166228.43</v>
      </c>
      <c r="O380" s="4"/>
      <c r="P380" s="4">
        <v>109105.59</v>
      </c>
      <c r="Q380" s="4">
        <v>22470.39</v>
      </c>
      <c r="R380" s="4"/>
      <c r="S380" s="4"/>
      <c r="T380" s="4"/>
      <c r="U380" s="4"/>
      <c r="V380" s="4">
        <v>140750.62</v>
      </c>
      <c r="W380" s="4"/>
      <c r="X380" s="4">
        <v>140137.5</v>
      </c>
      <c r="Y380" s="4">
        <v>96932.7</v>
      </c>
      <c r="Z380" s="4">
        <v>25881.88</v>
      </c>
      <c r="AA380" s="4">
        <v>199474.7</v>
      </c>
      <c r="AB380" s="4">
        <f t="shared" si="52"/>
        <v>1730427.5399999996</v>
      </c>
    </row>
    <row r="381" spans="1:28" x14ac:dyDescent="0.2">
      <c r="A381" s="3">
        <v>35977</v>
      </c>
      <c r="B381" s="4">
        <v>336612.83</v>
      </c>
      <c r="C381" s="4">
        <v>55117.98</v>
      </c>
      <c r="D381" s="4">
        <v>35675.339999999997</v>
      </c>
      <c r="E381" s="4">
        <v>84322.07</v>
      </c>
      <c r="F381" s="4">
        <v>41004.86</v>
      </c>
      <c r="G381" s="4">
        <v>30027.46</v>
      </c>
      <c r="H381" s="4">
        <v>22398.92</v>
      </c>
      <c r="I381" s="4">
        <v>31621.3</v>
      </c>
      <c r="J381" s="4">
        <v>39792.83</v>
      </c>
      <c r="K381" s="4">
        <v>102672.6</v>
      </c>
      <c r="L381" s="4">
        <v>47142.54</v>
      </c>
      <c r="M381" s="4"/>
      <c r="N381" s="4">
        <v>197105.98</v>
      </c>
      <c r="O381" s="4"/>
      <c r="P381" s="4">
        <v>142749.5</v>
      </c>
      <c r="Q381" s="4">
        <v>25167.439999999999</v>
      </c>
      <c r="R381" s="4"/>
      <c r="S381" s="4"/>
      <c r="T381" s="4"/>
      <c r="U381" s="4"/>
      <c r="V381" s="4">
        <v>171842.35</v>
      </c>
      <c r="W381" s="4"/>
      <c r="X381" s="4">
        <v>175854.26</v>
      </c>
      <c r="Y381" s="4">
        <v>91735.69</v>
      </c>
      <c r="Z381" s="4">
        <v>26134.94</v>
      </c>
      <c r="AA381" s="4">
        <v>277910</v>
      </c>
      <c r="AB381" s="4">
        <f t="shared" si="52"/>
        <v>1934888.89</v>
      </c>
    </row>
    <row r="382" spans="1:28" x14ac:dyDescent="0.2">
      <c r="A382" s="3">
        <v>36008</v>
      </c>
      <c r="B382" s="4">
        <v>327100.90000000002</v>
      </c>
      <c r="C382" s="4">
        <v>53324.86</v>
      </c>
      <c r="D382" s="4">
        <v>34891.89</v>
      </c>
      <c r="E382" s="4">
        <v>82305.03</v>
      </c>
      <c r="F382" s="4">
        <v>39973.339999999997</v>
      </c>
      <c r="G382" s="4">
        <v>29358.720000000001</v>
      </c>
      <c r="H382" s="4">
        <v>21897.37</v>
      </c>
      <c r="I382" s="4">
        <v>38753.17</v>
      </c>
      <c r="J382" s="4">
        <v>38957.08</v>
      </c>
      <c r="K382" s="4">
        <v>100032.05</v>
      </c>
      <c r="L382" s="4">
        <v>89152.74</v>
      </c>
      <c r="M382" s="4"/>
      <c r="N382" s="4">
        <v>192544.11</v>
      </c>
      <c r="O382" s="4"/>
      <c r="P382" s="4">
        <v>149271.35</v>
      </c>
      <c r="Q382" s="4">
        <v>25570.36</v>
      </c>
      <c r="R382" s="4"/>
      <c r="S382" s="4"/>
      <c r="T382" s="4"/>
      <c r="U382" s="4"/>
      <c r="V382" s="4">
        <v>169640.13</v>
      </c>
      <c r="W382" s="4"/>
      <c r="X382" s="4">
        <v>173666.43</v>
      </c>
      <c r="Y382" s="4">
        <v>89055.59</v>
      </c>
      <c r="Z382" s="4">
        <v>25560.69</v>
      </c>
      <c r="AA382" s="4">
        <v>294437.15000000002</v>
      </c>
      <c r="AB382" s="4">
        <f t="shared" si="52"/>
        <v>1975492.96</v>
      </c>
    </row>
    <row r="383" spans="1:28" x14ac:dyDescent="0.2">
      <c r="A383" s="3">
        <v>36039</v>
      </c>
      <c r="B383" s="4">
        <v>316385.93</v>
      </c>
      <c r="C383" s="4">
        <v>59855.83</v>
      </c>
      <c r="D383" s="4">
        <v>27690.61</v>
      </c>
      <c r="E383" s="4">
        <v>50088.14</v>
      </c>
      <c r="F383" s="4">
        <v>55873.42</v>
      </c>
      <c r="G383" s="4">
        <v>26254.23</v>
      </c>
      <c r="H383" s="4">
        <v>34230.29</v>
      </c>
      <c r="I383" s="4">
        <v>36100.92</v>
      </c>
      <c r="J383" s="4">
        <v>35137.5</v>
      </c>
      <c r="K383" s="4">
        <v>83698.92</v>
      </c>
      <c r="L383" s="4">
        <v>223172.59</v>
      </c>
      <c r="M383" s="4"/>
      <c r="N383" s="4">
        <v>176724.56</v>
      </c>
      <c r="O383" s="4"/>
      <c r="P383" s="4">
        <v>165029.95000000001</v>
      </c>
      <c r="Q383" s="4">
        <v>20820.04</v>
      </c>
      <c r="R383" s="4"/>
      <c r="S383" s="4"/>
      <c r="T383" s="4"/>
      <c r="U383" s="4"/>
      <c r="V383" s="4">
        <v>157884.24</v>
      </c>
      <c r="W383" s="4"/>
      <c r="X383" s="4">
        <v>138059.21</v>
      </c>
      <c r="Y383" s="4">
        <v>69808.509999999995</v>
      </c>
      <c r="Z383" s="4">
        <v>24331.52</v>
      </c>
      <c r="AA383" s="4">
        <v>226562.49</v>
      </c>
      <c r="AB383" s="4">
        <f t="shared" si="52"/>
        <v>1927708.9000000001</v>
      </c>
    </row>
    <row r="384" spans="1:28" x14ac:dyDescent="0.2">
      <c r="A384" s="3">
        <v>36069</v>
      </c>
      <c r="B384" s="4">
        <v>320726.82</v>
      </c>
      <c r="C384" s="4">
        <v>55433.05</v>
      </c>
      <c r="D384" s="4">
        <v>34081.879999999997</v>
      </c>
      <c r="E384" s="4">
        <v>67495.59</v>
      </c>
      <c r="F384" s="4">
        <v>43047.66</v>
      </c>
      <c r="G384" s="4">
        <v>29934.49</v>
      </c>
      <c r="H384" s="4">
        <v>26631.55</v>
      </c>
      <c r="I384" s="4">
        <v>38473.949999999997</v>
      </c>
      <c r="J384" s="4">
        <v>46059.89</v>
      </c>
      <c r="K384" s="4">
        <v>101291.1</v>
      </c>
      <c r="L384" s="4">
        <v>95359.69</v>
      </c>
      <c r="M384" s="4"/>
      <c r="N384" s="4">
        <v>186301.95</v>
      </c>
      <c r="O384" s="4"/>
      <c r="P384" s="4">
        <v>161359.1</v>
      </c>
      <c r="Q384" s="4">
        <v>27058.37</v>
      </c>
      <c r="R384" s="4"/>
      <c r="S384" s="4"/>
      <c r="T384" s="4"/>
      <c r="U384" s="4"/>
      <c r="V384" s="4">
        <v>171314.87</v>
      </c>
      <c r="W384" s="4"/>
      <c r="X384" s="4">
        <v>165898.23000000001</v>
      </c>
      <c r="Y384" s="4">
        <v>74571.03</v>
      </c>
      <c r="Z384" s="4">
        <v>26252.2</v>
      </c>
      <c r="AA384" s="4">
        <v>251952.11</v>
      </c>
      <c r="AB384" s="4">
        <f t="shared" si="52"/>
        <v>1923243.5299999998</v>
      </c>
    </row>
    <row r="385" spans="1:28" x14ac:dyDescent="0.2">
      <c r="A385" s="3">
        <v>36100</v>
      </c>
      <c r="B385" s="4">
        <v>316333.11</v>
      </c>
      <c r="C385" s="4">
        <v>54536.75</v>
      </c>
      <c r="D385" s="4">
        <v>35099.71</v>
      </c>
      <c r="E385" s="4">
        <v>74083.240000000005</v>
      </c>
      <c r="F385" s="4">
        <v>41515.24</v>
      </c>
      <c r="G385" s="4">
        <v>29208.28</v>
      </c>
      <c r="H385" s="4">
        <v>25786.45</v>
      </c>
      <c r="I385" s="4">
        <v>37171.129999999997</v>
      </c>
      <c r="J385" s="4">
        <v>44535.07</v>
      </c>
      <c r="K385" s="4">
        <v>109163.93</v>
      </c>
      <c r="L385" s="4">
        <v>92626.27</v>
      </c>
      <c r="M385" s="4"/>
      <c r="N385" s="4">
        <v>180078.15</v>
      </c>
      <c r="O385" s="4"/>
      <c r="P385" s="4">
        <v>156545.35999999999</v>
      </c>
      <c r="Q385" s="4">
        <v>26151.91</v>
      </c>
      <c r="R385" s="4"/>
      <c r="S385" s="4"/>
      <c r="T385" s="4"/>
      <c r="U385" s="4"/>
      <c r="V385" s="4">
        <v>168562.17</v>
      </c>
      <c r="W385" s="4"/>
      <c r="X385" s="4">
        <v>168132.15</v>
      </c>
      <c r="Y385" s="4">
        <v>82443.8</v>
      </c>
      <c r="Z385" s="4">
        <v>25403.26</v>
      </c>
      <c r="AA385" s="4">
        <v>286646.88</v>
      </c>
      <c r="AB385" s="4">
        <f t="shared" si="52"/>
        <v>1954022.8599999999</v>
      </c>
    </row>
    <row r="386" spans="1:28" x14ac:dyDescent="0.2">
      <c r="A386" s="3">
        <v>36130</v>
      </c>
      <c r="B386" s="4">
        <v>447629.49</v>
      </c>
      <c r="C386" s="4">
        <v>60067.07</v>
      </c>
      <c r="D386" s="4">
        <v>46915.79</v>
      </c>
      <c r="E386" s="4">
        <v>82257.88</v>
      </c>
      <c r="F386" s="4">
        <v>56361.38</v>
      </c>
      <c r="G386" s="4">
        <v>39219.72</v>
      </c>
      <c r="H386" s="4">
        <v>27987.82</v>
      </c>
      <c r="I386" s="4">
        <v>52858.34</v>
      </c>
      <c r="J386" s="4">
        <v>45845.64</v>
      </c>
      <c r="K386" s="4">
        <v>122100.15</v>
      </c>
      <c r="L386" s="4">
        <v>154133.03</v>
      </c>
      <c r="M386" s="4"/>
      <c r="N386" s="4">
        <v>229952.46</v>
      </c>
      <c r="O386" s="4"/>
      <c r="P386" s="4">
        <v>191514</v>
      </c>
      <c r="Q386" s="4">
        <v>31239.91</v>
      </c>
      <c r="R386" s="4"/>
      <c r="S386" s="4"/>
      <c r="T386" s="4"/>
      <c r="U386" s="4"/>
      <c r="V386" s="4">
        <v>178004.39</v>
      </c>
      <c r="W386" s="4"/>
      <c r="X386" s="4">
        <v>215284.96</v>
      </c>
      <c r="Y386" s="4">
        <v>119019.3</v>
      </c>
      <c r="Z386" s="4">
        <v>37482.54</v>
      </c>
      <c r="AA386" s="4">
        <v>209346.69</v>
      </c>
      <c r="AB386" s="4">
        <f t="shared" si="52"/>
        <v>2347220.5599999996</v>
      </c>
    </row>
    <row r="387" spans="1:28" ht="15.75" thickBot="1" x14ac:dyDescent="0.25">
      <c r="A387" s="3" t="s">
        <v>7</v>
      </c>
      <c r="B387" s="5">
        <f t="shared" ref="B387:W387" si="53">SUM(B375:B386)</f>
        <v>4519344.63</v>
      </c>
      <c r="C387" s="5">
        <f t="shared" si="53"/>
        <v>768293.7699999999</v>
      </c>
      <c r="D387" s="5">
        <f t="shared" si="53"/>
        <v>471987.57</v>
      </c>
      <c r="E387" s="5">
        <f t="shared" si="53"/>
        <v>935634.09</v>
      </c>
      <c r="F387" s="5">
        <f t="shared" si="53"/>
        <v>598437.94999999995</v>
      </c>
      <c r="G387" s="5">
        <f t="shared" si="53"/>
        <v>426616.78</v>
      </c>
      <c r="H387" s="5">
        <f t="shared" si="53"/>
        <v>362188.74999999994</v>
      </c>
      <c r="I387" s="5">
        <f t="shared" si="53"/>
        <v>503661.49</v>
      </c>
      <c r="J387" s="5">
        <f t="shared" si="53"/>
        <v>566718.15</v>
      </c>
      <c r="K387" s="5">
        <f t="shared" si="53"/>
        <v>1313298.78</v>
      </c>
      <c r="L387" s="5">
        <f t="shared" si="53"/>
        <v>1373183.3900000001</v>
      </c>
      <c r="M387" s="5"/>
      <c r="N387" s="5">
        <f t="shared" si="53"/>
        <v>2381671.7200000002</v>
      </c>
      <c r="O387" s="5"/>
      <c r="P387" s="5">
        <f t="shared" si="53"/>
        <v>2120843.3800000004</v>
      </c>
      <c r="Q387" s="5">
        <f t="shared" si="53"/>
        <v>343653.01999999996</v>
      </c>
      <c r="R387" s="5"/>
      <c r="S387" s="5"/>
      <c r="T387" s="5"/>
      <c r="U387" s="5"/>
      <c r="V387" s="5">
        <f t="shared" si="53"/>
        <v>2343767.7200000002</v>
      </c>
      <c r="W387" s="5">
        <f t="shared" si="53"/>
        <v>0</v>
      </c>
      <c r="X387" s="5">
        <f>SUM(X375:X386)</f>
        <v>2280481.27</v>
      </c>
      <c r="Y387" s="5">
        <f>SUM(Y375:Y386)</f>
        <v>1226377.3999999999</v>
      </c>
      <c r="Z387" s="5">
        <f>SUM(Z375:Z386)</f>
        <v>364275.82</v>
      </c>
      <c r="AA387" s="5">
        <f>SUM(AA375:AA386)</f>
        <v>3178303.2699999996</v>
      </c>
      <c r="AB387" s="5">
        <f t="shared" si="52"/>
        <v>26078738.949999999</v>
      </c>
    </row>
    <row r="388" spans="1:28" ht="15.75" thickTop="1" x14ac:dyDescent="0.2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28" x14ac:dyDescent="0.2">
      <c r="A389" s="3">
        <v>35431</v>
      </c>
      <c r="B389" s="4">
        <v>492172.16</v>
      </c>
      <c r="C389" s="4">
        <v>96413.77</v>
      </c>
      <c r="D389" s="4">
        <v>66887.67</v>
      </c>
      <c r="E389" s="4">
        <v>90776.06</v>
      </c>
      <c r="F389" s="4">
        <v>76997.009999999995</v>
      </c>
      <c r="G389" s="4">
        <v>51036.29</v>
      </c>
      <c r="H389" s="4">
        <v>37672.69</v>
      </c>
      <c r="I389" s="4">
        <v>63270.54</v>
      </c>
      <c r="J389" s="4">
        <v>76123.87</v>
      </c>
      <c r="K389" s="4">
        <v>147829.98000000001</v>
      </c>
      <c r="L389" s="4">
        <v>151618.56</v>
      </c>
      <c r="M389" s="4"/>
      <c r="N389" s="4">
        <v>276922.7</v>
      </c>
      <c r="O389" s="4"/>
      <c r="P389" s="4">
        <v>285727.25</v>
      </c>
      <c r="Q389" s="4">
        <v>40995.660000000003</v>
      </c>
      <c r="R389" s="4"/>
      <c r="S389" s="4"/>
      <c r="T389" s="4"/>
      <c r="U389" s="4"/>
      <c r="V389" s="4">
        <v>320362.01</v>
      </c>
      <c r="W389" s="4"/>
      <c r="X389" s="4">
        <v>309859.57</v>
      </c>
      <c r="Y389" s="4">
        <v>138193.67000000001</v>
      </c>
      <c r="Z389" s="4">
        <v>47846.26</v>
      </c>
      <c r="AA389" s="4">
        <v>338416.39</v>
      </c>
      <c r="AB389" s="4">
        <f t="shared" ref="AB389:AB401" si="54">SUM(B389:AA389)</f>
        <v>3109122.1099999994</v>
      </c>
    </row>
    <row r="390" spans="1:28" x14ac:dyDescent="0.2">
      <c r="A390" s="3">
        <v>35462</v>
      </c>
      <c r="B390" s="4">
        <v>392093.14</v>
      </c>
      <c r="C390" s="4">
        <v>76259.81</v>
      </c>
      <c r="D390" s="4">
        <v>53237.73</v>
      </c>
      <c r="E390" s="4">
        <v>86657.13</v>
      </c>
      <c r="F390" s="4">
        <v>61284.2</v>
      </c>
      <c r="G390" s="4">
        <v>40410.080000000002</v>
      </c>
      <c r="H390" s="4">
        <v>29983.58</v>
      </c>
      <c r="I390" s="4">
        <v>50364.89</v>
      </c>
      <c r="J390" s="4">
        <v>60584.15</v>
      </c>
      <c r="K390" s="4">
        <v>119756.67</v>
      </c>
      <c r="L390" s="4">
        <v>120665.06</v>
      </c>
      <c r="M390" s="4"/>
      <c r="N390" s="4">
        <v>220065.98</v>
      </c>
      <c r="O390" s="4"/>
      <c r="P390" s="4">
        <v>230510.74</v>
      </c>
      <c r="Q390" s="4">
        <v>32630.68</v>
      </c>
      <c r="R390" s="4"/>
      <c r="S390" s="4"/>
      <c r="T390" s="4"/>
      <c r="U390" s="4"/>
      <c r="V390" s="4">
        <v>254514.09</v>
      </c>
      <c r="W390" s="4"/>
      <c r="X390" s="4">
        <v>250311.61</v>
      </c>
      <c r="Y390" s="4">
        <v>109852.56</v>
      </c>
      <c r="Z390" s="4">
        <v>37901.53</v>
      </c>
      <c r="AA390" s="4">
        <v>269344.55</v>
      </c>
      <c r="AB390" s="4">
        <f t="shared" si="54"/>
        <v>2496428.1799999997</v>
      </c>
    </row>
    <row r="391" spans="1:28" x14ac:dyDescent="0.2">
      <c r="A391" s="3">
        <v>35490</v>
      </c>
      <c r="B391" s="4">
        <v>514046.9</v>
      </c>
      <c r="C391" s="4">
        <v>94156.25</v>
      </c>
      <c r="D391" s="4">
        <v>40886.74</v>
      </c>
      <c r="E391" s="4">
        <v>74590.62</v>
      </c>
      <c r="F391" s="4">
        <v>43565.95</v>
      </c>
      <c r="G391" s="4">
        <v>35971.269999999997</v>
      </c>
      <c r="H391" s="4">
        <v>49360.21</v>
      </c>
      <c r="I391" s="4">
        <v>34178.22</v>
      </c>
      <c r="J391" s="4">
        <v>79780.59</v>
      </c>
      <c r="K391" s="4">
        <v>116651.54</v>
      </c>
      <c r="L391" s="4">
        <v>104302.83</v>
      </c>
      <c r="M391" s="4"/>
      <c r="N391" s="4">
        <v>247790.82</v>
      </c>
      <c r="O391" s="4"/>
      <c r="P391" s="4">
        <v>230773.7</v>
      </c>
      <c r="Q391" s="4">
        <v>32785.08</v>
      </c>
      <c r="R391" s="4"/>
      <c r="S391" s="4"/>
      <c r="T391" s="4"/>
      <c r="U391" s="4"/>
      <c r="V391" s="4">
        <v>173304.67</v>
      </c>
      <c r="W391" s="4"/>
      <c r="X391" s="4">
        <v>235803.44</v>
      </c>
      <c r="Y391" s="4">
        <v>123285.61</v>
      </c>
      <c r="Z391" s="4">
        <v>31179.75</v>
      </c>
      <c r="AA391" s="4">
        <v>342706.89</v>
      </c>
      <c r="AB391" s="4">
        <f t="shared" si="54"/>
        <v>2605121.08</v>
      </c>
    </row>
    <row r="392" spans="1:28" x14ac:dyDescent="0.2">
      <c r="A392" s="3">
        <v>35521</v>
      </c>
      <c r="B392" s="4">
        <v>380951.61</v>
      </c>
      <c r="C392" s="4">
        <v>67158.490000000005</v>
      </c>
      <c r="D392" s="4">
        <v>37136.18</v>
      </c>
      <c r="E392" s="4">
        <v>80933.69</v>
      </c>
      <c r="F392" s="4">
        <v>46128.03</v>
      </c>
      <c r="G392" s="4">
        <v>36162.730000000003</v>
      </c>
      <c r="H392" s="4">
        <v>30400.51</v>
      </c>
      <c r="I392" s="4">
        <v>41143.07</v>
      </c>
      <c r="J392" s="4">
        <v>53188.99</v>
      </c>
      <c r="K392" s="4">
        <v>118874.71</v>
      </c>
      <c r="L392" s="4">
        <v>108018.6</v>
      </c>
      <c r="M392" s="4"/>
      <c r="N392" s="4">
        <v>195091.28</v>
      </c>
      <c r="O392" s="4"/>
      <c r="P392" s="4">
        <v>201677.68</v>
      </c>
      <c r="Q392" s="4">
        <v>31162.95</v>
      </c>
      <c r="R392" s="4"/>
      <c r="S392" s="4"/>
      <c r="T392" s="4"/>
      <c r="U392" s="4"/>
      <c r="V392" s="4">
        <v>170195.07</v>
      </c>
      <c r="W392" s="4"/>
      <c r="X392" s="4">
        <v>208272.26</v>
      </c>
      <c r="Y392" s="4">
        <v>104352.94</v>
      </c>
      <c r="Z392" s="4">
        <v>27937.439999999999</v>
      </c>
      <c r="AA392" s="4">
        <v>262121.62</v>
      </c>
      <c r="AB392" s="4">
        <f t="shared" si="54"/>
        <v>2200907.8499999996</v>
      </c>
    </row>
    <row r="393" spans="1:28" x14ac:dyDescent="0.2">
      <c r="A393" s="3">
        <v>35551</v>
      </c>
      <c r="B393" s="4">
        <v>403240.79</v>
      </c>
      <c r="C393" s="4">
        <v>71465.850000000006</v>
      </c>
      <c r="D393" s="4">
        <v>39862.57</v>
      </c>
      <c r="E393" s="4">
        <v>86960.07</v>
      </c>
      <c r="F393" s="4">
        <v>49207.38</v>
      </c>
      <c r="G393" s="4">
        <v>39413.33</v>
      </c>
      <c r="H393" s="4">
        <v>32272.14</v>
      </c>
      <c r="I393" s="4">
        <v>44815.09</v>
      </c>
      <c r="J393" s="4">
        <v>60701.02</v>
      </c>
      <c r="K393" s="4">
        <v>127633.13</v>
      </c>
      <c r="L393" s="4">
        <v>116493.69</v>
      </c>
      <c r="M393" s="4"/>
      <c r="N393" s="4">
        <v>207256.27</v>
      </c>
      <c r="O393" s="4"/>
      <c r="P393" s="4">
        <v>211887.88</v>
      </c>
      <c r="Q393" s="4">
        <v>33903.26</v>
      </c>
      <c r="R393" s="4"/>
      <c r="S393" s="4"/>
      <c r="T393" s="4"/>
      <c r="U393" s="4"/>
      <c r="V393" s="4">
        <v>179858.76</v>
      </c>
      <c r="W393" s="4"/>
      <c r="X393" s="4">
        <v>221326.23</v>
      </c>
      <c r="Y393" s="4">
        <v>114367.21</v>
      </c>
      <c r="Z393" s="4">
        <v>29871.02</v>
      </c>
      <c r="AA393" s="4">
        <v>276429.03000000003</v>
      </c>
      <c r="AB393" s="4">
        <f t="shared" si="54"/>
        <v>2346964.7199999997</v>
      </c>
    </row>
    <row r="394" spans="1:28" x14ac:dyDescent="0.2">
      <c r="A394" s="3">
        <v>35582</v>
      </c>
      <c r="B394" s="4">
        <v>271112.81</v>
      </c>
      <c r="C394" s="4">
        <v>49003.23</v>
      </c>
      <c r="D394" s="4">
        <v>39113.49</v>
      </c>
      <c r="E394" s="4">
        <v>67057.39</v>
      </c>
      <c r="F394" s="4">
        <v>47701.11</v>
      </c>
      <c r="G394" s="4">
        <v>28056.17</v>
      </c>
      <c r="H394" s="4">
        <v>31819.68</v>
      </c>
      <c r="I394" s="4">
        <v>43039.27</v>
      </c>
      <c r="J394" s="4">
        <v>36183.370000000003</v>
      </c>
      <c r="K394" s="4">
        <v>86294.56</v>
      </c>
      <c r="L394" s="4">
        <v>98471.27</v>
      </c>
      <c r="M394" s="4"/>
      <c r="N394" s="4">
        <v>152264.44</v>
      </c>
      <c r="O394" s="4"/>
      <c r="P394" s="4">
        <v>140764.4</v>
      </c>
      <c r="Q394" s="4">
        <v>27128.2</v>
      </c>
      <c r="R394" s="4"/>
      <c r="S394" s="4"/>
      <c r="T394" s="4"/>
      <c r="U394" s="4"/>
      <c r="V394" s="4">
        <v>219732</v>
      </c>
      <c r="W394" s="4"/>
      <c r="X394" s="4">
        <v>165572.09</v>
      </c>
      <c r="Y394" s="4">
        <v>73990.16</v>
      </c>
      <c r="Z394" s="4">
        <v>30233.03</v>
      </c>
      <c r="AA394" s="4">
        <v>224495.06</v>
      </c>
      <c r="AB394" s="4">
        <f t="shared" si="54"/>
        <v>1832031.73</v>
      </c>
    </row>
    <row r="395" spans="1:28" x14ac:dyDescent="0.2">
      <c r="A395" s="3">
        <v>35612</v>
      </c>
      <c r="B395" s="4">
        <v>282806.19</v>
      </c>
      <c r="C395" s="4">
        <v>47135.08</v>
      </c>
      <c r="D395" s="4">
        <v>31504.48</v>
      </c>
      <c r="E395" s="4">
        <v>68698.38</v>
      </c>
      <c r="F395" s="4">
        <v>37220.81</v>
      </c>
      <c r="G395" s="4">
        <v>28281.17</v>
      </c>
      <c r="H395" s="4">
        <v>20590.63</v>
      </c>
      <c r="I395" s="4">
        <v>36496.76</v>
      </c>
      <c r="J395" s="4">
        <v>33869.68</v>
      </c>
      <c r="K395" s="4">
        <v>98113.63</v>
      </c>
      <c r="L395" s="4">
        <v>97427.04</v>
      </c>
      <c r="M395" s="4"/>
      <c r="N395" s="4">
        <v>181831.24</v>
      </c>
      <c r="O395" s="4"/>
      <c r="P395" s="4">
        <v>148566.9</v>
      </c>
      <c r="Q395" s="4">
        <v>24840.81</v>
      </c>
      <c r="R395" s="4"/>
      <c r="S395" s="4"/>
      <c r="T395" s="4"/>
      <c r="U395" s="4"/>
      <c r="V395" s="4">
        <v>152552.14000000001</v>
      </c>
      <c r="W395" s="4"/>
      <c r="X395" s="4">
        <v>164515</v>
      </c>
      <c r="Y395" s="4">
        <v>75926.81</v>
      </c>
      <c r="Z395" s="4">
        <v>23346.57</v>
      </c>
      <c r="AA395" s="4">
        <v>301151.37</v>
      </c>
      <c r="AB395" s="4">
        <f t="shared" si="54"/>
        <v>1854874.69</v>
      </c>
    </row>
    <row r="396" spans="1:28" x14ac:dyDescent="0.2">
      <c r="A396" s="3">
        <v>35643</v>
      </c>
      <c r="B396" s="4">
        <v>307431.77</v>
      </c>
      <c r="C396" s="4">
        <v>52013.599999999999</v>
      </c>
      <c r="D396" s="4">
        <v>31437.85</v>
      </c>
      <c r="E396" s="4">
        <v>84338.25</v>
      </c>
      <c r="F396" s="4">
        <v>37145.64</v>
      </c>
      <c r="G396" s="4">
        <v>28149.65</v>
      </c>
      <c r="H396" s="4">
        <v>20543.43</v>
      </c>
      <c r="I396" s="4">
        <v>36374.79</v>
      </c>
      <c r="J396" s="4">
        <v>40075.64</v>
      </c>
      <c r="K396" s="4">
        <v>99785.600000000006</v>
      </c>
      <c r="L396" s="4">
        <v>97195.43</v>
      </c>
      <c r="M396" s="4"/>
      <c r="N396" s="4">
        <v>189100.61</v>
      </c>
      <c r="O396" s="4"/>
      <c r="P396" s="4">
        <v>152959.28</v>
      </c>
      <c r="Q396" s="4">
        <v>24714.74</v>
      </c>
      <c r="R396" s="4"/>
      <c r="S396" s="4"/>
      <c r="T396" s="4"/>
      <c r="U396" s="4"/>
      <c r="V396" s="4">
        <v>152137.51</v>
      </c>
      <c r="W396" s="4"/>
      <c r="X396" s="4">
        <v>164070.17000000001</v>
      </c>
      <c r="Y396" s="4">
        <v>75696.28</v>
      </c>
      <c r="Z396" s="4">
        <v>23295.14</v>
      </c>
      <c r="AA396" s="4">
        <v>300401.96000000002</v>
      </c>
      <c r="AB396" s="4">
        <f t="shared" si="54"/>
        <v>1916867.3399999999</v>
      </c>
    </row>
    <row r="397" spans="1:28" x14ac:dyDescent="0.2">
      <c r="A397" s="3">
        <v>35674</v>
      </c>
      <c r="B397" s="4">
        <v>341425.1</v>
      </c>
      <c r="C397" s="4">
        <v>55967.15</v>
      </c>
      <c r="D397" s="4">
        <v>39775.050000000003</v>
      </c>
      <c r="E397" s="4">
        <v>67694.45</v>
      </c>
      <c r="F397" s="4">
        <v>44279.77</v>
      </c>
      <c r="G397" s="4">
        <v>30085.14</v>
      </c>
      <c r="H397" s="4">
        <v>26699.61</v>
      </c>
      <c r="I397" s="4">
        <v>40515.839999999997</v>
      </c>
      <c r="J397" s="4">
        <v>35384.46</v>
      </c>
      <c r="K397" s="4">
        <v>98317.43</v>
      </c>
      <c r="L397" s="4">
        <v>73992.800000000003</v>
      </c>
      <c r="M397" s="4"/>
      <c r="N397" s="4">
        <v>179645.36</v>
      </c>
      <c r="O397" s="4"/>
      <c r="P397" s="4">
        <v>153016.98000000001</v>
      </c>
      <c r="Q397" s="4">
        <v>26517.97</v>
      </c>
      <c r="R397" s="4"/>
      <c r="S397" s="4"/>
      <c r="T397" s="4"/>
      <c r="U397" s="4"/>
      <c r="V397" s="4">
        <v>192261.33</v>
      </c>
      <c r="W397" s="4"/>
      <c r="X397" s="4">
        <v>174454.52</v>
      </c>
      <c r="Y397" s="4">
        <v>110428.1</v>
      </c>
      <c r="Z397" s="4">
        <v>27887.62</v>
      </c>
      <c r="AA397" s="4">
        <v>254421.01</v>
      </c>
      <c r="AB397" s="4">
        <f t="shared" si="54"/>
        <v>1972769.6900000004</v>
      </c>
    </row>
    <row r="398" spans="1:28" x14ac:dyDescent="0.2">
      <c r="A398" s="3">
        <v>35704</v>
      </c>
      <c r="B398" s="4">
        <v>309180.21999999997</v>
      </c>
      <c r="C398" s="4">
        <v>53088.9</v>
      </c>
      <c r="D398" s="4">
        <v>33451.360000000001</v>
      </c>
      <c r="E398" s="4">
        <v>67997.58</v>
      </c>
      <c r="F398" s="4">
        <v>41904.620000000003</v>
      </c>
      <c r="G398" s="4">
        <v>28600.49</v>
      </c>
      <c r="H398" s="4">
        <v>26461.16</v>
      </c>
      <c r="I398" s="4">
        <v>35845.300000000003</v>
      </c>
      <c r="J398" s="4">
        <v>43740.11</v>
      </c>
      <c r="K398" s="4">
        <v>105927.29</v>
      </c>
      <c r="L398" s="4">
        <v>84567.7</v>
      </c>
      <c r="M398" s="4"/>
      <c r="N398" s="4">
        <v>173846.16</v>
      </c>
      <c r="O398" s="4"/>
      <c r="P398" s="4">
        <v>155215.32999999999</v>
      </c>
      <c r="Q398" s="4">
        <v>26647.040000000001</v>
      </c>
      <c r="R398" s="4"/>
      <c r="S398" s="4"/>
      <c r="T398" s="4"/>
      <c r="U398" s="4"/>
      <c r="V398" s="4">
        <v>161358.87</v>
      </c>
      <c r="W398" s="4"/>
      <c r="X398" s="4">
        <v>158001.79999999999</v>
      </c>
      <c r="Y398" s="4">
        <v>78888.36</v>
      </c>
      <c r="Z398" s="4">
        <v>23553.57</v>
      </c>
      <c r="AA398" s="4">
        <v>271951.65000000002</v>
      </c>
      <c r="AB398" s="4">
        <f t="shared" si="54"/>
        <v>1880227.5100000007</v>
      </c>
    </row>
    <row r="399" spans="1:28" x14ac:dyDescent="0.2">
      <c r="A399" s="3">
        <v>35735</v>
      </c>
      <c r="B399" s="4">
        <v>316233.34999999998</v>
      </c>
      <c r="C399" s="4">
        <v>54476.62</v>
      </c>
      <c r="D399" s="4">
        <v>34265.199999999997</v>
      </c>
      <c r="E399" s="4">
        <v>69679.960000000006</v>
      </c>
      <c r="F399" s="4">
        <v>39610.99</v>
      </c>
      <c r="G399" s="4">
        <v>28549.85</v>
      </c>
      <c r="H399" s="4">
        <v>27101.4</v>
      </c>
      <c r="I399" s="4">
        <v>36520.519999999997</v>
      </c>
      <c r="J399" s="4">
        <v>44809.93</v>
      </c>
      <c r="K399" s="4">
        <v>108712.67</v>
      </c>
      <c r="L399" s="4">
        <v>91951.65</v>
      </c>
      <c r="M399" s="4"/>
      <c r="N399" s="4">
        <v>178386.77</v>
      </c>
      <c r="O399" s="4"/>
      <c r="P399" s="4">
        <v>159015.51</v>
      </c>
      <c r="Q399" s="4">
        <v>27173.29</v>
      </c>
      <c r="R399" s="4"/>
      <c r="S399" s="4"/>
      <c r="T399" s="4"/>
      <c r="U399" s="4"/>
      <c r="V399" s="4">
        <v>164894.84</v>
      </c>
      <c r="W399" s="4"/>
      <c r="X399" s="4">
        <v>161625.54</v>
      </c>
      <c r="Y399" s="4">
        <v>84090.72</v>
      </c>
      <c r="Z399" s="4">
        <v>24120.240000000002</v>
      </c>
      <c r="AA399" s="4">
        <v>278670.11</v>
      </c>
      <c r="AB399" s="4">
        <f t="shared" si="54"/>
        <v>1929889.1600000001</v>
      </c>
    </row>
    <row r="400" spans="1:28" x14ac:dyDescent="0.2">
      <c r="A400" s="3">
        <v>35765</v>
      </c>
      <c r="B400" s="4">
        <v>410243.92</v>
      </c>
      <c r="C400" s="4">
        <v>82321.570000000007</v>
      </c>
      <c r="D400" s="4">
        <v>52062.14</v>
      </c>
      <c r="E400" s="4">
        <v>107470.47</v>
      </c>
      <c r="F400" s="4">
        <v>75126.36</v>
      </c>
      <c r="G400" s="4">
        <v>42232.53</v>
      </c>
      <c r="H400" s="4">
        <v>42974.57</v>
      </c>
      <c r="I400" s="4">
        <v>51851.26</v>
      </c>
      <c r="J400" s="4">
        <v>68880.800000000003</v>
      </c>
      <c r="K400" s="4">
        <v>134107.45000000001</v>
      </c>
      <c r="L400" s="4">
        <v>124893.72</v>
      </c>
      <c r="M400" s="4"/>
      <c r="N400" s="4">
        <v>249585.79</v>
      </c>
      <c r="O400" s="4"/>
      <c r="P400" s="4">
        <v>250074.2</v>
      </c>
      <c r="Q400" s="4">
        <v>32201.64</v>
      </c>
      <c r="R400" s="4"/>
      <c r="S400" s="4"/>
      <c r="T400" s="4"/>
      <c r="U400" s="4"/>
      <c r="V400" s="4">
        <v>236029.59</v>
      </c>
      <c r="W400" s="4"/>
      <c r="X400" s="4">
        <v>258236.7</v>
      </c>
      <c r="Y400" s="4">
        <v>118422.96</v>
      </c>
      <c r="Z400" s="4">
        <v>39536.99</v>
      </c>
      <c r="AA400" s="4">
        <v>325081.23</v>
      </c>
      <c r="AB400" s="4">
        <f t="shared" si="54"/>
        <v>2701333.89</v>
      </c>
    </row>
    <row r="401" spans="1:28" ht="15.75" thickBot="1" x14ac:dyDescent="0.25">
      <c r="A401" s="3" t="s">
        <v>8</v>
      </c>
      <c r="B401" s="5">
        <f t="shared" ref="B401:W401" si="55">SUM(B389:B400)</f>
        <v>4420937.9600000009</v>
      </c>
      <c r="C401" s="5">
        <f t="shared" si="55"/>
        <v>799460.32000000007</v>
      </c>
      <c r="D401" s="5">
        <f t="shared" si="55"/>
        <v>499620.45999999996</v>
      </c>
      <c r="E401" s="5">
        <f t="shared" si="55"/>
        <v>952854.04999999993</v>
      </c>
      <c r="F401" s="5">
        <f t="shared" si="55"/>
        <v>600171.87</v>
      </c>
      <c r="G401" s="5">
        <f t="shared" si="55"/>
        <v>416948.69999999995</v>
      </c>
      <c r="H401" s="5">
        <f t="shared" si="55"/>
        <v>375879.61</v>
      </c>
      <c r="I401" s="5">
        <f t="shared" si="55"/>
        <v>514415.55</v>
      </c>
      <c r="J401" s="5">
        <f t="shared" si="55"/>
        <v>633322.6100000001</v>
      </c>
      <c r="K401" s="5">
        <f t="shared" si="55"/>
        <v>1362004.66</v>
      </c>
      <c r="L401" s="5">
        <f t="shared" si="55"/>
        <v>1269598.3499999999</v>
      </c>
      <c r="M401" s="5"/>
      <c r="N401" s="5">
        <f t="shared" si="55"/>
        <v>2451787.4199999995</v>
      </c>
      <c r="O401" s="5"/>
      <c r="P401" s="5">
        <f t="shared" si="55"/>
        <v>2320189.85</v>
      </c>
      <c r="Q401" s="5">
        <f t="shared" si="55"/>
        <v>360701.31999999995</v>
      </c>
      <c r="R401" s="5"/>
      <c r="S401" s="5"/>
      <c r="T401" s="5"/>
      <c r="U401" s="5"/>
      <c r="V401" s="5">
        <f t="shared" si="55"/>
        <v>2377200.88</v>
      </c>
      <c r="W401" s="5">
        <f t="shared" si="55"/>
        <v>0</v>
      </c>
      <c r="X401" s="5">
        <f>SUM(X389:X400)</f>
        <v>2472048.9300000002</v>
      </c>
      <c r="Y401" s="5">
        <f>SUM(Y389:Y400)</f>
        <v>1207495.3799999999</v>
      </c>
      <c r="Z401" s="5">
        <f>SUM(Z389:Z400)</f>
        <v>366709.16</v>
      </c>
      <c r="AA401" s="5">
        <f>SUM(AA389:AA400)</f>
        <v>3445190.8699999996</v>
      </c>
      <c r="AB401" s="5">
        <f t="shared" si="54"/>
        <v>26846537.949999999</v>
      </c>
    </row>
    <row r="402" spans="1:28" ht="15.75" thickTop="1" x14ac:dyDescent="0.2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x14ac:dyDescent="0.2">
      <c r="A403" s="3">
        <v>35065</v>
      </c>
      <c r="B403" s="4">
        <v>430124.48</v>
      </c>
      <c r="C403" s="4">
        <v>82002.34</v>
      </c>
      <c r="D403" s="4">
        <v>52549.4</v>
      </c>
      <c r="E403" s="4">
        <v>105527.73</v>
      </c>
      <c r="F403" s="4">
        <v>72137.38</v>
      </c>
      <c r="G403" s="4">
        <v>46513.93</v>
      </c>
      <c r="H403" s="4">
        <v>33975.07</v>
      </c>
      <c r="I403" s="4">
        <v>52479.56</v>
      </c>
      <c r="J403" s="4">
        <v>65176.07</v>
      </c>
      <c r="K403" s="4">
        <v>141988.44</v>
      </c>
      <c r="L403" s="4">
        <v>126082.25</v>
      </c>
      <c r="M403" s="4"/>
      <c r="N403" s="4">
        <v>244569.61</v>
      </c>
      <c r="O403" s="4"/>
      <c r="P403" s="4">
        <v>243178.83</v>
      </c>
      <c r="Q403" s="4">
        <v>38063.440000000002</v>
      </c>
      <c r="R403" s="4"/>
      <c r="S403" s="4"/>
      <c r="T403" s="4"/>
      <c r="U403" s="4"/>
      <c r="V403" s="4">
        <v>254764.98</v>
      </c>
      <c r="W403" s="4"/>
      <c r="X403" s="4">
        <v>261220.17</v>
      </c>
      <c r="Y403" s="4">
        <v>122319.18</v>
      </c>
      <c r="Z403" s="4">
        <v>38433.75</v>
      </c>
      <c r="AA403" s="4">
        <v>288924.33</v>
      </c>
      <c r="AB403" s="4">
        <f t="shared" ref="AB403:AB415" si="56">SUM(B403:AA403)</f>
        <v>2700030.94</v>
      </c>
    </row>
    <row r="404" spans="1:28" x14ac:dyDescent="0.2">
      <c r="A404" s="3">
        <v>35096</v>
      </c>
      <c r="B404" s="4">
        <v>348122.28</v>
      </c>
      <c r="C404" s="4">
        <v>66415.600000000006</v>
      </c>
      <c r="D404" s="4">
        <v>42554.62</v>
      </c>
      <c r="E404" s="4">
        <v>85466.21</v>
      </c>
      <c r="F404" s="4">
        <v>58250.48</v>
      </c>
      <c r="G404" s="4">
        <v>37623.769999999997</v>
      </c>
      <c r="H404" s="4">
        <v>27517.15</v>
      </c>
      <c r="I404" s="4">
        <v>42504.15</v>
      </c>
      <c r="J404" s="4">
        <v>53033.17</v>
      </c>
      <c r="K404" s="4">
        <v>114971.98</v>
      </c>
      <c r="L404" s="4">
        <v>101586</v>
      </c>
      <c r="M404" s="4"/>
      <c r="N404" s="4">
        <v>198018.68</v>
      </c>
      <c r="O404" s="4"/>
      <c r="P404" s="4">
        <v>198623.07</v>
      </c>
      <c r="Q404" s="4">
        <v>30828.43</v>
      </c>
      <c r="R404" s="4"/>
      <c r="S404" s="4"/>
      <c r="T404" s="4"/>
      <c r="U404" s="4"/>
      <c r="V404" s="4">
        <v>206322.12</v>
      </c>
      <c r="W404" s="4"/>
      <c r="X404" s="4">
        <v>213399.51</v>
      </c>
      <c r="Y404" s="4">
        <v>99121.82</v>
      </c>
      <c r="Z404" s="4">
        <v>31122.59</v>
      </c>
      <c r="AA404" s="4">
        <v>233996.87</v>
      </c>
      <c r="AB404" s="4">
        <f t="shared" si="56"/>
        <v>2189478.5</v>
      </c>
    </row>
    <row r="405" spans="1:28" x14ac:dyDescent="0.2">
      <c r="A405" s="3">
        <v>35125</v>
      </c>
      <c r="B405" s="4">
        <v>402106.85</v>
      </c>
      <c r="C405" s="4">
        <v>80660.039999999994</v>
      </c>
      <c r="D405" s="4">
        <v>66676.039999999994</v>
      </c>
      <c r="E405" s="4">
        <v>65126.65</v>
      </c>
      <c r="F405" s="4">
        <v>55596.43</v>
      </c>
      <c r="G405" s="4">
        <v>39975.360000000001</v>
      </c>
      <c r="H405" s="4">
        <v>36942.980000000003</v>
      </c>
      <c r="I405" s="4">
        <v>57248.26</v>
      </c>
      <c r="J405" s="4">
        <v>60811.29</v>
      </c>
      <c r="K405" s="4">
        <v>81966.539999999994</v>
      </c>
      <c r="L405" s="4">
        <v>143946.10999999999</v>
      </c>
      <c r="M405" s="4"/>
      <c r="N405" s="4">
        <v>227635.8</v>
      </c>
      <c r="O405" s="4"/>
      <c r="P405" s="4">
        <v>245343.63</v>
      </c>
      <c r="Q405" s="4">
        <v>30074.71</v>
      </c>
      <c r="R405" s="4"/>
      <c r="S405" s="4"/>
      <c r="T405" s="4"/>
      <c r="U405" s="4"/>
      <c r="V405" s="4">
        <v>316675.15999999997</v>
      </c>
      <c r="W405" s="4"/>
      <c r="X405" s="4">
        <v>292896.25</v>
      </c>
      <c r="Y405" s="4">
        <v>117646.73</v>
      </c>
      <c r="Z405" s="4">
        <v>49856.67</v>
      </c>
      <c r="AA405" s="4">
        <v>308669.49</v>
      </c>
      <c r="AB405" s="4">
        <f t="shared" si="56"/>
        <v>2679854.9899999993</v>
      </c>
    </row>
    <row r="406" spans="1:28" x14ac:dyDescent="0.2">
      <c r="A406" s="3">
        <v>35156</v>
      </c>
      <c r="B406" s="4">
        <v>408248.87</v>
      </c>
      <c r="C406" s="4">
        <v>60616.01</v>
      </c>
      <c r="D406" s="4">
        <v>41885.089999999997</v>
      </c>
      <c r="E406" s="4">
        <v>64451.74</v>
      </c>
      <c r="F406" s="4">
        <v>47507.06</v>
      </c>
      <c r="G406" s="4">
        <v>35906.33</v>
      </c>
      <c r="H406" s="4">
        <v>29050.22</v>
      </c>
      <c r="I406" s="4">
        <v>42003.15</v>
      </c>
      <c r="J406" s="4">
        <v>48164.52</v>
      </c>
      <c r="K406" s="4">
        <v>103550.53</v>
      </c>
      <c r="L406" s="4">
        <v>97238.46</v>
      </c>
      <c r="M406" s="4"/>
      <c r="N406" s="4">
        <v>180661.59</v>
      </c>
      <c r="O406" s="4"/>
      <c r="P406" s="4">
        <v>181865.81</v>
      </c>
      <c r="Q406" s="4">
        <v>29384.86</v>
      </c>
      <c r="R406" s="4"/>
      <c r="S406" s="4"/>
      <c r="T406" s="4"/>
      <c r="U406" s="4"/>
      <c r="V406" s="4">
        <v>209513.13</v>
      </c>
      <c r="W406" s="4"/>
      <c r="X406" s="4">
        <v>203590.2</v>
      </c>
      <c r="Y406" s="4">
        <v>97131.05</v>
      </c>
      <c r="Z406" s="4">
        <v>30214.11</v>
      </c>
      <c r="AA406" s="4">
        <v>244227.96</v>
      </c>
      <c r="AB406" s="4">
        <f t="shared" si="56"/>
        <v>2155210.6900000004</v>
      </c>
    </row>
    <row r="407" spans="1:28" x14ac:dyDescent="0.2">
      <c r="A407" s="3">
        <v>35186</v>
      </c>
      <c r="B407" s="4">
        <v>364231.12</v>
      </c>
      <c r="C407" s="4">
        <v>63429.120000000003</v>
      </c>
      <c r="D407" s="4">
        <v>39658.97</v>
      </c>
      <c r="E407" s="4">
        <v>67428.75</v>
      </c>
      <c r="F407" s="4">
        <v>49681.11</v>
      </c>
      <c r="G407" s="4">
        <v>37436.68</v>
      </c>
      <c r="H407" s="4">
        <v>30398.39</v>
      </c>
      <c r="I407" s="4">
        <v>43952.480000000003</v>
      </c>
      <c r="J407" s="4">
        <v>50399.77</v>
      </c>
      <c r="K407" s="4">
        <v>108356.01</v>
      </c>
      <c r="L407" s="4">
        <v>101758.06</v>
      </c>
      <c r="M407" s="4"/>
      <c r="N407" s="4">
        <v>187813.47</v>
      </c>
      <c r="O407" s="4"/>
      <c r="P407" s="4">
        <v>190302.12</v>
      </c>
      <c r="Q407" s="4">
        <v>30887.13</v>
      </c>
      <c r="R407" s="4"/>
      <c r="S407" s="4"/>
      <c r="T407" s="4"/>
      <c r="U407" s="4"/>
      <c r="V407" s="4">
        <v>199658.61</v>
      </c>
      <c r="W407" s="4"/>
      <c r="X407" s="4">
        <v>212896.63</v>
      </c>
      <c r="Y407" s="4">
        <v>101592.29</v>
      </c>
      <c r="Z407" s="4">
        <v>29460.55</v>
      </c>
      <c r="AA407" s="4">
        <v>255536.75</v>
      </c>
      <c r="AB407" s="4">
        <f t="shared" si="56"/>
        <v>2164878.0099999998</v>
      </c>
    </row>
    <row r="408" spans="1:28" x14ac:dyDescent="0.2">
      <c r="A408" s="3">
        <v>35217</v>
      </c>
      <c r="B408" s="4">
        <v>341834.26</v>
      </c>
      <c r="C408" s="4">
        <v>67917.490000000005</v>
      </c>
      <c r="D408" s="4">
        <v>29336.41</v>
      </c>
      <c r="E408" s="4">
        <v>118582.19</v>
      </c>
      <c r="F408" s="4">
        <v>33155.33</v>
      </c>
      <c r="G408" s="4">
        <v>30247.35</v>
      </c>
      <c r="H408" s="4">
        <v>32510.51</v>
      </c>
      <c r="I408" s="4">
        <v>32415.200000000001</v>
      </c>
      <c r="J408" s="4">
        <v>54000.74</v>
      </c>
      <c r="K408" s="4">
        <v>135313.4</v>
      </c>
      <c r="L408" s="4">
        <v>101832.88</v>
      </c>
      <c r="M408" s="4"/>
      <c r="N408" s="4">
        <v>201832.31</v>
      </c>
      <c r="O408" s="4"/>
      <c r="P408" s="4">
        <v>212475.47</v>
      </c>
      <c r="Q408" s="4">
        <v>30068.41</v>
      </c>
      <c r="R408" s="4"/>
      <c r="S408" s="4"/>
      <c r="T408" s="4"/>
      <c r="U408" s="4"/>
      <c r="V408" s="4">
        <v>103202.53</v>
      </c>
      <c r="W408" s="4"/>
      <c r="X408" s="4">
        <v>169795.20000000001</v>
      </c>
      <c r="Y408" s="4">
        <v>98895.24</v>
      </c>
      <c r="Z408" s="4">
        <v>27354.76</v>
      </c>
      <c r="AA408" s="4">
        <v>262417.09999999998</v>
      </c>
      <c r="AB408" s="4">
        <f t="shared" si="56"/>
        <v>2083186.7799999998</v>
      </c>
    </row>
    <row r="409" spans="1:28" x14ac:dyDescent="0.2">
      <c r="A409" s="3">
        <v>35247</v>
      </c>
      <c r="B409" s="4">
        <v>322545.88</v>
      </c>
      <c r="C409" s="4">
        <v>52278.9</v>
      </c>
      <c r="D409" s="4">
        <v>34444.870000000003</v>
      </c>
      <c r="E409" s="4">
        <v>91418.38</v>
      </c>
      <c r="F409" s="4">
        <v>37445.78</v>
      </c>
      <c r="G409" s="4">
        <v>28704.25</v>
      </c>
      <c r="H409" s="4">
        <v>19096.75</v>
      </c>
      <c r="I409" s="4">
        <v>37395.449999999997</v>
      </c>
      <c r="J409" s="4">
        <v>42841.599999999999</v>
      </c>
      <c r="K409" s="4">
        <v>106126.56</v>
      </c>
      <c r="L409" s="4">
        <v>90355.24</v>
      </c>
      <c r="M409" s="4"/>
      <c r="N409" s="4">
        <v>212140.2</v>
      </c>
      <c r="O409" s="4"/>
      <c r="P409" s="4">
        <v>162197.19</v>
      </c>
      <c r="Q409" s="4">
        <v>26746.52</v>
      </c>
      <c r="R409" s="4"/>
      <c r="S409" s="4"/>
      <c r="T409" s="4"/>
      <c r="U409" s="4"/>
      <c r="V409" s="4">
        <v>156769.65</v>
      </c>
      <c r="W409" s="4"/>
      <c r="X409" s="4">
        <v>170353.81</v>
      </c>
      <c r="Y409" s="4">
        <v>78875.88</v>
      </c>
      <c r="Z409" s="4">
        <v>24916.7</v>
      </c>
      <c r="AA409" s="4">
        <v>316681.96999999997</v>
      </c>
      <c r="AB409" s="4">
        <f t="shared" si="56"/>
        <v>2011335.5799999996</v>
      </c>
    </row>
    <row r="410" spans="1:28" x14ac:dyDescent="0.2">
      <c r="A410" s="3">
        <v>35278</v>
      </c>
      <c r="B410" s="4">
        <v>287836.96000000002</v>
      </c>
      <c r="C410" s="4">
        <v>48478.58</v>
      </c>
      <c r="D410" s="4">
        <v>31316.34</v>
      </c>
      <c r="E410" s="4">
        <v>83265.919999999998</v>
      </c>
      <c r="F410" s="4">
        <v>36872.86</v>
      </c>
      <c r="G410" s="4">
        <v>28144.12</v>
      </c>
      <c r="H410" s="4">
        <v>18194.89</v>
      </c>
      <c r="I410" s="4">
        <v>35201.64</v>
      </c>
      <c r="J410" s="4">
        <v>39246.44</v>
      </c>
      <c r="K410" s="4">
        <v>94396.44</v>
      </c>
      <c r="L410" s="4">
        <v>88856.2</v>
      </c>
      <c r="M410" s="4"/>
      <c r="N410" s="4">
        <v>190195.65</v>
      </c>
      <c r="O410" s="4"/>
      <c r="P410" s="4">
        <v>147502.51</v>
      </c>
      <c r="Q410" s="4">
        <v>24379.58</v>
      </c>
      <c r="R410" s="4"/>
      <c r="S410" s="4"/>
      <c r="T410" s="4"/>
      <c r="U410" s="4"/>
      <c r="V410" s="4">
        <v>153992.39000000001</v>
      </c>
      <c r="W410" s="4"/>
      <c r="X410" s="4">
        <v>155622.74</v>
      </c>
      <c r="Y410" s="4">
        <v>73035.02</v>
      </c>
      <c r="Z410" s="4">
        <v>22757.439999999999</v>
      </c>
      <c r="AA410" s="4">
        <v>287035.26</v>
      </c>
      <c r="AB410" s="4">
        <f t="shared" si="56"/>
        <v>1846330.98</v>
      </c>
    </row>
    <row r="411" spans="1:28" x14ac:dyDescent="0.2">
      <c r="A411" s="3">
        <v>35309</v>
      </c>
      <c r="B411" s="4">
        <v>254886.84</v>
      </c>
      <c r="C411" s="4">
        <v>52019.95</v>
      </c>
      <c r="D411" s="4">
        <v>21289.34</v>
      </c>
      <c r="E411" s="4">
        <v>73177.600000000006</v>
      </c>
      <c r="F411" s="4">
        <v>31693.77</v>
      </c>
      <c r="G411" s="4">
        <v>24420.9</v>
      </c>
      <c r="H411" s="4">
        <v>25833.88</v>
      </c>
      <c r="I411" s="4">
        <v>26715.17</v>
      </c>
      <c r="J411" s="4">
        <v>34108.129999999997</v>
      </c>
      <c r="K411" s="4">
        <v>104118.18</v>
      </c>
      <c r="L411" s="4">
        <v>83764.89</v>
      </c>
      <c r="M411" s="4"/>
      <c r="N411" s="4">
        <v>153088.68</v>
      </c>
      <c r="O411" s="4"/>
      <c r="P411" s="4">
        <v>142115.09</v>
      </c>
      <c r="Q411" s="4">
        <v>20550.3</v>
      </c>
      <c r="R411" s="4"/>
      <c r="S411" s="4"/>
      <c r="T411" s="4"/>
      <c r="U411" s="4"/>
      <c r="V411" s="4">
        <v>108844.75</v>
      </c>
      <c r="W411" s="4"/>
      <c r="X411" s="4">
        <v>126647.53</v>
      </c>
      <c r="Y411" s="4">
        <v>63463.41</v>
      </c>
      <c r="Z411" s="4">
        <v>19318.57</v>
      </c>
      <c r="AA411" s="4">
        <v>279905.15999999997</v>
      </c>
      <c r="AB411" s="4">
        <f t="shared" si="56"/>
        <v>1645962.1400000001</v>
      </c>
    </row>
    <row r="412" spans="1:28" x14ac:dyDescent="0.2">
      <c r="A412" s="3">
        <v>35339</v>
      </c>
      <c r="B412" s="4">
        <v>299012.71999999997</v>
      </c>
      <c r="C412" s="4">
        <v>53075.5</v>
      </c>
      <c r="D412" s="4">
        <v>31501.24</v>
      </c>
      <c r="E412" s="4">
        <v>80753.289999999994</v>
      </c>
      <c r="F412" s="4">
        <v>29913.79</v>
      </c>
      <c r="G412" s="4">
        <v>21471.03</v>
      </c>
      <c r="H412" s="4">
        <v>23377.599999999999</v>
      </c>
      <c r="I412" s="4">
        <v>36209.61</v>
      </c>
      <c r="J412" s="4">
        <v>42231.24</v>
      </c>
      <c r="K412" s="4">
        <v>115510.62</v>
      </c>
      <c r="L412" s="4">
        <v>94601.27</v>
      </c>
      <c r="M412" s="4"/>
      <c r="N412" s="4">
        <v>175953.6</v>
      </c>
      <c r="O412" s="4"/>
      <c r="P412" s="4">
        <v>165753.76999999999</v>
      </c>
      <c r="Q412" s="4">
        <v>26704.11</v>
      </c>
      <c r="R412" s="4"/>
      <c r="S412" s="4"/>
      <c r="T412" s="4"/>
      <c r="U412" s="4"/>
      <c r="V412" s="4">
        <v>147981.87</v>
      </c>
      <c r="W412" s="4"/>
      <c r="X412" s="4">
        <v>174429.46</v>
      </c>
      <c r="Y412" s="4">
        <v>80980.759999999995</v>
      </c>
      <c r="Z412" s="4">
        <v>23367.64</v>
      </c>
      <c r="AA412" s="4">
        <v>274147.64</v>
      </c>
      <c r="AB412" s="4">
        <f t="shared" si="56"/>
        <v>1896976.7599999998</v>
      </c>
    </row>
    <row r="413" spans="1:28" x14ac:dyDescent="0.2">
      <c r="A413" s="3">
        <v>35370</v>
      </c>
      <c r="B413" s="4">
        <v>312796.42</v>
      </c>
      <c r="C413" s="4">
        <v>55312.19</v>
      </c>
      <c r="D413" s="4">
        <v>33761.730000000003</v>
      </c>
      <c r="E413" s="4">
        <v>83436.42</v>
      </c>
      <c r="F413" s="4">
        <v>39451.39</v>
      </c>
      <c r="G413" s="4">
        <v>31628.93</v>
      </c>
      <c r="H413" s="4">
        <v>24155.53</v>
      </c>
      <c r="I413" s="4">
        <v>37342.76</v>
      </c>
      <c r="J413" s="4">
        <v>43635.58</v>
      </c>
      <c r="K413" s="4">
        <v>119346.76</v>
      </c>
      <c r="L413" s="4">
        <v>98565.2</v>
      </c>
      <c r="M413" s="4"/>
      <c r="N413" s="4">
        <v>183962.74</v>
      </c>
      <c r="O413" s="4"/>
      <c r="P413" s="4">
        <v>171048.42</v>
      </c>
      <c r="Q413" s="4">
        <v>27591.9</v>
      </c>
      <c r="R413" s="4"/>
      <c r="S413" s="4"/>
      <c r="T413" s="4"/>
      <c r="U413" s="4"/>
      <c r="V413" s="4">
        <v>165458.32</v>
      </c>
      <c r="W413" s="4"/>
      <c r="X413" s="4">
        <v>180497.4</v>
      </c>
      <c r="Y413" s="4">
        <v>81877.73</v>
      </c>
      <c r="Z413" s="4">
        <v>24144.48</v>
      </c>
      <c r="AA413" s="4">
        <v>289808.59999999998</v>
      </c>
      <c r="AB413" s="4">
        <f t="shared" si="56"/>
        <v>2003822.4999999995</v>
      </c>
    </row>
    <row r="414" spans="1:28" x14ac:dyDescent="0.2">
      <c r="A414" s="3">
        <v>35400</v>
      </c>
      <c r="B414" s="4">
        <v>398752.16</v>
      </c>
      <c r="C414" s="4">
        <v>74236.320000000007</v>
      </c>
      <c r="D414" s="4">
        <v>48837.34</v>
      </c>
      <c r="E414" s="4">
        <v>70775.17</v>
      </c>
      <c r="F414" s="4">
        <v>60296.21</v>
      </c>
      <c r="G414" s="4">
        <v>39366.36</v>
      </c>
      <c r="H414" s="4">
        <v>40709.99</v>
      </c>
      <c r="I414" s="4">
        <v>47045.38</v>
      </c>
      <c r="J414" s="4">
        <v>61275.35</v>
      </c>
      <c r="K414" s="4">
        <v>98642.41</v>
      </c>
      <c r="L414" s="4">
        <v>110048.12</v>
      </c>
      <c r="M414" s="4"/>
      <c r="N414" s="4">
        <v>205589.79</v>
      </c>
      <c r="O414" s="4"/>
      <c r="P414" s="4">
        <v>177403.44</v>
      </c>
      <c r="Q414" s="4">
        <v>32173.16</v>
      </c>
      <c r="R414" s="4"/>
      <c r="S414" s="4"/>
      <c r="T414" s="4"/>
      <c r="U414" s="4"/>
      <c r="V414" s="4">
        <v>229182.32</v>
      </c>
      <c r="W414" s="4"/>
      <c r="X414" s="4">
        <v>189116.87</v>
      </c>
      <c r="Y414" s="4">
        <v>108100.34</v>
      </c>
      <c r="Z414" s="4">
        <v>33485.96</v>
      </c>
      <c r="AA414" s="4">
        <v>278937.43</v>
      </c>
      <c r="AB414" s="4">
        <f t="shared" si="56"/>
        <v>2303974.12</v>
      </c>
    </row>
    <row r="415" spans="1:28" ht="15.75" thickBot="1" x14ac:dyDescent="0.25">
      <c r="A415" s="3" t="s">
        <v>9</v>
      </c>
      <c r="B415" s="5">
        <f t="shared" ref="B415:W415" si="57">SUM(B403:B414)</f>
        <v>4170498.84</v>
      </c>
      <c r="C415" s="5">
        <f t="shared" si="57"/>
        <v>756442.04</v>
      </c>
      <c r="D415" s="5">
        <f t="shared" si="57"/>
        <v>473811.39</v>
      </c>
      <c r="E415" s="5">
        <f t="shared" si="57"/>
        <v>989410.05000000016</v>
      </c>
      <c r="F415" s="5">
        <f t="shared" si="57"/>
        <v>552001.59000000008</v>
      </c>
      <c r="G415" s="5">
        <f t="shared" si="57"/>
        <v>401439.01000000007</v>
      </c>
      <c r="H415" s="5">
        <f t="shared" si="57"/>
        <v>341762.95999999996</v>
      </c>
      <c r="I415" s="5">
        <f t="shared" si="57"/>
        <v>490512.81</v>
      </c>
      <c r="J415" s="5">
        <f t="shared" si="57"/>
        <v>594923.89999999991</v>
      </c>
      <c r="K415" s="5">
        <f t="shared" si="57"/>
        <v>1324287.8699999996</v>
      </c>
      <c r="L415" s="5">
        <f t="shared" si="57"/>
        <v>1238634.6800000002</v>
      </c>
      <c r="M415" s="5"/>
      <c r="N415" s="5">
        <f t="shared" si="57"/>
        <v>2361462.12</v>
      </c>
      <c r="O415" s="5"/>
      <c r="P415" s="5">
        <f t="shared" si="57"/>
        <v>2237809.35</v>
      </c>
      <c r="Q415" s="5">
        <f t="shared" si="57"/>
        <v>347452.54999999993</v>
      </c>
      <c r="R415" s="5"/>
      <c r="S415" s="5"/>
      <c r="T415" s="5"/>
      <c r="U415" s="5"/>
      <c r="V415" s="5">
        <f t="shared" si="57"/>
        <v>2252365.83</v>
      </c>
      <c r="W415" s="5">
        <f t="shared" si="57"/>
        <v>0</v>
      </c>
      <c r="X415" s="5">
        <f>SUM(X403:X414)</f>
        <v>2350465.7700000005</v>
      </c>
      <c r="Y415" s="5">
        <f>SUM(Y403:Y414)</f>
        <v>1123039.45</v>
      </c>
      <c r="Z415" s="5">
        <f>SUM(Z403:Z414)</f>
        <v>354433.22000000003</v>
      </c>
      <c r="AA415" s="5">
        <f>SUM(AA403:AA414)</f>
        <v>3320288.5600000005</v>
      </c>
      <c r="AB415" s="5">
        <f t="shared" si="56"/>
        <v>25681041.989999995</v>
      </c>
    </row>
    <row r="416" spans="1:28" ht="15.75" thickTop="1" x14ac:dyDescent="0.2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1:28" x14ac:dyDescent="0.2">
      <c r="A417" s="3">
        <v>34700</v>
      </c>
      <c r="B417" s="4">
        <v>494646.75</v>
      </c>
      <c r="C417" s="4">
        <v>93866.68</v>
      </c>
      <c r="D417" s="4">
        <v>57832.800000000003</v>
      </c>
      <c r="E417" s="4">
        <v>95067.41</v>
      </c>
      <c r="F417" s="4">
        <v>71244.67</v>
      </c>
      <c r="G417" s="4">
        <v>46082.400000000001</v>
      </c>
      <c r="H417" s="4">
        <v>17350.45</v>
      </c>
      <c r="I417" s="4">
        <v>58793.65</v>
      </c>
      <c r="J417" s="4">
        <v>72526.649999999994</v>
      </c>
      <c r="K417" s="4">
        <v>134581.26</v>
      </c>
      <c r="L417" s="4">
        <v>138410.71</v>
      </c>
      <c r="M417" s="4"/>
      <c r="N417" s="4">
        <v>262319.34999999998</v>
      </c>
      <c r="O417" s="4"/>
      <c r="P417" s="4">
        <v>270553.49</v>
      </c>
      <c r="Q417" s="4">
        <v>42644.26</v>
      </c>
      <c r="R417" s="4"/>
      <c r="S417" s="4"/>
      <c r="T417" s="4"/>
      <c r="U417" s="4"/>
      <c r="V417" s="4">
        <v>288229.34000000003</v>
      </c>
      <c r="W417" s="4"/>
      <c r="X417" s="4">
        <v>315153.53000000003</v>
      </c>
      <c r="Y417" s="4">
        <v>135929.89000000001</v>
      </c>
      <c r="Z417" s="4">
        <v>44057.53</v>
      </c>
      <c r="AA417" s="4">
        <v>326528.81</v>
      </c>
      <c r="AB417" s="4">
        <f t="shared" ref="AB417:AB429" si="58">SUM(B417:AA417)</f>
        <v>2965819.6300000004</v>
      </c>
    </row>
    <row r="418" spans="1:28" x14ac:dyDescent="0.2">
      <c r="A418" s="3">
        <v>34731</v>
      </c>
      <c r="B418" s="4">
        <v>420314.32</v>
      </c>
      <c r="C418" s="4">
        <v>79765.75</v>
      </c>
      <c r="D418" s="4">
        <v>51549.73</v>
      </c>
      <c r="E418" s="4">
        <v>80587.399999999994</v>
      </c>
      <c r="F418" s="4">
        <v>60570.45</v>
      </c>
      <c r="G418" s="4">
        <v>39111.14</v>
      </c>
      <c r="H418" s="4">
        <v>14744.15</v>
      </c>
      <c r="I418" s="4">
        <v>49917.39</v>
      </c>
      <c r="J418" s="4">
        <v>61631.81</v>
      </c>
      <c r="K418" s="4">
        <v>114308.44</v>
      </c>
      <c r="L418" s="4">
        <v>120591.5</v>
      </c>
      <c r="M418" s="4"/>
      <c r="N418" s="4">
        <v>222911.84</v>
      </c>
      <c r="O418" s="4"/>
      <c r="P418" s="4">
        <v>228674.07</v>
      </c>
      <c r="Q418" s="4">
        <v>36234.94</v>
      </c>
      <c r="R418" s="4"/>
      <c r="S418" s="4"/>
      <c r="T418" s="4"/>
      <c r="U418" s="4"/>
      <c r="V418" s="4">
        <v>244935.95</v>
      </c>
      <c r="W418" s="4"/>
      <c r="X418" s="4">
        <v>267423.53000000003</v>
      </c>
      <c r="Y418" s="4">
        <v>115468.65</v>
      </c>
      <c r="Z418" s="4">
        <v>37685.24</v>
      </c>
      <c r="AA418" s="4">
        <v>277469.53999999998</v>
      </c>
      <c r="AB418" s="4">
        <f t="shared" si="58"/>
        <v>2523895.8400000003</v>
      </c>
    </row>
    <row r="419" spans="1:28" x14ac:dyDescent="0.2">
      <c r="A419" s="3">
        <v>34759</v>
      </c>
      <c r="B419" s="4">
        <v>274985.09999999998</v>
      </c>
      <c r="C419" s="4">
        <v>56299.55</v>
      </c>
      <c r="D419" s="4">
        <v>32425.07</v>
      </c>
      <c r="E419" s="4">
        <v>85487.63</v>
      </c>
      <c r="F419" s="4">
        <v>53973.16</v>
      </c>
      <c r="G419" s="4">
        <v>35743.760000000002</v>
      </c>
      <c r="H419" s="4">
        <v>10114.07</v>
      </c>
      <c r="I419" s="4">
        <v>32746.77</v>
      </c>
      <c r="J419" s="4">
        <v>39919.870000000003</v>
      </c>
      <c r="K419" s="4">
        <v>104528.95</v>
      </c>
      <c r="L419" s="4">
        <v>77404.59</v>
      </c>
      <c r="M419" s="4"/>
      <c r="N419" s="4">
        <v>146275.96</v>
      </c>
      <c r="O419" s="4"/>
      <c r="P419" s="4">
        <v>154413.5</v>
      </c>
      <c r="Q419" s="4">
        <v>24302.83</v>
      </c>
      <c r="R419" s="4"/>
      <c r="S419" s="4"/>
      <c r="T419" s="4"/>
      <c r="U419" s="4"/>
      <c r="V419" s="4">
        <v>158145.42000000001</v>
      </c>
      <c r="W419" s="4"/>
      <c r="X419" s="4">
        <v>177034.16</v>
      </c>
      <c r="Y419" s="4">
        <v>79720.52</v>
      </c>
      <c r="Z419" s="4">
        <v>25519.4</v>
      </c>
      <c r="AA419" s="4">
        <v>183685.64</v>
      </c>
      <c r="AB419" s="4">
        <f t="shared" si="58"/>
        <v>1752725.9499999997</v>
      </c>
    </row>
    <row r="420" spans="1:28" x14ac:dyDescent="0.2">
      <c r="A420" s="3">
        <v>34790</v>
      </c>
      <c r="B420" s="4">
        <v>192756.91</v>
      </c>
      <c r="C420" s="4">
        <v>55916.04</v>
      </c>
      <c r="D420" s="4">
        <v>25712.46</v>
      </c>
      <c r="E420" s="4">
        <v>55233.18</v>
      </c>
      <c r="F420" s="4">
        <v>46538.47</v>
      </c>
      <c r="G420" s="4">
        <v>33393.07</v>
      </c>
      <c r="H420" s="4">
        <v>9941.6299999999992</v>
      </c>
      <c r="I420" s="4">
        <v>32895.07</v>
      </c>
      <c r="J420" s="4">
        <v>37043.06</v>
      </c>
      <c r="K420" s="4">
        <v>91840.65</v>
      </c>
      <c r="L420" s="4">
        <v>81460.820000000007</v>
      </c>
      <c r="M420" s="4"/>
      <c r="N420" s="4">
        <v>179612.01</v>
      </c>
      <c r="O420" s="4"/>
      <c r="P420" s="4">
        <v>151410.84</v>
      </c>
      <c r="Q420" s="4">
        <v>27244.75</v>
      </c>
      <c r="R420" s="4"/>
      <c r="S420" s="4"/>
      <c r="T420" s="4"/>
      <c r="U420" s="4"/>
      <c r="V420" s="4">
        <v>158284.26</v>
      </c>
      <c r="W420" s="4"/>
      <c r="X420" s="4">
        <v>127322.39</v>
      </c>
      <c r="Y420" s="4">
        <v>88721.26</v>
      </c>
      <c r="Z420" s="4">
        <v>17958.54</v>
      </c>
      <c r="AA420" s="4">
        <v>209133.9</v>
      </c>
      <c r="AB420" s="4">
        <f t="shared" si="58"/>
        <v>1622419.31</v>
      </c>
    </row>
    <row r="421" spans="1:28" x14ac:dyDescent="0.2">
      <c r="A421" s="3">
        <v>34820</v>
      </c>
      <c r="B421" s="4">
        <v>358176.81</v>
      </c>
      <c r="C421" s="4">
        <v>69921.91</v>
      </c>
      <c r="D421" s="4">
        <v>39353.74</v>
      </c>
      <c r="E421" s="4">
        <v>55324.959999999999</v>
      </c>
      <c r="F421" s="4">
        <v>46536.51</v>
      </c>
      <c r="G421" s="4">
        <v>33391.730000000003</v>
      </c>
      <c r="H421" s="4">
        <v>14170.86</v>
      </c>
      <c r="I421" s="4">
        <v>43906.25</v>
      </c>
      <c r="J421" s="4">
        <v>51405.27</v>
      </c>
      <c r="K421" s="4">
        <v>91843.86</v>
      </c>
      <c r="L421" s="4">
        <v>101350.67</v>
      </c>
      <c r="M421" s="4"/>
      <c r="N421" s="4">
        <v>190236.03</v>
      </c>
      <c r="O421" s="4"/>
      <c r="P421" s="4">
        <v>194316.43</v>
      </c>
      <c r="Q421" s="4">
        <v>32388.71</v>
      </c>
      <c r="R421" s="4"/>
      <c r="S421" s="4"/>
      <c r="T421" s="4"/>
      <c r="U421" s="4"/>
      <c r="V421" s="4">
        <v>200282.47</v>
      </c>
      <c r="W421" s="4"/>
      <c r="X421" s="4">
        <v>224010.33</v>
      </c>
      <c r="Y421" s="4">
        <v>106279.78</v>
      </c>
      <c r="Z421" s="4">
        <v>29345.09</v>
      </c>
      <c r="AA421" s="4">
        <v>242789.82</v>
      </c>
      <c r="AB421" s="4">
        <f t="shared" si="58"/>
        <v>2125031.23</v>
      </c>
    </row>
    <row r="422" spans="1:28" x14ac:dyDescent="0.2">
      <c r="A422" s="3">
        <v>34851</v>
      </c>
      <c r="B422" s="4">
        <v>234468.4</v>
      </c>
      <c r="C422" s="4">
        <v>49161.39</v>
      </c>
      <c r="D422" s="4">
        <v>27342.94</v>
      </c>
      <c r="E422" s="4">
        <v>113116.51</v>
      </c>
      <c r="F422" s="4">
        <v>41639.699999999997</v>
      </c>
      <c r="G422" s="4">
        <v>39211.39</v>
      </c>
      <c r="H422" s="4">
        <v>9400.84</v>
      </c>
      <c r="I422" s="4">
        <v>30514.19</v>
      </c>
      <c r="J422" s="4">
        <v>36821.019999999997</v>
      </c>
      <c r="K422" s="4">
        <v>147786.06</v>
      </c>
      <c r="L422" s="4">
        <v>79925.89</v>
      </c>
      <c r="M422" s="4"/>
      <c r="N422" s="4">
        <v>143171.17000000001</v>
      </c>
      <c r="O422" s="4"/>
      <c r="P422" s="4">
        <v>136876.97</v>
      </c>
      <c r="Q422" s="4">
        <v>21834.89</v>
      </c>
      <c r="R422" s="4"/>
      <c r="S422" s="4"/>
      <c r="T422" s="4"/>
      <c r="U422" s="4"/>
      <c r="V422" s="4">
        <v>136854.39000000001</v>
      </c>
      <c r="W422" s="4"/>
      <c r="X422" s="4">
        <v>149262.04</v>
      </c>
      <c r="Y422" s="4">
        <v>70074.31</v>
      </c>
      <c r="Z422" s="4">
        <v>23414.93</v>
      </c>
      <c r="AA422" s="4">
        <v>207605.61</v>
      </c>
      <c r="AB422" s="4">
        <f t="shared" si="58"/>
        <v>1698482.6400000001</v>
      </c>
    </row>
    <row r="423" spans="1:28" x14ac:dyDescent="0.2">
      <c r="A423" s="3">
        <v>34881</v>
      </c>
      <c r="B423" s="4">
        <v>161746.94</v>
      </c>
      <c r="C423" s="4">
        <v>8027.34</v>
      </c>
      <c r="D423" s="4">
        <v>29325.99</v>
      </c>
      <c r="E423" s="4">
        <v>79719.88</v>
      </c>
      <c r="F423" s="4">
        <v>34552.69</v>
      </c>
      <c r="G423" s="4">
        <v>25959.79</v>
      </c>
      <c r="H423" s="4">
        <v>5109.34</v>
      </c>
      <c r="I423" s="4">
        <v>36019.22</v>
      </c>
      <c r="J423" s="4">
        <v>39090.07</v>
      </c>
      <c r="K423" s="4">
        <v>95031.38</v>
      </c>
      <c r="L423" s="4">
        <v>86234.32</v>
      </c>
      <c r="M423" s="4"/>
      <c r="N423" s="4">
        <v>139491.62</v>
      </c>
      <c r="O423" s="4"/>
      <c r="P423" s="4">
        <v>164134.78</v>
      </c>
      <c r="Q423" s="4">
        <v>17194.21</v>
      </c>
      <c r="R423" s="4"/>
      <c r="S423" s="4"/>
      <c r="T423" s="4"/>
      <c r="U423" s="4"/>
      <c r="V423" s="4">
        <v>150482.10999999999</v>
      </c>
      <c r="W423" s="4"/>
      <c r="X423" s="4">
        <v>4502.7299999999996</v>
      </c>
      <c r="Y423" s="4">
        <v>52102.32</v>
      </c>
      <c r="Z423" s="4">
        <v>22222.43</v>
      </c>
      <c r="AA423" s="4">
        <v>113094.92</v>
      </c>
      <c r="AB423" s="4">
        <f t="shared" si="58"/>
        <v>1264042.08</v>
      </c>
    </row>
    <row r="424" spans="1:28" x14ac:dyDescent="0.2">
      <c r="A424" s="3">
        <v>34912</v>
      </c>
      <c r="B424" s="4">
        <v>257107.65</v>
      </c>
      <c r="C424" s="4">
        <v>46200.88</v>
      </c>
      <c r="D424" s="4">
        <v>28707.279999999999</v>
      </c>
      <c r="E424" s="4">
        <v>80379.11</v>
      </c>
      <c r="F424" s="4">
        <v>33148.21</v>
      </c>
      <c r="G424" s="4">
        <v>24415.75</v>
      </c>
      <c r="H424" s="4">
        <v>7955.94</v>
      </c>
      <c r="I424" s="4">
        <v>34388.910000000003</v>
      </c>
      <c r="J424" s="4">
        <v>40404.57</v>
      </c>
      <c r="K424" s="4">
        <v>94796.55</v>
      </c>
      <c r="L424" s="4">
        <v>81834.06</v>
      </c>
      <c r="M424" s="4"/>
      <c r="N424" s="4">
        <v>183175.65</v>
      </c>
      <c r="O424" s="4"/>
      <c r="P424" s="4">
        <v>143419.72</v>
      </c>
      <c r="Q424" s="4">
        <v>22332.9</v>
      </c>
      <c r="R424" s="4"/>
      <c r="S424" s="4"/>
      <c r="T424" s="4"/>
      <c r="U424" s="4"/>
      <c r="V424" s="4">
        <v>146343.94</v>
      </c>
      <c r="W424" s="4"/>
      <c r="X424" s="4">
        <v>141206.82</v>
      </c>
      <c r="Y424" s="4">
        <v>65913.490000000005</v>
      </c>
      <c r="Z424" s="4">
        <v>22020.19</v>
      </c>
      <c r="AA424" s="4">
        <v>263567.09999999998</v>
      </c>
      <c r="AB424" s="4">
        <f t="shared" si="58"/>
        <v>1717318.7199999997</v>
      </c>
    </row>
    <row r="425" spans="1:28" x14ac:dyDescent="0.2">
      <c r="A425" s="3">
        <v>34943</v>
      </c>
      <c r="B425" s="4">
        <v>379458.07</v>
      </c>
      <c r="C425" s="4">
        <v>70265.45</v>
      </c>
      <c r="D425" s="4">
        <v>42108.31</v>
      </c>
      <c r="E425" s="4">
        <v>87854.38</v>
      </c>
      <c r="F425" s="4">
        <v>86872.35</v>
      </c>
      <c r="G425" s="4">
        <v>56709.81</v>
      </c>
      <c r="H425" s="4">
        <v>11307.13</v>
      </c>
      <c r="I425" s="4">
        <v>40066.620000000003</v>
      </c>
      <c r="J425" s="4">
        <v>55078.23</v>
      </c>
      <c r="K425" s="4">
        <v>98663.94</v>
      </c>
      <c r="L425" s="4">
        <v>88789.28</v>
      </c>
      <c r="M425" s="4"/>
      <c r="N425" s="4">
        <v>169313.25</v>
      </c>
      <c r="O425" s="4"/>
      <c r="P425" s="4">
        <v>183000.41</v>
      </c>
      <c r="Q425" s="4">
        <v>29123.82</v>
      </c>
      <c r="R425" s="4"/>
      <c r="S425" s="4"/>
      <c r="T425" s="4"/>
      <c r="U425" s="4"/>
      <c r="V425" s="4">
        <v>199816.26</v>
      </c>
      <c r="W425" s="4"/>
      <c r="X425" s="4">
        <v>211444.93</v>
      </c>
      <c r="Y425" s="4">
        <v>97643.43</v>
      </c>
      <c r="Z425" s="4">
        <v>27755.52</v>
      </c>
      <c r="AA425" s="4">
        <v>280725.55</v>
      </c>
      <c r="AB425" s="4">
        <f t="shared" si="58"/>
        <v>2215996.7399999998</v>
      </c>
    </row>
    <row r="426" spans="1:28" x14ac:dyDescent="0.2">
      <c r="A426" s="3">
        <v>34973</v>
      </c>
      <c r="B426" s="4">
        <v>278980.67</v>
      </c>
      <c r="C426" s="4">
        <v>52336.31</v>
      </c>
      <c r="D426" s="4">
        <v>29335.13</v>
      </c>
      <c r="E426" s="4">
        <v>66235.05</v>
      </c>
      <c r="F426" s="4">
        <v>37490.51</v>
      </c>
      <c r="G426" s="4">
        <v>27301.81</v>
      </c>
      <c r="H426" s="4">
        <v>9998.4</v>
      </c>
      <c r="I426" s="4">
        <v>33438.03</v>
      </c>
      <c r="J426" s="4">
        <v>38036.300000000003</v>
      </c>
      <c r="K426" s="4">
        <v>105371.87</v>
      </c>
      <c r="L426" s="4">
        <v>81723.95</v>
      </c>
      <c r="M426" s="4"/>
      <c r="N426" s="4">
        <v>164497.01</v>
      </c>
      <c r="O426" s="4"/>
      <c r="P426" s="4">
        <v>141972.26</v>
      </c>
      <c r="Q426" s="4">
        <v>24131.55</v>
      </c>
      <c r="R426" s="4"/>
      <c r="S426" s="4"/>
      <c r="T426" s="4"/>
      <c r="U426" s="4"/>
      <c r="V426" s="4">
        <v>154683.4</v>
      </c>
      <c r="W426" s="4"/>
      <c r="X426" s="4">
        <v>179292.61</v>
      </c>
      <c r="Y426" s="4">
        <v>73659.460000000006</v>
      </c>
      <c r="Z426" s="4">
        <v>21275.84</v>
      </c>
      <c r="AA426" s="4">
        <v>247522.79</v>
      </c>
      <c r="AB426" s="4">
        <f t="shared" si="58"/>
        <v>1767282.95</v>
      </c>
    </row>
    <row r="427" spans="1:28" x14ac:dyDescent="0.2">
      <c r="A427" s="3">
        <v>35004</v>
      </c>
      <c r="B427" s="4">
        <v>328943.71000000002</v>
      </c>
      <c r="C427" s="4">
        <v>71971.429999999993</v>
      </c>
      <c r="D427" s="4">
        <v>33661.769999999997</v>
      </c>
      <c r="E427" s="4">
        <v>69882.740000000005</v>
      </c>
      <c r="F427" s="4">
        <v>39588.379999999997</v>
      </c>
      <c r="G427" s="4">
        <v>30323.31</v>
      </c>
      <c r="H427" s="4">
        <v>10089.51</v>
      </c>
      <c r="I427" s="4">
        <v>69383.3</v>
      </c>
      <c r="J427" s="4">
        <v>38241.129999999997</v>
      </c>
      <c r="K427" s="4">
        <v>108414.33</v>
      </c>
      <c r="L427" s="4">
        <v>105527.39</v>
      </c>
      <c r="M427" s="4"/>
      <c r="N427" s="4">
        <v>167857.42</v>
      </c>
      <c r="O427" s="4"/>
      <c r="P427" s="4">
        <v>150198.94</v>
      </c>
      <c r="Q427" s="4">
        <v>24394.78</v>
      </c>
      <c r="R427" s="4"/>
      <c r="S427" s="4"/>
      <c r="T427" s="4"/>
      <c r="U427" s="4"/>
      <c r="V427" s="4">
        <v>194205.15</v>
      </c>
      <c r="W427" s="4"/>
      <c r="X427" s="4">
        <v>179594.56</v>
      </c>
      <c r="Y427" s="4">
        <v>93082.36</v>
      </c>
      <c r="Z427" s="4">
        <v>24655.7</v>
      </c>
      <c r="AA427" s="4">
        <v>272631.86</v>
      </c>
      <c r="AB427" s="4">
        <f t="shared" si="58"/>
        <v>2012647.77</v>
      </c>
    </row>
    <row r="428" spans="1:28" x14ac:dyDescent="0.2">
      <c r="A428" s="3">
        <v>35034</v>
      </c>
      <c r="B428" s="4">
        <v>420892.8</v>
      </c>
      <c r="C428" s="4">
        <v>67090.820000000007</v>
      </c>
      <c r="D428" s="4">
        <v>50538.78</v>
      </c>
      <c r="E428" s="4">
        <v>127332.07</v>
      </c>
      <c r="F428" s="4">
        <v>58932.74</v>
      </c>
      <c r="G428" s="4">
        <v>39822.99</v>
      </c>
      <c r="H428" s="4">
        <v>19046.29</v>
      </c>
      <c r="I428" s="4">
        <v>53045.34</v>
      </c>
      <c r="J428" s="4">
        <v>56405.13</v>
      </c>
      <c r="K428" s="4">
        <v>126063.39</v>
      </c>
      <c r="L428" s="4">
        <v>136051.24</v>
      </c>
      <c r="M428" s="4"/>
      <c r="N428" s="4">
        <v>245521.68</v>
      </c>
      <c r="O428" s="4"/>
      <c r="P428" s="4">
        <v>247494.6</v>
      </c>
      <c r="Q428" s="4">
        <v>38652.79</v>
      </c>
      <c r="R428" s="4"/>
      <c r="S428" s="4"/>
      <c r="T428" s="4"/>
      <c r="U428" s="4"/>
      <c r="V428" s="4">
        <v>224343.28</v>
      </c>
      <c r="W428" s="4"/>
      <c r="X428" s="4">
        <v>267278.21000000002</v>
      </c>
      <c r="Y428" s="4">
        <v>114414.82</v>
      </c>
      <c r="Z428" s="4">
        <v>35460.81</v>
      </c>
      <c r="AA428" s="4">
        <v>372314.18</v>
      </c>
      <c r="AB428" s="4">
        <f t="shared" si="58"/>
        <v>2700701.96</v>
      </c>
    </row>
    <row r="429" spans="1:28" ht="15.75" thickBot="1" x14ac:dyDescent="0.25">
      <c r="A429" s="3" t="s">
        <v>10</v>
      </c>
      <c r="B429" s="5">
        <f t="shared" ref="B429:W429" si="59">SUM(B417:B428)</f>
        <v>3802478.1299999994</v>
      </c>
      <c r="C429" s="5">
        <f t="shared" si="59"/>
        <v>720823.55</v>
      </c>
      <c r="D429" s="5">
        <f t="shared" si="59"/>
        <v>447894</v>
      </c>
      <c r="E429" s="5">
        <f t="shared" si="59"/>
        <v>996220.32000000007</v>
      </c>
      <c r="F429" s="5">
        <f t="shared" si="59"/>
        <v>611087.84000000008</v>
      </c>
      <c r="G429" s="5">
        <f t="shared" si="59"/>
        <v>431466.95</v>
      </c>
      <c r="H429" s="5">
        <f t="shared" si="59"/>
        <v>139228.60999999999</v>
      </c>
      <c r="I429" s="5">
        <f t="shared" si="59"/>
        <v>515114.74000000011</v>
      </c>
      <c r="J429" s="5">
        <f t="shared" si="59"/>
        <v>566603.11</v>
      </c>
      <c r="K429" s="5">
        <f t="shared" si="59"/>
        <v>1313230.68</v>
      </c>
      <c r="L429" s="5">
        <f t="shared" si="59"/>
        <v>1179304.42</v>
      </c>
      <c r="M429" s="5"/>
      <c r="N429" s="5">
        <f t="shared" si="59"/>
        <v>2214382.9899999998</v>
      </c>
      <c r="O429" s="5"/>
      <c r="P429" s="5">
        <f t="shared" si="59"/>
        <v>2166466.0099999998</v>
      </c>
      <c r="Q429" s="5">
        <f t="shared" si="59"/>
        <v>340480.43</v>
      </c>
      <c r="R429" s="5"/>
      <c r="S429" s="5"/>
      <c r="T429" s="5"/>
      <c r="U429" s="5"/>
      <c r="V429" s="5">
        <f t="shared" si="59"/>
        <v>2256605.9699999997</v>
      </c>
      <c r="W429" s="5">
        <f t="shared" si="59"/>
        <v>0</v>
      </c>
      <c r="X429" s="5">
        <f>SUM(X417:X428)</f>
        <v>2243525.8400000003</v>
      </c>
      <c r="Y429" s="5">
        <f>SUM(Y417:Y428)</f>
        <v>1093010.2899999998</v>
      </c>
      <c r="Z429" s="5">
        <f>SUM(Z417:Z428)</f>
        <v>331371.21999999997</v>
      </c>
      <c r="AA429" s="5">
        <f>SUM(AA417:AA428)</f>
        <v>2997069.7199999997</v>
      </c>
      <c r="AB429" s="5">
        <f t="shared" si="58"/>
        <v>24366364.819999997</v>
      </c>
    </row>
    <row r="430" spans="1:28" ht="15.75" thickTop="1" x14ac:dyDescent="0.2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1:28" x14ac:dyDescent="0.2">
      <c r="A431" s="3">
        <v>34335</v>
      </c>
      <c r="B431" s="4">
        <v>504915.95</v>
      </c>
      <c r="C431" s="4">
        <v>94667.27</v>
      </c>
      <c r="D431" s="4">
        <v>58337.46</v>
      </c>
      <c r="E431" s="4">
        <v>100561.37</v>
      </c>
      <c r="F431" s="4">
        <v>62274.67</v>
      </c>
      <c r="G431" s="4">
        <v>40884.82</v>
      </c>
      <c r="H431" s="4">
        <v>16529.72</v>
      </c>
      <c r="I431" s="4">
        <v>55175.66</v>
      </c>
      <c r="J431" s="4">
        <v>59172.41</v>
      </c>
      <c r="K431" s="4">
        <v>145589.23000000001</v>
      </c>
      <c r="L431" s="4">
        <v>114482.37</v>
      </c>
      <c r="M431" s="4"/>
      <c r="N431" s="4">
        <v>295163.27</v>
      </c>
      <c r="O431" s="4"/>
      <c r="P431" s="4">
        <v>280692.98</v>
      </c>
      <c r="Q431" s="4">
        <v>43591.47</v>
      </c>
      <c r="R431" s="4"/>
      <c r="S431" s="4"/>
      <c r="T431" s="4"/>
      <c r="U431" s="4"/>
      <c r="V431" s="4">
        <v>299908.78999999998</v>
      </c>
      <c r="W431" s="4"/>
      <c r="X431" s="4">
        <v>295672.40999999997</v>
      </c>
      <c r="Y431" s="4">
        <v>141540.01</v>
      </c>
      <c r="Z431" s="4">
        <v>43662.3</v>
      </c>
      <c r="AA431" s="4">
        <v>369309.6</v>
      </c>
      <c r="AB431" s="4">
        <f t="shared" ref="AB431:AB443" si="60">SUM(B431:AA431)</f>
        <v>3022131.7600000002</v>
      </c>
    </row>
    <row r="432" spans="1:28" x14ac:dyDescent="0.2">
      <c r="A432" s="3">
        <v>34366</v>
      </c>
      <c r="B432" s="4">
        <v>396381.85</v>
      </c>
      <c r="C432" s="4">
        <v>71916.509999999995</v>
      </c>
      <c r="D432" s="4">
        <v>44376.08</v>
      </c>
      <c r="E432" s="4">
        <v>81699.14</v>
      </c>
      <c r="F432" s="4">
        <v>47404.14</v>
      </c>
      <c r="G432" s="4">
        <v>31106.44</v>
      </c>
      <c r="H432" s="4">
        <v>12570.44</v>
      </c>
      <c r="I432" s="4">
        <v>42002.99</v>
      </c>
      <c r="J432" s="4">
        <v>44999.32</v>
      </c>
      <c r="K432" s="4">
        <v>110738.06</v>
      </c>
      <c r="L432" s="4">
        <v>86053.36</v>
      </c>
      <c r="M432" s="4"/>
      <c r="N432" s="4">
        <v>225796.22</v>
      </c>
      <c r="O432" s="4"/>
      <c r="P432" s="4">
        <v>213479.64</v>
      </c>
      <c r="Q432" s="4">
        <v>33091.81</v>
      </c>
      <c r="R432" s="4"/>
      <c r="S432" s="4"/>
      <c r="T432" s="4"/>
      <c r="U432" s="4"/>
      <c r="V432" s="4">
        <v>227058.65</v>
      </c>
      <c r="W432" s="4"/>
      <c r="X432" s="4">
        <v>240333.69</v>
      </c>
      <c r="Y432" s="4">
        <v>107649.48</v>
      </c>
      <c r="Z432" s="4">
        <v>33201.42</v>
      </c>
      <c r="AA432" s="4">
        <v>281010.77</v>
      </c>
      <c r="AB432" s="4">
        <f t="shared" si="60"/>
        <v>2330870.0099999998</v>
      </c>
    </row>
    <row r="433" spans="1:28" x14ac:dyDescent="0.2">
      <c r="A433" s="3">
        <v>34394</v>
      </c>
      <c r="B433" s="4">
        <v>339366.86</v>
      </c>
      <c r="C433" s="4">
        <v>78333.83</v>
      </c>
      <c r="D433" s="4">
        <v>49954.65</v>
      </c>
      <c r="E433" s="4">
        <v>64685.99</v>
      </c>
      <c r="F433" s="4">
        <v>75250.78</v>
      </c>
      <c r="G433" s="4">
        <v>51397.02</v>
      </c>
      <c r="H433" s="4">
        <v>15131.32</v>
      </c>
      <c r="I433" s="4">
        <v>54036.92</v>
      </c>
      <c r="J433" s="4">
        <v>82669.679999999993</v>
      </c>
      <c r="K433" s="4">
        <v>89598.1</v>
      </c>
      <c r="L433" s="4">
        <v>156680.95999999999</v>
      </c>
      <c r="M433" s="4"/>
      <c r="N433" s="4">
        <v>328068.3</v>
      </c>
      <c r="O433" s="4"/>
      <c r="P433" s="4">
        <v>185163.3</v>
      </c>
      <c r="Q433" s="4">
        <v>32828.370000000003</v>
      </c>
      <c r="R433" s="4"/>
      <c r="S433" s="4"/>
      <c r="T433" s="4"/>
      <c r="U433" s="4"/>
      <c r="V433" s="4">
        <v>199637.48</v>
      </c>
      <c r="W433" s="4"/>
      <c r="X433" s="4">
        <v>255706.73</v>
      </c>
      <c r="Y433" s="4">
        <v>93359.48</v>
      </c>
      <c r="Z433" s="4">
        <v>35196.9</v>
      </c>
      <c r="AA433" s="4">
        <v>67457.75</v>
      </c>
      <c r="AB433" s="4">
        <f t="shared" si="60"/>
        <v>2254524.4200000004</v>
      </c>
    </row>
    <row r="434" spans="1:28" x14ac:dyDescent="0.2">
      <c r="A434" s="3">
        <v>34425</v>
      </c>
      <c r="B434" s="4">
        <v>384976.98</v>
      </c>
      <c r="C434" s="4">
        <v>65633.59</v>
      </c>
      <c r="D434" s="4">
        <v>38283.86</v>
      </c>
      <c r="E434" s="4">
        <v>51796.38</v>
      </c>
      <c r="F434" s="4">
        <v>46741.21</v>
      </c>
      <c r="G434" s="4">
        <v>33846.07</v>
      </c>
      <c r="H434" s="4">
        <v>13116.67</v>
      </c>
      <c r="I434" s="4">
        <v>42440.34</v>
      </c>
      <c r="J434" s="4">
        <v>47458.05</v>
      </c>
      <c r="K434" s="4">
        <v>102538.41</v>
      </c>
      <c r="L434" s="4">
        <v>97258.86</v>
      </c>
      <c r="M434" s="4"/>
      <c r="N434" s="4">
        <v>181178.42</v>
      </c>
      <c r="O434" s="4"/>
      <c r="P434" s="4">
        <v>187365.22</v>
      </c>
      <c r="Q434" s="4">
        <v>30588.51</v>
      </c>
      <c r="R434" s="4"/>
      <c r="S434" s="4"/>
      <c r="T434" s="4"/>
      <c r="U434" s="4"/>
      <c r="V434" s="4">
        <v>196044.41</v>
      </c>
      <c r="W434" s="4"/>
      <c r="X434" s="4">
        <v>220795.25</v>
      </c>
      <c r="Y434" s="4">
        <v>97908.67</v>
      </c>
      <c r="Z434" s="4">
        <v>28726.21</v>
      </c>
      <c r="AA434" s="4">
        <v>181394.16</v>
      </c>
      <c r="AB434" s="4">
        <f t="shared" si="60"/>
        <v>2048091.2699999996</v>
      </c>
    </row>
    <row r="435" spans="1:28" x14ac:dyDescent="0.2">
      <c r="A435" s="3">
        <v>34455</v>
      </c>
      <c r="B435" s="4">
        <v>372245.48</v>
      </c>
      <c r="C435" s="4">
        <v>68525.5</v>
      </c>
      <c r="D435" s="4">
        <v>39542.06</v>
      </c>
      <c r="E435" s="4">
        <v>74172.990000000005</v>
      </c>
      <c r="F435" s="4">
        <v>48391.4</v>
      </c>
      <c r="G435" s="4">
        <v>35348.69</v>
      </c>
      <c r="H435" s="4">
        <v>13693.59</v>
      </c>
      <c r="I435" s="4">
        <v>44306.22</v>
      </c>
      <c r="J435" s="4">
        <v>49545.43</v>
      </c>
      <c r="K435" s="4">
        <v>113036.23</v>
      </c>
      <c r="L435" s="4">
        <v>101584.71</v>
      </c>
      <c r="M435" s="4"/>
      <c r="N435" s="4">
        <v>188389.42</v>
      </c>
      <c r="O435" s="4"/>
      <c r="P435" s="4">
        <v>195626.06</v>
      </c>
      <c r="Q435" s="4">
        <v>31841.71</v>
      </c>
      <c r="R435" s="4"/>
      <c r="S435" s="4"/>
      <c r="T435" s="4"/>
      <c r="U435" s="4"/>
      <c r="V435" s="4">
        <v>202194.7</v>
      </c>
      <c r="W435" s="4"/>
      <c r="X435" s="4">
        <v>229268.15</v>
      </c>
      <c r="Y435" s="4">
        <v>102230.28</v>
      </c>
      <c r="Z435" s="4">
        <v>29990.2</v>
      </c>
      <c r="AA435" s="4">
        <v>249216.84</v>
      </c>
      <c r="AB435" s="4">
        <f t="shared" si="60"/>
        <v>2189149.6599999997</v>
      </c>
    </row>
    <row r="436" spans="1:28" x14ac:dyDescent="0.2">
      <c r="A436" s="3">
        <v>34486</v>
      </c>
      <c r="B436" s="4">
        <v>495700.97</v>
      </c>
      <c r="C436" s="4">
        <v>100772.06</v>
      </c>
      <c r="D436" s="4">
        <v>41536.82</v>
      </c>
      <c r="E436" s="4">
        <v>51933.45</v>
      </c>
      <c r="F436" s="4">
        <v>42405.16</v>
      </c>
      <c r="G436" s="4">
        <v>30256.69</v>
      </c>
      <c r="H436" s="4">
        <v>17250.89</v>
      </c>
      <c r="I436" s="4">
        <v>48166.83</v>
      </c>
      <c r="J436" s="4">
        <v>58041.279999999999</v>
      </c>
      <c r="K436" s="4">
        <v>70717.210000000006</v>
      </c>
      <c r="L436" s="4">
        <v>57294.1</v>
      </c>
      <c r="M436" s="4"/>
      <c r="N436" s="4">
        <v>207552.18</v>
      </c>
      <c r="O436" s="4"/>
      <c r="P436" s="4">
        <v>191864.16</v>
      </c>
      <c r="Q436" s="4">
        <v>40016.97</v>
      </c>
      <c r="R436" s="4"/>
      <c r="S436" s="4"/>
      <c r="T436" s="4"/>
      <c r="U436" s="4"/>
      <c r="V436" s="4">
        <v>233180.54</v>
      </c>
      <c r="W436" s="4"/>
      <c r="X436" s="4">
        <v>300601.34000000003</v>
      </c>
      <c r="Y436" s="4">
        <v>120461.79</v>
      </c>
      <c r="Z436" s="4">
        <v>30854.32</v>
      </c>
      <c r="AA436" s="4">
        <v>340001.55</v>
      </c>
      <c r="AB436" s="4">
        <f t="shared" si="60"/>
        <v>2478608.3099999996</v>
      </c>
    </row>
    <row r="437" spans="1:28" x14ac:dyDescent="0.2">
      <c r="A437" s="3">
        <v>34516</v>
      </c>
      <c r="B437" s="4">
        <v>329678.73</v>
      </c>
      <c r="C437" s="4">
        <v>56109.04</v>
      </c>
      <c r="D437" s="4">
        <v>30269.9</v>
      </c>
      <c r="E437" s="4">
        <v>62331.81</v>
      </c>
      <c r="F437" s="4">
        <v>34479.879999999997</v>
      </c>
      <c r="G437" s="4">
        <v>25493.27</v>
      </c>
      <c r="H437" s="4">
        <v>8778.0400000000009</v>
      </c>
      <c r="I437" s="4">
        <v>34805.97</v>
      </c>
      <c r="J437" s="4">
        <v>38330.449999999997</v>
      </c>
      <c r="K437" s="4">
        <v>81407.990000000005</v>
      </c>
      <c r="L437" s="4">
        <v>87162.06</v>
      </c>
      <c r="M437" s="4"/>
      <c r="N437" s="4">
        <v>198117.3</v>
      </c>
      <c r="O437" s="4"/>
      <c r="P437" s="4">
        <v>154694.51999999999</v>
      </c>
      <c r="Q437" s="4">
        <v>25381.57</v>
      </c>
      <c r="R437" s="4"/>
      <c r="S437" s="4"/>
      <c r="T437" s="4"/>
      <c r="U437" s="4"/>
      <c r="V437" s="4">
        <v>158479.71</v>
      </c>
      <c r="W437" s="4"/>
      <c r="X437" s="4">
        <v>168939.11</v>
      </c>
      <c r="Y437" s="4">
        <v>75110.67</v>
      </c>
      <c r="Z437" s="4">
        <v>22181.39</v>
      </c>
      <c r="AA437" s="4">
        <v>302902.69</v>
      </c>
      <c r="AB437" s="4">
        <f t="shared" si="60"/>
        <v>1894654.0999999999</v>
      </c>
    </row>
    <row r="438" spans="1:28" x14ac:dyDescent="0.2">
      <c r="A438" s="3">
        <v>34547</v>
      </c>
      <c r="B438" s="4">
        <v>293016.06</v>
      </c>
      <c r="C438" s="4">
        <v>53921.2</v>
      </c>
      <c r="D438" s="4">
        <v>29075.33</v>
      </c>
      <c r="E438" s="4">
        <v>80402.009999999995</v>
      </c>
      <c r="F438" s="4">
        <v>33103.15</v>
      </c>
      <c r="G438" s="4">
        <v>24473.03</v>
      </c>
      <c r="H438" s="4">
        <v>8431.74</v>
      </c>
      <c r="I438" s="4">
        <v>33432.86</v>
      </c>
      <c r="J438" s="4">
        <v>36818.300000000003</v>
      </c>
      <c r="K438" s="4">
        <v>93659.22</v>
      </c>
      <c r="L438" s="4">
        <v>83723.5</v>
      </c>
      <c r="M438" s="4"/>
      <c r="N438" s="4">
        <v>190225.76</v>
      </c>
      <c r="O438" s="4"/>
      <c r="P438" s="4">
        <v>148609.79999999999</v>
      </c>
      <c r="Q438" s="4">
        <v>24491.38</v>
      </c>
      <c r="R438" s="4"/>
      <c r="S438" s="4"/>
      <c r="T438" s="4"/>
      <c r="U438" s="4"/>
      <c r="V438" s="4">
        <v>152226.54</v>
      </c>
      <c r="W438" s="4"/>
      <c r="X438" s="4">
        <v>162292.71</v>
      </c>
      <c r="Y438" s="4">
        <v>71764.77</v>
      </c>
      <c r="Z438" s="4">
        <v>21306.3</v>
      </c>
      <c r="AA438" s="4">
        <v>290970</v>
      </c>
      <c r="AB438" s="4">
        <f t="shared" si="60"/>
        <v>1831943.66</v>
      </c>
    </row>
    <row r="439" spans="1:28" x14ac:dyDescent="0.2">
      <c r="A439" s="3">
        <v>34578</v>
      </c>
      <c r="B439" s="4">
        <v>310415.42</v>
      </c>
      <c r="C439" s="4">
        <v>50346.06</v>
      </c>
      <c r="D439" s="4">
        <v>25521.22</v>
      </c>
      <c r="E439" s="4">
        <v>57799.67</v>
      </c>
      <c r="F439" s="4">
        <v>37125.269999999997</v>
      </c>
      <c r="G439" s="4">
        <v>30297.21</v>
      </c>
      <c r="H439" s="4">
        <v>8220.07</v>
      </c>
      <c r="I439" s="4">
        <v>34511</v>
      </c>
      <c r="J439" s="4">
        <v>38570.57</v>
      </c>
      <c r="K439" s="4">
        <v>83466.33</v>
      </c>
      <c r="L439" s="4">
        <v>85304.76</v>
      </c>
      <c r="M439" s="4"/>
      <c r="N439" s="4">
        <v>165040.94</v>
      </c>
      <c r="O439" s="4"/>
      <c r="P439" s="4">
        <v>148144.54999999999</v>
      </c>
      <c r="Q439" s="4">
        <v>19555.830000000002</v>
      </c>
      <c r="R439" s="4"/>
      <c r="S439" s="4"/>
      <c r="T439" s="4"/>
      <c r="U439" s="4"/>
      <c r="V439" s="4">
        <v>140452.29</v>
      </c>
      <c r="W439" s="4"/>
      <c r="X439" s="4">
        <v>190456.22</v>
      </c>
      <c r="Y439" s="4">
        <v>78689.789999999994</v>
      </c>
      <c r="Z439" s="4">
        <v>23456.29</v>
      </c>
      <c r="AA439" s="4">
        <v>296554.71000000002</v>
      </c>
      <c r="AB439" s="4">
        <f t="shared" si="60"/>
        <v>1823928.2</v>
      </c>
    </row>
    <row r="440" spans="1:28" x14ac:dyDescent="0.2">
      <c r="A440" s="3">
        <v>34608</v>
      </c>
      <c r="B440" s="4">
        <v>318764.23</v>
      </c>
      <c r="C440" s="4">
        <v>58995.62</v>
      </c>
      <c r="D440" s="4">
        <v>31451.06</v>
      </c>
      <c r="E440" s="4">
        <v>61548.97</v>
      </c>
      <c r="F440" s="4">
        <v>39134.14</v>
      </c>
      <c r="G440" s="4">
        <v>26173.58</v>
      </c>
      <c r="H440" s="4">
        <v>11483.77</v>
      </c>
      <c r="I440" s="4">
        <v>35480.400000000001</v>
      </c>
      <c r="J440" s="4">
        <v>42234.21</v>
      </c>
      <c r="K440" s="4">
        <v>110603.69</v>
      </c>
      <c r="L440" s="4">
        <v>87233.06</v>
      </c>
      <c r="M440" s="4"/>
      <c r="N440" s="4">
        <v>187653.91</v>
      </c>
      <c r="O440" s="4"/>
      <c r="P440" s="4">
        <v>160629.85999999999</v>
      </c>
      <c r="Q440" s="4">
        <v>27143.77</v>
      </c>
      <c r="R440" s="4"/>
      <c r="S440" s="4"/>
      <c r="T440" s="4"/>
      <c r="U440" s="4"/>
      <c r="V440" s="4">
        <v>167562.57999999999</v>
      </c>
      <c r="W440" s="4"/>
      <c r="X440" s="4">
        <v>187782.67</v>
      </c>
      <c r="Y440" s="4">
        <v>81777.919999999998</v>
      </c>
      <c r="Z440" s="4">
        <v>23812.61</v>
      </c>
      <c r="AA440" s="4">
        <v>285910.46999999997</v>
      </c>
      <c r="AB440" s="4">
        <f t="shared" si="60"/>
        <v>1945376.52</v>
      </c>
    </row>
    <row r="441" spans="1:28" x14ac:dyDescent="0.2">
      <c r="A441" s="3">
        <v>34639</v>
      </c>
      <c r="B441" s="4">
        <v>321769.90000000002</v>
      </c>
      <c r="C441" s="4">
        <v>59567.99</v>
      </c>
      <c r="D441" s="4">
        <v>31747.48</v>
      </c>
      <c r="E441" s="4">
        <v>61713.42</v>
      </c>
      <c r="F441" s="4">
        <v>39538.019999999997</v>
      </c>
      <c r="G441" s="4">
        <v>26523.63</v>
      </c>
      <c r="H441" s="4">
        <v>11591.59</v>
      </c>
      <c r="I441" s="4">
        <v>35814.43</v>
      </c>
      <c r="J441" s="4">
        <v>42632.69</v>
      </c>
      <c r="K441" s="4">
        <v>110814.76</v>
      </c>
      <c r="L441" s="4">
        <v>88052.04</v>
      </c>
      <c r="M441" s="4"/>
      <c r="N441" s="4">
        <v>189415.78</v>
      </c>
      <c r="O441" s="4"/>
      <c r="P441" s="4">
        <v>162142.88</v>
      </c>
      <c r="Q441" s="4">
        <v>27612.66</v>
      </c>
      <c r="R441" s="4"/>
      <c r="S441" s="4"/>
      <c r="T441" s="4"/>
      <c r="U441" s="4"/>
      <c r="V441" s="4">
        <v>169141.06</v>
      </c>
      <c r="W441" s="4"/>
      <c r="X441" s="4">
        <v>189344.08</v>
      </c>
      <c r="Y441" s="4">
        <v>82266.53</v>
      </c>
      <c r="Z441" s="4">
        <v>24031.11</v>
      </c>
      <c r="AA441" s="4">
        <v>288596.95</v>
      </c>
      <c r="AB441" s="4">
        <f t="shared" si="60"/>
        <v>1962317</v>
      </c>
    </row>
    <row r="442" spans="1:28" x14ac:dyDescent="0.2">
      <c r="A442" s="3">
        <v>34669</v>
      </c>
      <c r="B442" s="4">
        <v>296539.15000000002</v>
      </c>
      <c r="C442" s="4">
        <v>71557.08</v>
      </c>
      <c r="D442" s="4">
        <v>38123.120000000003</v>
      </c>
      <c r="E442" s="4">
        <v>113677.34</v>
      </c>
      <c r="F442" s="4">
        <v>54748.31</v>
      </c>
      <c r="G442" s="4">
        <v>39681.11</v>
      </c>
      <c r="H442" s="4">
        <v>12066.7</v>
      </c>
      <c r="I442" s="4">
        <v>40450.230000000003</v>
      </c>
      <c r="J442" s="4">
        <v>47744.09</v>
      </c>
      <c r="K442" s="4">
        <v>110843.76</v>
      </c>
      <c r="L442" s="4">
        <v>86058.09</v>
      </c>
      <c r="M442" s="4"/>
      <c r="N442" s="4">
        <v>202450.09</v>
      </c>
      <c r="O442" s="4"/>
      <c r="P442" s="4">
        <v>155864.37</v>
      </c>
      <c r="Q442" s="4">
        <v>29547.71</v>
      </c>
      <c r="R442" s="4"/>
      <c r="S442" s="4"/>
      <c r="T442" s="4"/>
      <c r="U442" s="4"/>
      <c r="V442" s="4">
        <v>182046.24</v>
      </c>
      <c r="W442" s="4"/>
      <c r="X442" s="4">
        <v>193662.81</v>
      </c>
      <c r="Y442" s="4">
        <v>82721.62</v>
      </c>
      <c r="Z442" s="4">
        <v>25732.61</v>
      </c>
      <c r="AA442" s="4">
        <v>303317.87</v>
      </c>
      <c r="AB442" s="4">
        <f t="shared" si="60"/>
        <v>2086832.2999999998</v>
      </c>
    </row>
    <row r="443" spans="1:28" ht="15.75" thickBot="1" x14ac:dyDescent="0.25">
      <c r="A443" s="3" t="s">
        <v>11</v>
      </c>
      <c r="B443" s="5">
        <f t="shared" ref="B443:W443" si="61">SUM(B431:B442)</f>
        <v>4363771.58</v>
      </c>
      <c r="C443" s="5">
        <f t="shared" si="61"/>
        <v>830345.74999999977</v>
      </c>
      <c r="D443" s="5">
        <f t="shared" si="61"/>
        <v>458219.04</v>
      </c>
      <c r="E443" s="5">
        <f t="shared" si="61"/>
        <v>862322.54</v>
      </c>
      <c r="F443" s="5">
        <f t="shared" si="61"/>
        <v>560596.13000000012</v>
      </c>
      <c r="G443" s="5">
        <f t="shared" si="61"/>
        <v>395481.56000000006</v>
      </c>
      <c r="H443" s="5">
        <f t="shared" si="61"/>
        <v>148864.54000000004</v>
      </c>
      <c r="I443" s="5">
        <f t="shared" si="61"/>
        <v>500623.85000000003</v>
      </c>
      <c r="J443" s="5">
        <f t="shared" si="61"/>
        <v>588216.4800000001</v>
      </c>
      <c r="K443" s="5">
        <f t="shared" si="61"/>
        <v>1223012.99</v>
      </c>
      <c r="L443" s="5">
        <f t="shared" si="61"/>
        <v>1130887.8700000001</v>
      </c>
      <c r="M443" s="5"/>
      <c r="N443" s="5">
        <f t="shared" si="61"/>
        <v>2559051.59</v>
      </c>
      <c r="O443" s="5"/>
      <c r="P443" s="5">
        <f t="shared" si="61"/>
        <v>2184277.34</v>
      </c>
      <c r="Q443" s="5">
        <f t="shared" si="61"/>
        <v>365691.76</v>
      </c>
      <c r="R443" s="5"/>
      <c r="S443" s="5"/>
      <c r="T443" s="5"/>
      <c r="U443" s="5"/>
      <c r="V443" s="5">
        <f t="shared" si="61"/>
        <v>2327932.9900000002</v>
      </c>
      <c r="W443" s="5">
        <f t="shared" si="61"/>
        <v>0</v>
      </c>
      <c r="X443" s="5">
        <f>SUM(X431:X442)</f>
        <v>2634855.1700000004</v>
      </c>
      <c r="Y443" s="5">
        <f>SUM(Y431:Y442)</f>
        <v>1135481.0100000002</v>
      </c>
      <c r="Z443" s="5">
        <f>SUM(Z431:Z442)</f>
        <v>342151.65999999992</v>
      </c>
      <c r="AA443" s="5">
        <f>SUM(AA431:AA442)</f>
        <v>3256643.3600000003</v>
      </c>
      <c r="AB443" s="5">
        <f t="shared" si="60"/>
        <v>25868427.210000001</v>
      </c>
    </row>
    <row r="444" spans="1:28" ht="15.75" thickTop="1" x14ac:dyDescent="0.2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1:28" x14ac:dyDescent="0.2">
      <c r="A445" s="3">
        <v>33970</v>
      </c>
      <c r="B445" s="4">
        <v>399659.18</v>
      </c>
      <c r="C445" s="4">
        <v>75959.25</v>
      </c>
      <c r="D445" s="4">
        <v>49404.6</v>
      </c>
      <c r="E445" s="4">
        <v>79236.53</v>
      </c>
      <c r="F445" s="4">
        <v>61776.94</v>
      </c>
      <c r="G445" s="4">
        <v>40135.300000000003</v>
      </c>
      <c r="H445" s="4">
        <v>15632.22</v>
      </c>
      <c r="I445" s="4">
        <v>45302.49</v>
      </c>
      <c r="J445" s="4">
        <v>38527.17</v>
      </c>
      <c r="K445" s="4">
        <v>107226.06</v>
      </c>
      <c r="L445" s="4">
        <v>112057.95</v>
      </c>
      <c r="M445" s="4"/>
      <c r="N445" s="4">
        <v>198441.35</v>
      </c>
      <c r="O445" s="4"/>
      <c r="P445" s="4">
        <v>207458.94</v>
      </c>
      <c r="Q445" s="4">
        <v>35193.449999999997</v>
      </c>
      <c r="R445" s="4"/>
      <c r="S445" s="4"/>
      <c r="T445" s="4"/>
      <c r="U445" s="4"/>
      <c r="V445" s="4">
        <v>234761.78</v>
      </c>
      <c r="W445" s="4"/>
      <c r="X445" s="4">
        <v>266844.26</v>
      </c>
      <c r="Y445" s="4">
        <v>111120.66</v>
      </c>
      <c r="Z445" s="4">
        <v>35663.79</v>
      </c>
      <c r="AA445" s="4">
        <v>333953.38</v>
      </c>
      <c r="AB445" s="4">
        <f t="shared" ref="AB445:AB457" si="62">SUM(B445:AA445)</f>
        <v>2448355.2999999998</v>
      </c>
    </row>
    <row r="446" spans="1:28" x14ac:dyDescent="0.2">
      <c r="A446" s="3">
        <v>34001</v>
      </c>
      <c r="B446" s="4">
        <v>313040.28999999998</v>
      </c>
      <c r="C446" s="4">
        <v>59524.97</v>
      </c>
      <c r="D446" s="4">
        <v>38680.15</v>
      </c>
      <c r="E446" s="4">
        <v>61858.09</v>
      </c>
      <c r="F446" s="4">
        <v>48387.78</v>
      </c>
      <c r="G446" s="4">
        <v>31335.43</v>
      </c>
      <c r="H446" s="4">
        <v>12244.19</v>
      </c>
      <c r="I446" s="4">
        <v>35518.120000000003</v>
      </c>
      <c r="J446" s="4">
        <v>30852.02</v>
      </c>
      <c r="K446" s="4">
        <v>84017.51</v>
      </c>
      <c r="L446" s="4">
        <v>87770.37</v>
      </c>
      <c r="M446" s="4"/>
      <c r="N446" s="4">
        <v>155483.12</v>
      </c>
      <c r="O446" s="4"/>
      <c r="P446" s="4">
        <v>162676.15</v>
      </c>
      <c r="Q446" s="4">
        <v>27520.04</v>
      </c>
      <c r="R446" s="4"/>
      <c r="S446" s="4"/>
      <c r="T446" s="4"/>
      <c r="U446" s="4"/>
      <c r="V446" s="4">
        <v>183874.01</v>
      </c>
      <c r="W446" s="4"/>
      <c r="X446" s="4">
        <v>208854.19</v>
      </c>
      <c r="Y446" s="4">
        <v>87039.74</v>
      </c>
      <c r="Z446" s="4">
        <v>27932.21</v>
      </c>
      <c r="AA446" s="4">
        <v>261647.7</v>
      </c>
      <c r="AB446" s="4">
        <f t="shared" si="62"/>
        <v>1918256.0799999998</v>
      </c>
    </row>
    <row r="447" spans="1:28" x14ac:dyDescent="0.2">
      <c r="A447" s="3">
        <v>34029</v>
      </c>
      <c r="B447" s="4">
        <v>411978.66</v>
      </c>
      <c r="C447" s="4">
        <v>81390.600000000006</v>
      </c>
      <c r="D447" s="4">
        <v>42192.59</v>
      </c>
      <c r="E447" s="4">
        <v>83630.06</v>
      </c>
      <c r="F447" s="4">
        <v>51977.62</v>
      </c>
      <c r="G447" s="4">
        <v>39720.04</v>
      </c>
      <c r="H447" s="4">
        <v>10049.629999999999</v>
      </c>
      <c r="I447" s="4">
        <v>49053.14</v>
      </c>
      <c r="J447" s="4">
        <v>54445.94</v>
      </c>
      <c r="K447" s="4">
        <v>103794.44</v>
      </c>
      <c r="L447" s="4">
        <v>101803.4</v>
      </c>
      <c r="M447" s="4"/>
      <c r="N447" s="4">
        <v>251965.97</v>
      </c>
      <c r="O447" s="4"/>
      <c r="P447" s="4">
        <v>261301.41</v>
      </c>
      <c r="Q447" s="4">
        <v>34673.72</v>
      </c>
      <c r="R447" s="4"/>
      <c r="S447" s="4"/>
      <c r="T447" s="4"/>
      <c r="U447" s="4"/>
      <c r="V447" s="4">
        <v>228720.43</v>
      </c>
      <c r="W447" s="4"/>
      <c r="X447" s="4">
        <v>234610.74</v>
      </c>
      <c r="Y447" s="4">
        <v>121439.75</v>
      </c>
      <c r="Z447" s="4">
        <v>33769.980000000003</v>
      </c>
      <c r="AA447" s="4">
        <v>197314.36</v>
      </c>
      <c r="AB447" s="4">
        <f t="shared" si="62"/>
        <v>2393832.4799999995</v>
      </c>
    </row>
    <row r="448" spans="1:28" x14ac:dyDescent="0.2">
      <c r="A448" s="3">
        <v>34060</v>
      </c>
      <c r="B448" s="4">
        <v>309107.84000000003</v>
      </c>
      <c r="C448" s="4">
        <v>61217.07</v>
      </c>
      <c r="D448" s="4">
        <v>41973.29</v>
      </c>
      <c r="E448" s="4">
        <v>63417.68</v>
      </c>
      <c r="F448" s="4">
        <v>45808.63</v>
      </c>
      <c r="G448" s="4">
        <v>35608.339999999997</v>
      </c>
      <c r="H448" s="4">
        <v>11371.35</v>
      </c>
      <c r="I448" s="4">
        <v>33716.400000000001</v>
      </c>
      <c r="J448" s="4">
        <v>31928.3</v>
      </c>
      <c r="K448" s="4">
        <v>96553.03</v>
      </c>
      <c r="L448" s="4">
        <v>100756.32</v>
      </c>
      <c r="M448" s="4"/>
      <c r="N448" s="4">
        <v>145052.28</v>
      </c>
      <c r="O448" s="4"/>
      <c r="P448" s="4">
        <v>173405.44</v>
      </c>
      <c r="Q448" s="4">
        <v>27335.77</v>
      </c>
      <c r="R448" s="4"/>
      <c r="S448" s="4"/>
      <c r="T448" s="4"/>
      <c r="U448" s="4"/>
      <c r="V448" s="4">
        <v>171828.42</v>
      </c>
      <c r="W448" s="4"/>
      <c r="X448" s="4">
        <v>215242.37</v>
      </c>
      <c r="Y448" s="4">
        <v>91418.29</v>
      </c>
      <c r="Z448" s="4">
        <v>27430.65</v>
      </c>
      <c r="AA448" s="4">
        <v>189659.39</v>
      </c>
      <c r="AB448" s="4">
        <f t="shared" si="62"/>
        <v>1872830.8599999999</v>
      </c>
    </row>
    <row r="449" spans="1:28" x14ac:dyDescent="0.2">
      <c r="A449" s="3">
        <v>34090</v>
      </c>
      <c r="B449" s="4">
        <v>326088.19</v>
      </c>
      <c r="C449" s="4">
        <v>59391.11</v>
      </c>
      <c r="D449" s="4">
        <v>35887.410000000003</v>
      </c>
      <c r="E449" s="4">
        <v>67149.87</v>
      </c>
      <c r="F449" s="4">
        <v>47144.3</v>
      </c>
      <c r="G449" s="4">
        <v>34319.129999999997</v>
      </c>
      <c r="H449" s="4">
        <v>12103.15</v>
      </c>
      <c r="I449" s="4">
        <v>35598.39</v>
      </c>
      <c r="J449" s="4">
        <v>34100.39</v>
      </c>
      <c r="K449" s="4">
        <v>103063.76</v>
      </c>
      <c r="L449" s="4">
        <v>97990.8</v>
      </c>
      <c r="M449" s="4"/>
      <c r="N449" s="4">
        <v>155046.70000000001</v>
      </c>
      <c r="O449" s="4"/>
      <c r="P449" s="4">
        <v>169585.64</v>
      </c>
      <c r="Q449" s="4">
        <v>29065.52</v>
      </c>
      <c r="R449" s="4"/>
      <c r="S449" s="4"/>
      <c r="T449" s="4"/>
      <c r="U449" s="4"/>
      <c r="V449" s="4">
        <v>182645.59</v>
      </c>
      <c r="W449" s="4"/>
      <c r="X449" s="4">
        <v>214834.71</v>
      </c>
      <c r="Y449" s="4">
        <v>94440.77</v>
      </c>
      <c r="Z449" s="4">
        <v>27052.04</v>
      </c>
      <c r="AA449" s="4">
        <v>254374.69</v>
      </c>
      <c r="AB449" s="4">
        <f t="shared" si="62"/>
        <v>1979882.1600000004</v>
      </c>
    </row>
    <row r="450" spans="1:28" x14ac:dyDescent="0.2">
      <c r="A450" s="3">
        <v>34121</v>
      </c>
      <c r="B450" s="4">
        <v>441208.6</v>
      </c>
      <c r="C450" s="4">
        <v>79955.399999999994</v>
      </c>
      <c r="D450" s="4">
        <v>40590.879999999997</v>
      </c>
      <c r="E450" s="4">
        <v>86021.35</v>
      </c>
      <c r="F450" s="4">
        <v>48526.68</v>
      </c>
      <c r="G450" s="4">
        <v>34806.660000000003</v>
      </c>
      <c r="H450" s="4">
        <v>15633.51</v>
      </c>
      <c r="I450" s="4">
        <v>56992.95</v>
      </c>
      <c r="J450" s="4">
        <v>49590.69</v>
      </c>
      <c r="K450" s="4">
        <v>110193.26</v>
      </c>
      <c r="L450" s="4">
        <v>94274.64</v>
      </c>
      <c r="M450" s="4"/>
      <c r="N450" s="4">
        <v>246799.05</v>
      </c>
      <c r="O450" s="4"/>
      <c r="P450" s="4">
        <v>221227.72</v>
      </c>
      <c r="Q450" s="4">
        <v>63727.64</v>
      </c>
      <c r="R450" s="4"/>
      <c r="S450" s="4"/>
      <c r="T450" s="4"/>
      <c r="U450" s="4"/>
      <c r="V450" s="4">
        <v>211787.28</v>
      </c>
      <c r="W450" s="4"/>
      <c r="X450" s="4">
        <v>219594.64</v>
      </c>
      <c r="Y450" s="4">
        <v>104233.9</v>
      </c>
      <c r="Z450" s="4">
        <v>31135.78</v>
      </c>
      <c r="AA450" s="4">
        <v>234382.42</v>
      </c>
      <c r="AB450" s="4">
        <f t="shared" si="62"/>
        <v>2390683.0499999993</v>
      </c>
    </row>
    <row r="451" spans="1:28" x14ac:dyDescent="0.2">
      <c r="A451" s="3">
        <v>34151</v>
      </c>
      <c r="B451" s="4">
        <v>269750.74</v>
      </c>
      <c r="C451" s="4">
        <v>46104.98</v>
      </c>
      <c r="D451" s="4">
        <v>30976.77</v>
      </c>
      <c r="E451" s="4">
        <v>67630.179999999993</v>
      </c>
      <c r="F451" s="4">
        <v>33125.39</v>
      </c>
      <c r="G451" s="4">
        <v>24925.919999999998</v>
      </c>
      <c r="H451" s="4">
        <v>7801.01</v>
      </c>
      <c r="I451" s="4">
        <v>28347.39</v>
      </c>
      <c r="J451" s="4">
        <v>33032.730000000003</v>
      </c>
      <c r="K451" s="4">
        <v>83102.429999999993</v>
      </c>
      <c r="L451" s="4">
        <v>75782.06</v>
      </c>
      <c r="M451" s="4"/>
      <c r="N451" s="4">
        <v>162597.19</v>
      </c>
      <c r="O451" s="4"/>
      <c r="P451" s="4">
        <v>135215.54999999999</v>
      </c>
      <c r="Q451" s="4">
        <v>21679.17</v>
      </c>
      <c r="R451" s="4"/>
      <c r="S451" s="4"/>
      <c r="T451" s="4"/>
      <c r="U451" s="4"/>
      <c r="V451" s="4">
        <v>140875.72</v>
      </c>
      <c r="W451" s="4"/>
      <c r="X451" s="4">
        <v>156833.14000000001</v>
      </c>
      <c r="Y451" s="4">
        <v>66323.34</v>
      </c>
      <c r="Z451" s="4">
        <v>19779.05</v>
      </c>
      <c r="AA451" s="4">
        <v>293566.55</v>
      </c>
      <c r="AB451" s="4">
        <f t="shared" si="62"/>
        <v>1697449.3100000003</v>
      </c>
    </row>
    <row r="452" spans="1:28" x14ac:dyDescent="0.2">
      <c r="A452" s="3">
        <v>34182</v>
      </c>
      <c r="B452" s="4">
        <v>266754.31</v>
      </c>
      <c r="C452" s="4">
        <v>45597.91</v>
      </c>
      <c r="D452" s="4">
        <v>25291.29</v>
      </c>
      <c r="E452" s="4">
        <v>71875.05</v>
      </c>
      <c r="F452" s="4">
        <v>32717.48</v>
      </c>
      <c r="G452" s="4">
        <v>24584.240000000002</v>
      </c>
      <c r="H452" s="4">
        <v>7714.95</v>
      </c>
      <c r="I452" s="4">
        <v>27944.91</v>
      </c>
      <c r="J452" s="4">
        <v>32668.45</v>
      </c>
      <c r="K452" s="4">
        <v>84125.2</v>
      </c>
      <c r="L452" s="4">
        <v>74928.240000000005</v>
      </c>
      <c r="M452" s="4"/>
      <c r="N452" s="4">
        <v>160770.63</v>
      </c>
      <c r="O452" s="4"/>
      <c r="P452" s="4">
        <v>133646.66</v>
      </c>
      <c r="Q452" s="4">
        <v>21440.09</v>
      </c>
      <c r="R452" s="4"/>
      <c r="S452" s="4"/>
      <c r="T452" s="4"/>
      <c r="U452" s="4"/>
      <c r="V452" s="4">
        <v>139204.60999999999</v>
      </c>
      <c r="W452" s="4"/>
      <c r="X452" s="4">
        <v>154672.51999999999</v>
      </c>
      <c r="Y452" s="4">
        <v>66470.740000000005</v>
      </c>
      <c r="Z452" s="4">
        <v>19016.830000000002</v>
      </c>
      <c r="AA452" s="4">
        <v>290422.56</v>
      </c>
      <c r="AB452" s="4">
        <f t="shared" si="62"/>
        <v>1679846.67</v>
      </c>
    </row>
    <row r="453" spans="1:28" x14ac:dyDescent="0.2">
      <c r="A453" s="3">
        <v>34213</v>
      </c>
      <c r="B453" s="4">
        <v>345371.07</v>
      </c>
      <c r="C453" s="4">
        <v>70671.69</v>
      </c>
      <c r="D453" s="4">
        <v>34780.97</v>
      </c>
      <c r="E453" s="4">
        <v>100530.6</v>
      </c>
      <c r="F453" s="4">
        <v>33721.69</v>
      </c>
      <c r="G453" s="4">
        <v>21069.43</v>
      </c>
      <c r="H453" s="4">
        <v>9966.16</v>
      </c>
      <c r="I453" s="4">
        <v>37928.620000000003</v>
      </c>
      <c r="J453" s="4">
        <v>40447.980000000003</v>
      </c>
      <c r="K453" s="4">
        <v>110883.39</v>
      </c>
      <c r="L453" s="4">
        <v>94591.88</v>
      </c>
      <c r="M453" s="4"/>
      <c r="N453" s="4">
        <v>231528.79</v>
      </c>
      <c r="O453" s="4"/>
      <c r="P453" s="4">
        <v>168503.26</v>
      </c>
      <c r="Q453" s="4">
        <v>29083.93</v>
      </c>
      <c r="R453" s="4"/>
      <c r="S453" s="4"/>
      <c r="T453" s="4"/>
      <c r="U453" s="4"/>
      <c r="V453" s="4">
        <v>162958.79</v>
      </c>
      <c r="W453" s="4"/>
      <c r="X453" s="4">
        <v>170261.62</v>
      </c>
      <c r="Y453" s="4">
        <v>80419.600000000006</v>
      </c>
      <c r="Z453" s="4">
        <v>22662.18</v>
      </c>
      <c r="AA453" s="4">
        <v>265632.63</v>
      </c>
      <c r="AB453" s="4">
        <f t="shared" si="62"/>
        <v>2031014.2800000003</v>
      </c>
    </row>
    <row r="454" spans="1:28" x14ac:dyDescent="0.2">
      <c r="A454" s="3">
        <v>34243</v>
      </c>
      <c r="B454" s="4">
        <v>284758.08</v>
      </c>
      <c r="C454" s="4">
        <v>53864.54</v>
      </c>
      <c r="D454" s="4">
        <v>29821.45</v>
      </c>
      <c r="E454" s="4">
        <v>65297.49</v>
      </c>
      <c r="F454" s="4">
        <v>37588.720000000001</v>
      </c>
      <c r="G454" s="4">
        <v>26161.439999999999</v>
      </c>
      <c r="H454" s="4">
        <v>9918.16</v>
      </c>
      <c r="I454" s="4">
        <v>17442.96</v>
      </c>
      <c r="J454" s="4">
        <v>27623.16</v>
      </c>
      <c r="K454" s="4">
        <v>96536.38</v>
      </c>
      <c r="L454" s="4">
        <v>79903.05</v>
      </c>
      <c r="M454" s="4"/>
      <c r="N454" s="4">
        <v>157202.03</v>
      </c>
      <c r="O454" s="4"/>
      <c r="P454" s="4">
        <v>151360.04</v>
      </c>
      <c r="Q454" s="4">
        <v>22819.599999999999</v>
      </c>
      <c r="R454" s="4"/>
      <c r="S454" s="4"/>
      <c r="T454" s="4"/>
      <c r="U454" s="4"/>
      <c r="V454" s="4">
        <v>154137.42000000001</v>
      </c>
      <c r="W454" s="4"/>
      <c r="X454" s="4">
        <v>169214.28</v>
      </c>
      <c r="Y454" s="4">
        <v>79273.460000000006</v>
      </c>
      <c r="Z454" s="4">
        <v>21505.61</v>
      </c>
      <c r="AA454" s="4">
        <v>277467.83</v>
      </c>
      <c r="AB454" s="4">
        <f t="shared" si="62"/>
        <v>1761895.7000000002</v>
      </c>
    </row>
    <row r="455" spans="1:28" x14ac:dyDescent="0.2">
      <c r="A455" s="3">
        <v>34274</v>
      </c>
      <c r="B455" s="4">
        <v>300110.88</v>
      </c>
      <c r="C455" s="4">
        <v>57002.77</v>
      </c>
      <c r="D455" s="4">
        <v>31469.49</v>
      </c>
      <c r="E455" s="4">
        <v>68729.31</v>
      </c>
      <c r="F455" s="4">
        <v>39686.43</v>
      </c>
      <c r="G455" s="4">
        <v>27623.57</v>
      </c>
      <c r="H455" s="4">
        <v>10436.98</v>
      </c>
      <c r="I455" s="4">
        <v>18435.66</v>
      </c>
      <c r="J455" s="4">
        <v>29060.09</v>
      </c>
      <c r="K455" s="4">
        <v>101565.77</v>
      </c>
      <c r="L455" s="4">
        <v>84073.66</v>
      </c>
      <c r="M455" s="4"/>
      <c r="N455" s="4">
        <v>165104.09</v>
      </c>
      <c r="O455" s="4"/>
      <c r="P455" s="4">
        <v>159502.10999999999</v>
      </c>
      <c r="Q455" s="4">
        <v>24073.43</v>
      </c>
      <c r="R455" s="4"/>
      <c r="S455" s="4"/>
      <c r="T455" s="4"/>
      <c r="U455" s="4"/>
      <c r="V455" s="4">
        <v>163962.62</v>
      </c>
      <c r="W455" s="4"/>
      <c r="X455" s="4">
        <v>177989.45</v>
      </c>
      <c r="Y455" s="4">
        <v>83701.09</v>
      </c>
      <c r="Z455" s="4">
        <v>22696.38</v>
      </c>
      <c r="AA455" s="4">
        <v>292141.83</v>
      </c>
      <c r="AB455" s="4">
        <f t="shared" si="62"/>
        <v>1857365.6099999999</v>
      </c>
    </row>
    <row r="456" spans="1:28" x14ac:dyDescent="0.2">
      <c r="A456" s="3">
        <v>34304</v>
      </c>
      <c r="B456" s="4">
        <v>289128.57</v>
      </c>
      <c r="C456" s="4">
        <v>62413.3</v>
      </c>
      <c r="D456" s="4">
        <v>37923.08</v>
      </c>
      <c r="E456" s="4">
        <v>63414.79</v>
      </c>
      <c r="F456" s="4">
        <v>75457.509999999995</v>
      </c>
      <c r="G456" s="4">
        <v>45452.3</v>
      </c>
      <c r="H456" s="4">
        <v>13914.84</v>
      </c>
      <c r="I456" s="4">
        <v>76950.84</v>
      </c>
      <c r="J456" s="4">
        <v>131408.75</v>
      </c>
      <c r="K456" s="4">
        <v>131776.95999999999</v>
      </c>
      <c r="L456" s="4">
        <v>142829.04999999999</v>
      </c>
      <c r="M456" s="4"/>
      <c r="N456" s="4">
        <v>280565.95</v>
      </c>
      <c r="O456" s="4"/>
      <c r="P456" s="4">
        <v>182706.61</v>
      </c>
      <c r="Q456" s="4">
        <v>39335.800000000003</v>
      </c>
      <c r="R456" s="4"/>
      <c r="S456" s="4"/>
      <c r="T456" s="4"/>
      <c r="U456" s="4"/>
      <c r="V456" s="4">
        <v>192749.09</v>
      </c>
      <c r="W456" s="4"/>
      <c r="X456" s="4">
        <v>174934.57</v>
      </c>
      <c r="Y456" s="4">
        <v>90317.39</v>
      </c>
      <c r="Z456" s="4">
        <v>29020.880000000001</v>
      </c>
      <c r="AA456" s="4">
        <v>241485.66</v>
      </c>
      <c r="AB456" s="4">
        <f t="shared" si="62"/>
        <v>2301785.94</v>
      </c>
    </row>
    <row r="457" spans="1:28" ht="15.75" thickBot="1" x14ac:dyDescent="0.25">
      <c r="A457" s="3" t="s">
        <v>12</v>
      </c>
      <c r="B457" s="5">
        <f t="shared" ref="B457:W457" si="63">SUM(B445:B456)</f>
        <v>3956956.4099999997</v>
      </c>
      <c r="C457" s="5">
        <f t="shared" si="63"/>
        <v>753093.59000000008</v>
      </c>
      <c r="D457" s="5">
        <f t="shared" si="63"/>
        <v>438991.97</v>
      </c>
      <c r="E457" s="5">
        <f t="shared" si="63"/>
        <v>878791</v>
      </c>
      <c r="F457" s="5">
        <f t="shared" si="63"/>
        <v>555919.16999999993</v>
      </c>
      <c r="G457" s="5">
        <f t="shared" si="63"/>
        <v>385741.8</v>
      </c>
      <c r="H457" s="5">
        <f t="shared" si="63"/>
        <v>136786.15</v>
      </c>
      <c r="I457" s="5">
        <f t="shared" si="63"/>
        <v>463231.87</v>
      </c>
      <c r="J457" s="5">
        <f t="shared" si="63"/>
        <v>533685.66999999993</v>
      </c>
      <c r="K457" s="5">
        <f t="shared" si="63"/>
        <v>1212838.19</v>
      </c>
      <c r="L457" s="5">
        <f t="shared" si="63"/>
        <v>1146761.4200000002</v>
      </c>
      <c r="M457" s="5"/>
      <c r="N457" s="5">
        <f t="shared" si="63"/>
        <v>2310557.1500000004</v>
      </c>
      <c r="O457" s="5"/>
      <c r="P457" s="5">
        <f t="shared" si="63"/>
        <v>2126589.5299999998</v>
      </c>
      <c r="Q457" s="5">
        <f t="shared" si="63"/>
        <v>375948.16</v>
      </c>
      <c r="R457" s="5"/>
      <c r="S457" s="5"/>
      <c r="T457" s="5"/>
      <c r="U457" s="5"/>
      <c r="V457" s="5">
        <f t="shared" si="63"/>
        <v>2167505.7599999998</v>
      </c>
      <c r="W457" s="5">
        <f t="shared" si="63"/>
        <v>0</v>
      </c>
      <c r="X457" s="5">
        <f>SUM(X445:X456)</f>
        <v>2363886.4900000002</v>
      </c>
      <c r="Y457" s="5">
        <f>SUM(Y445:Y456)</f>
        <v>1076198.7299999997</v>
      </c>
      <c r="Z457" s="5">
        <f>SUM(Z445:Z456)</f>
        <v>317665.38</v>
      </c>
      <c r="AA457" s="5">
        <f>SUM(AA445:AA456)</f>
        <v>3132049.0000000005</v>
      </c>
      <c r="AB457" s="5">
        <f t="shared" si="62"/>
        <v>24333197.439999998</v>
      </c>
    </row>
    <row r="458" spans="1:28" ht="15.75" thickTop="1" x14ac:dyDescent="0.2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1:28" x14ac:dyDescent="0.2">
      <c r="A459" s="3">
        <v>33604</v>
      </c>
      <c r="B459" s="4">
        <v>353060.93</v>
      </c>
      <c r="C459" s="4">
        <v>72770.210000000006</v>
      </c>
      <c r="D459" s="4">
        <v>45325.02</v>
      </c>
      <c r="E459" s="4">
        <v>74547.12</v>
      </c>
      <c r="F459" s="4">
        <v>57629.87</v>
      </c>
      <c r="G459" s="4">
        <v>37532.19</v>
      </c>
      <c r="H459" s="4">
        <v>8296.99</v>
      </c>
      <c r="I459" s="4">
        <v>8042.9</v>
      </c>
      <c r="J459" s="4">
        <v>0</v>
      </c>
      <c r="K459" s="4">
        <v>99173.65</v>
      </c>
      <c r="L459" s="4">
        <v>96278.2</v>
      </c>
      <c r="M459" s="4"/>
      <c r="N459" s="4">
        <v>170441.25</v>
      </c>
      <c r="O459" s="4"/>
      <c r="P459" s="4">
        <v>208496.04</v>
      </c>
      <c r="Q459" s="4">
        <v>21049.759999999998</v>
      </c>
      <c r="R459" s="4"/>
      <c r="S459" s="4"/>
      <c r="T459" s="4"/>
      <c r="U459" s="4"/>
      <c r="V459" s="4">
        <v>227395</v>
      </c>
      <c r="W459" s="4"/>
      <c r="X459" s="4">
        <v>239626.23</v>
      </c>
      <c r="Y459" s="4">
        <v>105775.76</v>
      </c>
      <c r="Z459" s="4">
        <v>33433.51</v>
      </c>
      <c r="AA459" s="4">
        <v>303685.74</v>
      </c>
      <c r="AB459" s="4">
        <f t="shared" ref="AB459:AB471" si="64">SUM(B459:AA459)</f>
        <v>2162560.37</v>
      </c>
    </row>
    <row r="460" spans="1:28" x14ac:dyDescent="0.2">
      <c r="A460" s="3">
        <v>33635</v>
      </c>
      <c r="B460" s="4">
        <v>283030.8</v>
      </c>
      <c r="C460" s="4">
        <v>58343.97</v>
      </c>
      <c r="D460" s="4">
        <v>36316.25</v>
      </c>
      <c r="E460" s="4">
        <v>60088.59</v>
      </c>
      <c r="F460" s="4">
        <v>46145.18</v>
      </c>
      <c r="G460" s="4">
        <v>30039.63</v>
      </c>
      <c r="H460" s="4">
        <v>8553.2900000000009</v>
      </c>
      <c r="I460" s="4">
        <v>23443</v>
      </c>
      <c r="J460" s="4">
        <v>0</v>
      </c>
      <c r="K460" s="4">
        <v>79483.98</v>
      </c>
      <c r="L460" s="4">
        <v>77201.69</v>
      </c>
      <c r="M460" s="4"/>
      <c r="N460" s="4">
        <v>136827.4</v>
      </c>
      <c r="O460" s="4"/>
      <c r="P460" s="4">
        <v>167392.10999999999</v>
      </c>
      <c r="Q460" s="4">
        <v>21400.05</v>
      </c>
      <c r="R460" s="4"/>
      <c r="S460" s="4"/>
      <c r="T460" s="4"/>
      <c r="U460" s="4"/>
      <c r="V460" s="4">
        <v>182338.39</v>
      </c>
      <c r="W460" s="4"/>
      <c r="X460" s="4">
        <v>192082.09</v>
      </c>
      <c r="Y460" s="4">
        <v>84912.22</v>
      </c>
      <c r="Z460" s="4">
        <v>26778.07</v>
      </c>
      <c r="AA460" s="4">
        <v>245475.98</v>
      </c>
      <c r="AB460" s="4">
        <f t="shared" si="64"/>
        <v>1759852.6900000002</v>
      </c>
    </row>
    <row r="461" spans="1:28" x14ac:dyDescent="0.2">
      <c r="A461" s="3">
        <v>33664</v>
      </c>
      <c r="B461" s="4">
        <v>393490.62</v>
      </c>
      <c r="C461" s="4">
        <v>63759.64</v>
      </c>
      <c r="D461" s="4">
        <v>43715.16</v>
      </c>
      <c r="E461" s="4">
        <v>83942.41</v>
      </c>
      <c r="F461" s="4">
        <v>69296.97</v>
      </c>
      <c r="G461" s="4">
        <v>47212.04</v>
      </c>
      <c r="H461" s="4">
        <v>23125.03</v>
      </c>
      <c r="I461" s="4">
        <v>74347.73</v>
      </c>
      <c r="J461" s="4">
        <v>0</v>
      </c>
      <c r="K461" s="4">
        <v>105683.64</v>
      </c>
      <c r="L461" s="4">
        <v>136977.85999999999</v>
      </c>
      <c r="M461" s="4"/>
      <c r="N461" s="4">
        <v>204635.82</v>
      </c>
      <c r="O461" s="4"/>
      <c r="P461" s="4">
        <v>162485.62</v>
      </c>
      <c r="Q461" s="4">
        <v>50199.18</v>
      </c>
      <c r="R461" s="4"/>
      <c r="S461" s="4"/>
      <c r="T461" s="4"/>
      <c r="U461" s="4"/>
      <c r="V461" s="4">
        <v>206712.91</v>
      </c>
      <c r="W461" s="4"/>
      <c r="X461" s="4">
        <v>281290.81</v>
      </c>
      <c r="Y461" s="4">
        <v>92408.89</v>
      </c>
      <c r="Z461" s="4">
        <v>31294.89</v>
      </c>
      <c r="AA461" s="4">
        <v>280401.23</v>
      </c>
      <c r="AB461" s="4">
        <f t="shared" si="64"/>
        <v>2350980.4499999997</v>
      </c>
    </row>
    <row r="462" spans="1:28" x14ac:dyDescent="0.2">
      <c r="A462" s="3">
        <v>33695</v>
      </c>
      <c r="B462" s="4">
        <v>277500.32</v>
      </c>
      <c r="C462" s="4">
        <v>52441.29</v>
      </c>
      <c r="D462" s="4">
        <v>29979.69</v>
      </c>
      <c r="E462" s="4">
        <v>53851.65</v>
      </c>
      <c r="F462" s="4">
        <v>37924.71</v>
      </c>
      <c r="G462" s="4">
        <v>27055.23</v>
      </c>
      <c r="H462" s="4">
        <v>8086.72</v>
      </c>
      <c r="I462" s="4">
        <v>22289.43</v>
      </c>
      <c r="J462" s="4">
        <v>0</v>
      </c>
      <c r="K462" s="4">
        <v>74788.92</v>
      </c>
      <c r="L462" s="4">
        <v>79225.960000000006</v>
      </c>
      <c r="M462" s="4"/>
      <c r="N462" s="4">
        <v>125663.98</v>
      </c>
      <c r="O462" s="4"/>
      <c r="P462" s="4">
        <v>145295.28</v>
      </c>
      <c r="Q462" s="4">
        <v>20897</v>
      </c>
      <c r="R462" s="4"/>
      <c r="S462" s="4"/>
      <c r="T462" s="4"/>
      <c r="U462" s="4"/>
      <c r="V462" s="4">
        <v>155677.69</v>
      </c>
      <c r="W462" s="4"/>
      <c r="X462" s="4">
        <v>167881.51</v>
      </c>
      <c r="Y462" s="4">
        <v>78250.710000000006</v>
      </c>
      <c r="Z462" s="4">
        <v>22117.31</v>
      </c>
      <c r="AA462" s="4">
        <v>224781.99</v>
      </c>
      <c r="AB462" s="4">
        <f t="shared" si="64"/>
        <v>1603709.39</v>
      </c>
    </row>
    <row r="463" spans="1:28" x14ac:dyDescent="0.2">
      <c r="A463" s="3">
        <v>33725</v>
      </c>
      <c r="B463" s="4">
        <v>289226.44</v>
      </c>
      <c r="C463" s="4">
        <v>54704.81</v>
      </c>
      <c r="D463" s="4">
        <v>31249.5</v>
      </c>
      <c r="E463" s="4">
        <v>56104</v>
      </c>
      <c r="F463" s="4">
        <v>39549.01</v>
      </c>
      <c r="G463" s="4">
        <v>28200.85</v>
      </c>
      <c r="H463" s="4">
        <v>8429.2000000000007</v>
      </c>
      <c r="I463" s="4">
        <v>23233.38</v>
      </c>
      <c r="J463" s="4">
        <v>0</v>
      </c>
      <c r="K463" s="4">
        <v>76831.89</v>
      </c>
      <c r="L463" s="4">
        <v>82581.100000000006</v>
      </c>
      <c r="M463" s="4"/>
      <c r="N463" s="4">
        <v>129949.66</v>
      </c>
      <c r="O463" s="4"/>
      <c r="P463" s="4">
        <v>151726.95000000001</v>
      </c>
      <c r="Q463" s="4">
        <v>21179.18</v>
      </c>
      <c r="R463" s="4"/>
      <c r="S463" s="4"/>
      <c r="T463" s="4"/>
      <c r="U463" s="4"/>
      <c r="V463" s="4">
        <v>162271.63</v>
      </c>
      <c r="W463" s="4"/>
      <c r="X463" s="4">
        <v>174089.49</v>
      </c>
      <c r="Y463" s="4">
        <v>81288.490000000005</v>
      </c>
      <c r="Z463" s="4">
        <v>23054.12</v>
      </c>
      <c r="AA463" s="4">
        <v>232658.8</v>
      </c>
      <c r="AB463" s="4">
        <f t="shared" si="64"/>
        <v>1666328.5000000002</v>
      </c>
    </row>
    <row r="464" spans="1:28" x14ac:dyDescent="0.2">
      <c r="A464" s="3">
        <v>33756</v>
      </c>
      <c r="B464" s="4">
        <v>366366.13</v>
      </c>
      <c r="C464" s="4">
        <v>63154.46</v>
      </c>
      <c r="D464" s="4">
        <v>40761.5</v>
      </c>
      <c r="E464" s="4">
        <v>86203.58</v>
      </c>
      <c r="F464" s="4">
        <v>83777.899999999994</v>
      </c>
      <c r="G464" s="4">
        <v>49907.55</v>
      </c>
      <c r="H464" s="4">
        <v>18269.490000000002</v>
      </c>
      <c r="I464" s="4">
        <v>56234.52</v>
      </c>
      <c r="J464" s="4">
        <v>0</v>
      </c>
      <c r="K464" s="4">
        <v>145992.63</v>
      </c>
      <c r="L464" s="4">
        <v>119691.17</v>
      </c>
      <c r="M464" s="4"/>
      <c r="N464" s="4">
        <v>276332.02</v>
      </c>
      <c r="O464" s="4"/>
      <c r="P464" s="4">
        <v>187889.47</v>
      </c>
      <c r="Q464" s="4">
        <v>42115.62</v>
      </c>
      <c r="R464" s="4"/>
      <c r="S464" s="4"/>
      <c r="T464" s="4"/>
      <c r="U464" s="4"/>
      <c r="V464" s="4">
        <v>170669.87</v>
      </c>
      <c r="W464" s="4"/>
      <c r="X464" s="4">
        <v>268379.15000000002</v>
      </c>
      <c r="Y464" s="4">
        <v>110911.67999999999</v>
      </c>
      <c r="Z464" s="4">
        <v>31895.53</v>
      </c>
      <c r="AA464" s="4">
        <v>270331.11</v>
      </c>
      <c r="AB464" s="4">
        <f t="shared" si="64"/>
        <v>2388883.38</v>
      </c>
    </row>
    <row r="465" spans="1:28" x14ac:dyDescent="0.2">
      <c r="A465" s="3">
        <v>33786</v>
      </c>
      <c r="B465" s="4">
        <v>246199.69</v>
      </c>
      <c r="C465" s="4">
        <v>42299.39</v>
      </c>
      <c r="D465" s="4">
        <v>23849.99</v>
      </c>
      <c r="E465" s="4">
        <v>68378.38</v>
      </c>
      <c r="F465" s="4">
        <v>29143.759999999998</v>
      </c>
      <c r="G465" s="4">
        <v>21498.5</v>
      </c>
      <c r="H465" s="4">
        <v>5853.27</v>
      </c>
      <c r="I465" s="4">
        <v>16168.83</v>
      </c>
      <c r="J465" s="4">
        <v>0</v>
      </c>
      <c r="K465" s="4">
        <v>79540.84</v>
      </c>
      <c r="L465" s="4">
        <v>75829.66</v>
      </c>
      <c r="M465" s="4"/>
      <c r="N465" s="4">
        <v>138136.03</v>
      </c>
      <c r="O465" s="4"/>
      <c r="P465" s="4">
        <v>123362.36</v>
      </c>
      <c r="Q465" s="4">
        <v>15142.13</v>
      </c>
      <c r="R465" s="4"/>
      <c r="S465" s="4"/>
      <c r="T465" s="4"/>
      <c r="U465" s="4"/>
      <c r="V465" s="4">
        <v>127984.83</v>
      </c>
      <c r="W465" s="4"/>
      <c r="X465" s="4">
        <v>142449.35999999999</v>
      </c>
      <c r="Y465" s="4">
        <v>60531.31</v>
      </c>
      <c r="Z465" s="4">
        <v>17926.12</v>
      </c>
      <c r="AA465" s="4">
        <v>261843.98</v>
      </c>
      <c r="AB465" s="4">
        <f t="shared" si="64"/>
        <v>1496138.4300000002</v>
      </c>
    </row>
    <row r="466" spans="1:28" x14ac:dyDescent="0.2">
      <c r="A466" s="3">
        <v>33817</v>
      </c>
      <c r="B466" s="4">
        <v>240300.95</v>
      </c>
      <c r="C466" s="4">
        <v>39462.06</v>
      </c>
      <c r="D466" s="4">
        <v>23249.42</v>
      </c>
      <c r="E466" s="4">
        <v>66731.929999999993</v>
      </c>
      <c r="F466" s="4">
        <v>28441.68</v>
      </c>
      <c r="G466" s="4">
        <v>20981.17</v>
      </c>
      <c r="H466" s="4">
        <v>5712.31</v>
      </c>
      <c r="I466" s="4">
        <v>15744.8</v>
      </c>
      <c r="J466" s="4">
        <v>0</v>
      </c>
      <c r="K466" s="4">
        <v>77625.02</v>
      </c>
      <c r="L466" s="4">
        <v>74021.47</v>
      </c>
      <c r="M466" s="4"/>
      <c r="N466" s="4">
        <v>134727.07</v>
      </c>
      <c r="O466" s="4"/>
      <c r="P466" s="4">
        <v>119985.71</v>
      </c>
      <c r="Q466" s="4">
        <v>14352.7</v>
      </c>
      <c r="R466" s="4"/>
      <c r="S466" s="4"/>
      <c r="T466" s="4"/>
      <c r="U466" s="4"/>
      <c r="V466" s="4">
        <v>124297.56</v>
      </c>
      <c r="W466" s="4"/>
      <c r="X466" s="4">
        <v>136656.22</v>
      </c>
      <c r="Y466" s="4">
        <v>57866.58</v>
      </c>
      <c r="Z466" s="4">
        <v>17252.490000000002</v>
      </c>
      <c r="AA466" s="4">
        <v>255537.42</v>
      </c>
      <c r="AB466" s="4">
        <f t="shared" si="64"/>
        <v>1452946.5599999998</v>
      </c>
    </row>
    <row r="467" spans="1:28" x14ac:dyDescent="0.2">
      <c r="A467" s="3">
        <v>33848</v>
      </c>
      <c r="B467" s="4">
        <v>293812.11</v>
      </c>
      <c r="C467" s="4">
        <v>55070.53</v>
      </c>
      <c r="D467" s="4">
        <v>26133.75</v>
      </c>
      <c r="E467" s="4">
        <v>58171.56</v>
      </c>
      <c r="F467" s="4">
        <v>38743.15</v>
      </c>
      <c r="G467" s="4">
        <v>31127.25</v>
      </c>
      <c r="H467" s="4">
        <v>10332.290000000001</v>
      </c>
      <c r="I467" s="4">
        <v>42209.42</v>
      </c>
      <c r="J467" s="4">
        <v>0</v>
      </c>
      <c r="K467" s="4">
        <v>81204.63</v>
      </c>
      <c r="L467" s="4">
        <v>63151.28</v>
      </c>
      <c r="M467" s="4"/>
      <c r="N467" s="4">
        <v>200020.61</v>
      </c>
      <c r="O467" s="4"/>
      <c r="P467" s="4">
        <v>148600.95999999999</v>
      </c>
      <c r="Q467" s="4">
        <v>28595.13</v>
      </c>
      <c r="R467" s="4"/>
      <c r="S467" s="4"/>
      <c r="T467" s="4"/>
      <c r="U467" s="4"/>
      <c r="V467" s="4">
        <v>152729.76</v>
      </c>
      <c r="W467" s="4"/>
      <c r="X467" s="4">
        <v>175206.15</v>
      </c>
      <c r="Y467" s="4">
        <v>77929.59</v>
      </c>
      <c r="Z467" s="4">
        <v>20099.080000000002</v>
      </c>
      <c r="AA467" s="4">
        <v>388366.86</v>
      </c>
      <c r="AB467" s="4">
        <f t="shared" si="64"/>
        <v>1891504.1099999999</v>
      </c>
    </row>
    <row r="468" spans="1:28" x14ac:dyDescent="0.2">
      <c r="A468" s="3">
        <v>33878</v>
      </c>
      <c r="B468" s="4">
        <v>238272.61</v>
      </c>
      <c r="C468" s="4">
        <v>43707.74</v>
      </c>
      <c r="D468" s="4">
        <v>26023.01</v>
      </c>
      <c r="E468" s="4">
        <v>61541.599999999999</v>
      </c>
      <c r="F468" s="4">
        <v>34649.83</v>
      </c>
      <c r="G468" s="4">
        <v>22443.58</v>
      </c>
      <c r="H468" s="4">
        <v>6797.62</v>
      </c>
      <c r="I468" s="4">
        <v>19268.62</v>
      </c>
      <c r="J468" s="4">
        <v>0</v>
      </c>
      <c r="K468" s="4">
        <v>93655.54</v>
      </c>
      <c r="L468" s="4">
        <v>77161.47</v>
      </c>
      <c r="M468" s="4"/>
      <c r="N468" s="4">
        <v>134775.20000000001</v>
      </c>
      <c r="O468" s="4"/>
      <c r="P468" s="4">
        <v>136433.37</v>
      </c>
      <c r="Q468" s="4">
        <v>17573.560000000001</v>
      </c>
      <c r="R468" s="4"/>
      <c r="S468" s="4"/>
      <c r="T468" s="4"/>
      <c r="U468" s="4"/>
      <c r="V468" s="4">
        <v>129230.92</v>
      </c>
      <c r="W468" s="4"/>
      <c r="X468" s="4">
        <v>149877.32999999999</v>
      </c>
      <c r="Y468" s="4">
        <v>66042.64</v>
      </c>
      <c r="Z468" s="4">
        <v>18418.990000000002</v>
      </c>
      <c r="AA468" s="4">
        <v>261241.37</v>
      </c>
      <c r="AB468" s="4">
        <f t="shared" si="64"/>
        <v>1537115</v>
      </c>
    </row>
    <row r="469" spans="1:28" x14ac:dyDescent="0.2">
      <c r="A469" s="3">
        <v>33909</v>
      </c>
      <c r="B469" s="4">
        <v>238376.31</v>
      </c>
      <c r="C469" s="4">
        <v>43691.14</v>
      </c>
      <c r="D469" s="4">
        <v>26034.32</v>
      </c>
      <c r="E469" s="4">
        <v>61136.18</v>
      </c>
      <c r="F469" s="4">
        <v>34431.78</v>
      </c>
      <c r="G469" s="4">
        <v>22345.47</v>
      </c>
      <c r="H469" s="4">
        <v>6800.57</v>
      </c>
      <c r="I469" s="4">
        <v>19277</v>
      </c>
      <c r="J469" s="4">
        <v>0</v>
      </c>
      <c r="K469" s="4">
        <v>93696</v>
      </c>
      <c r="L469" s="4">
        <v>77155.100000000006</v>
      </c>
      <c r="M469" s="4"/>
      <c r="N469" s="4">
        <v>134808.5</v>
      </c>
      <c r="O469" s="4"/>
      <c r="P469" s="4">
        <v>135006.82999999999</v>
      </c>
      <c r="Q469" s="4">
        <v>17581.11</v>
      </c>
      <c r="R469" s="4"/>
      <c r="S469" s="4"/>
      <c r="T469" s="4"/>
      <c r="U469" s="4"/>
      <c r="V469" s="4">
        <v>129287.1</v>
      </c>
      <c r="W469" s="4"/>
      <c r="X469" s="4">
        <v>149772.87</v>
      </c>
      <c r="Y469" s="4">
        <v>66070.559999999998</v>
      </c>
      <c r="Z469" s="4">
        <v>18427</v>
      </c>
      <c r="AA469" s="4">
        <v>261325.08</v>
      </c>
      <c r="AB469" s="4">
        <f t="shared" si="64"/>
        <v>1535222.92</v>
      </c>
    </row>
    <row r="470" spans="1:28" x14ac:dyDescent="0.2">
      <c r="A470" s="3">
        <v>33939</v>
      </c>
      <c r="B470" s="4">
        <f>405912.95+129180.66</f>
        <v>535093.61</v>
      </c>
      <c r="C470" s="4">
        <f>82423.95+24551.93</f>
        <v>106975.88</v>
      </c>
      <c r="D470" s="4">
        <f>40916.13+15962.82</f>
        <v>56878.95</v>
      </c>
      <c r="E470" s="4">
        <f>82046.16+25503.68</f>
        <v>107549.84</v>
      </c>
      <c r="F470" s="4">
        <f>50080.39+19970.14</f>
        <v>70050.53</v>
      </c>
      <c r="G470" s="4">
        <f>38254.48+12932.46</f>
        <v>51186.94</v>
      </c>
      <c r="H470" s="4">
        <f>17485.54+5053.31</f>
        <v>22538.850000000002</v>
      </c>
      <c r="I470" s="4">
        <f>17511.42+14642.85</f>
        <v>32154.269999999997</v>
      </c>
      <c r="J470" s="4">
        <v>12457.53</v>
      </c>
      <c r="K470" s="4">
        <f>108806.01+34661.12</f>
        <v>143467.13</v>
      </c>
      <c r="L470" s="4">
        <f>93807.88+36223.66</f>
        <v>130031.54000000001</v>
      </c>
      <c r="M470" s="4"/>
      <c r="N470" s="4">
        <f>217652.3+64148.07</f>
        <v>281800.37</v>
      </c>
      <c r="O470" s="4"/>
      <c r="P470" s="4">
        <f>196947.18+66817.6</f>
        <v>263764.78000000003</v>
      </c>
      <c r="Q470" s="4">
        <f>36833.53+11357.04</f>
        <v>48190.57</v>
      </c>
      <c r="R470" s="4"/>
      <c r="S470" s="4"/>
      <c r="T470" s="4"/>
      <c r="U470" s="4"/>
      <c r="V470" s="4">
        <f>222387.02+75878.51</f>
        <v>298265.52999999997</v>
      </c>
      <c r="W470" s="4"/>
      <c r="X470" s="4">
        <f>231126.44+86176.51</f>
        <v>317302.95</v>
      </c>
      <c r="Y470" s="4">
        <f>114307.01+35919.63</f>
        <v>150226.63999999998</v>
      </c>
      <c r="Z470" s="4">
        <f>29807.86+11527.55</f>
        <v>41335.410000000003</v>
      </c>
      <c r="AA470" s="4">
        <f>334520.52+107944.92</f>
        <v>442465.44</v>
      </c>
      <c r="AB470" s="4">
        <f t="shared" si="64"/>
        <v>3111736.7600000002</v>
      </c>
    </row>
    <row r="471" spans="1:28" ht="15.75" thickBot="1" x14ac:dyDescent="0.25">
      <c r="A471" s="3" t="s">
        <v>13</v>
      </c>
      <c r="B471" s="5">
        <f t="shared" ref="B471:W471" si="65">SUM(B459:B470)</f>
        <v>3754730.5199999996</v>
      </c>
      <c r="C471" s="5">
        <f t="shared" si="65"/>
        <v>696381.12000000011</v>
      </c>
      <c r="D471" s="5">
        <f t="shared" si="65"/>
        <v>409516.56</v>
      </c>
      <c r="E471" s="5">
        <f t="shared" si="65"/>
        <v>838246.84</v>
      </c>
      <c r="F471" s="5">
        <f t="shared" si="65"/>
        <v>569784.37000000011</v>
      </c>
      <c r="G471" s="5">
        <f t="shared" si="65"/>
        <v>389530.40000000008</v>
      </c>
      <c r="H471" s="5">
        <f t="shared" si="65"/>
        <v>132795.63</v>
      </c>
      <c r="I471" s="5">
        <f t="shared" si="65"/>
        <v>352413.89999999997</v>
      </c>
      <c r="J471" s="5">
        <f t="shared" si="65"/>
        <v>12457.53</v>
      </c>
      <c r="K471" s="5">
        <f t="shared" si="65"/>
        <v>1151143.8700000001</v>
      </c>
      <c r="L471" s="5">
        <f t="shared" si="65"/>
        <v>1089306.5</v>
      </c>
      <c r="M471" s="5"/>
      <c r="N471" s="5">
        <f t="shared" si="65"/>
        <v>2068117.9100000001</v>
      </c>
      <c r="O471" s="5"/>
      <c r="P471" s="5">
        <f t="shared" si="65"/>
        <v>1950439.4800000002</v>
      </c>
      <c r="Q471" s="5">
        <f t="shared" si="65"/>
        <v>318275.99</v>
      </c>
      <c r="R471" s="5"/>
      <c r="S471" s="5"/>
      <c r="T471" s="5"/>
      <c r="U471" s="5"/>
      <c r="V471" s="5">
        <f t="shared" si="65"/>
        <v>2066861.1900000002</v>
      </c>
      <c r="W471" s="5">
        <f t="shared" si="65"/>
        <v>0</v>
      </c>
      <c r="X471" s="5">
        <f>SUM(X459:X470)</f>
        <v>2394614.1599999997</v>
      </c>
      <c r="Y471" s="5">
        <f>SUM(Y459:Y470)</f>
        <v>1032215.07</v>
      </c>
      <c r="Z471" s="5">
        <f>SUM(Z459:Z470)</f>
        <v>302032.52</v>
      </c>
      <c r="AA471" s="5">
        <f>SUM(AA459:AA470)</f>
        <v>3428115</v>
      </c>
      <c r="AB471" s="5">
        <f t="shared" si="64"/>
        <v>22956978.559999999</v>
      </c>
    </row>
    <row r="472" spans="1:28" ht="15.75" thickTop="1" x14ac:dyDescent="0.2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1:28" x14ac:dyDescent="0.2">
      <c r="A473" s="3">
        <v>33239</v>
      </c>
      <c r="B473" s="4">
        <v>134181.54</v>
      </c>
      <c r="C473" s="4">
        <v>76674.03</v>
      </c>
      <c r="D473" s="4">
        <v>48756.52</v>
      </c>
      <c r="E473" s="4">
        <v>79370.460000000006</v>
      </c>
      <c r="F473" s="4">
        <v>62215.72</v>
      </c>
      <c r="G473" s="4">
        <v>38039.94</v>
      </c>
      <c r="H473" s="4">
        <v>0</v>
      </c>
      <c r="I473" s="4">
        <v>0</v>
      </c>
      <c r="J473" s="4">
        <v>0</v>
      </c>
      <c r="K473" s="4">
        <v>109092.75</v>
      </c>
      <c r="L473" s="4">
        <v>118101.05</v>
      </c>
      <c r="M473" s="4"/>
      <c r="N473" s="4">
        <v>0</v>
      </c>
      <c r="O473" s="4"/>
      <c r="P473" s="4">
        <v>227240.81</v>
      </c>
      <c r="Q473" s="4">
        <v>0</v>
      </c>
      <c r="R473" s="4"/>
      <c r="S473" s="4"/>
      <c r="T473" s="4"/>
      <c r="U473" s="4"/>
      <c r="V473" s="4">
        <v>238532.64</v>
      </c>
      <c r="W473" s="4"/>
      <c r="X473" s="4">
        <v>239071.58</v>
      </c>
      <c r="Y473" s="4">
        <v>112899.53</v>
      </c>
      <c r="Z473" s="4">
        <v>34686.69</v>
      </c>
      <c r="AA473" s="4">
        <v>301500.44</v>
      </c>
      <c r="AB473" s="4">
        <f t="shared" ref="AB473:AB485" si="66">SUM(B473:AA473)</f>
        <v>1820363.7</v>
      </c>
    </row>
    <row r="474" spans="1:28" x14ac:dyDescent="0.2">
      <c r="A474" s="3">
        <v>33270</v>
      </c>
      <c r="B474" s="4">
        <v>110713.38</v>
      </c>
      <c r="C474" s="4">
        <v>63156.23</v>
      </c>
      <c r="D474" s="4">
        <v>40190.94</v>
      </c>
      <c r="E474" s="4">
        <v>65448.73</v>
      </c>
      <c r="F474" s="4">
        <v>51222.27</v>
      </c>
      <c r="G474" s="4">
        <v>30902.17</v>
      </c>
      <c r="H474" s="4">
        <v>0</v>
      </c>
      <c r="I474" s="4">
        <v>0</v>
      </c>
      <c r="J474" s="4">
        <v>0</v>
      </c>
      <c r="K474" s="4">
        <v>89940.94</v>
      </c>
      <c r="L474" s="4">
        <v>97445.35</v>
      </c>
      <c r="M474" s="4"/>
      <c r="N474" s="4">
        <v>91534.81</v>
      </c>
      <c r="O474" s="4"/>
      <c r="P474" s="4">
        <v>187471.2</v>
      </c>
      <c r="Q474" s="4">
        <v>0</v>
      </c>
      <c r="R474" s="4"/>
      <c r="S474" s="4"/>
      <c r="T474" s="4"/>
      <c r="U474" s="4"/>
      <c r="V474" s="4">
        <v>196813.64</v>
      </c>
      <c r="W474" s="4"/>
      <c r="X474" s="4">
        <v>196973.36</v>
      </c>
      <c r="Y474" s="4">
        <v>93125.19</v>
      </c>
      <c r="Z474" s="4">
        <v>28612.76</v>
      </c>
      <c r="AA474" s="4">
        <v>248212.71</v>
      </c>
      <c r="AB474" s="4">
        <f t="shared" si="66"/>
        <v>1591763.68</v>
      </c>
    </row>
    <row r="475" spans="1:28" x14ac:dyDescent="0.2">
      <c r="A475" s="3">
        <v>33298</v>
      </c>
      <c r="B475" s="4">
        <v>614041.81000000006</v>
      </c>
      <c r="C475" s="4">
        <v>44000</v>
      </c>
      <c r="D475" s="4">
        <v>32137.74</v>
      </c>
      <c r="E475" s="4">
        <v>62034.1</v>
      </c>
      <c r="F475" s="4">
        <v>44571.01</v>
      </c>
      <c r="G475" s="4">
        <v>35518.980000000003</v>
      </c>
      <c r="H475" s="4">
        <v>0</v>
      </c>
      <c r="I475" s="4">
        <v>0</v>
      </c>
      <c r="J475" s="4">
        <v>0</v>
      </c>
      <c r="K475" s="4">
        <v>63751.97</v>
      </c>
      <c r="L475" s="4">
        <v>83234.19</v>
      </c>
      <c r="M475" s="4"/>
      <c r="N475" s="4">
        <v>238949.8</v>
      </c>
      <c r="O475" s="4"/>
      <c r="P475" s="4">
        <v>121000</v>
      </c>
      <c r="Q475" s="4">
        <v>0</v>
      </c>
      <c r="R475" s="4"/>
      <c r="S475" s="4"/>
      <c r="T475" s="4"/>
      <c r="U475" s="4"/>
      <c r="V475" s="4">
        <v>170003.92</v>
      </c>
      <c r="W475" s="4"/>
      <c r="X475" s="4">
        <v>258804.8</v>
      </c>
      <c r="Y475" s="4">
        <v>80926.570000000007</v>
      </c>
      <c r="Z475" s="4">
        <v>28194.22</v>
      </c>
      <c r="AA475" s="4">
        <v>234224.27</v>
      </c>
      <c r="AB475" s="4">
        <f t="shared" si="66"/>
        <v>2111393.38</v>
      </c>
    </row>
    <row r="476" spans="1:28" x14ac:dyDescent="0.2">
      <c r="A476" s="3">
        <v>33329</v>
      </c>
      <c r="B476" s="4">
        <v>111727.7</v>
      </c>
      <c r="C476" s="4">
        <v>29076.69</v>
      </c>
      <c r="D476" s="4">
        <v>32150.07</v>
      </c>
      <c r="E476" s="4">
        <v>55204.08</v>
      </c>
      <c r="F476" s="4">
        <v>41041.58</v>
      </c>
      <c r="G476" s="4">
        <v>28553.93</v>
      </c>
      <c r="H476" s="4">
        <v>0</v>
      </c>
      <c r="I476" s="4">
        <v>0</v>
      </c>
      <c r="J476" s="4">
        <v>0</v>
      </c>
      <c r="K476" s="4">
        <v>69981.490000000005</v>
      </c>
      <c r="L476" s="4">
        <v>83258.98</v>
      </c>
      <c r="M476" s="4"/>
      <c r="N476" s="4">
        <v>71408.59</v>
      </c>
      <c r="O476" s="4"/>
      <c r="P476" s="4">
        <v>136646.76</v>
      </c>
      <c r="Q476" s="4">
        <v>0</v>
      </c>
      <c r="R476" s="4"/>
      <c r="S476" s="4"/>
      <c r="T476" s="4"/>
      <c r="U476" s="4"/>
      <c r="V476" s="4">
        <v>161095.01</v>
      </c>
      <c r="W476" s="4"/>
      <c r="X476" s="4">
        <v>173555.68</v>
      </c>
      <c r="Y476" s="4">
        <v>82683.06</v>
      </c>
      <c r="Z476" s="4">
        <v>23292.68</v>
      </c>
      <c r="AA476" s="4">
        <v>246946.83</v>
      </c>
      <c r="AB476" s="4">
        <f t="shared" si="66"/>
        <v>1346623.1300000001</v>
      </c>
    </row>
    <row r="477" spans="1:28" x14ac:dyDescent="0.2">
      <c r="A477" s="3">
        <v>33359</v>
      </c>
      <c r="B477" s="4">
        <v>116440.12</v>
      </c>
      <c r="C477" s="4">
        <v>53761.27</v>
      </c>
      <c r="D477" s="4">
        <v>33503.35</v>
      </c>
      <c r="E477" s="4">
        <v>57479.99</v>
      </c>
      <c r="F477" s="4">
        <v>43089.46</v>
      </c>
      <c r="G477" s="4">
        <v>29758.26</v>
      </c>
      <c r="H477" s="4">
        <v>0</v>
      </c>
      <c r="I477" s="4">
        <v>0</v>
      </c>
      <c r="J477" s="4">
        <v>0</v>
      </c>
      <c r="K477" s="4">
        <v>72816.350000000006</v>
      </c>
      <c r="L477" s="4">
        <v>86770.66</v>
      </c>
      <c r="M477" s="4"/>
      <c r="N477" s="4">
        <v>74420.44</v>
      </c>
      <c r="O477" s="4"/>
      <c r="P477" s="4">
        <v>160631.01999999999</v>
      </c>
      <c r="Q477" s="4">
        <v>0</v>
      </c>
      <c r="R477" s="4"/>
      <c r="S477" s="4"/>
      <c r="T477" s="4"/>
      <c r="U477" s="4"/>
      <c r="V477" s="4">
        <v>168467.36</v>
      </c>
      <c r="W477" s="4"/>
      <c r="X477" s="4">
        <v>180715.73</v>
      </c>
      <c r="Y477" s="4">
        <v>86151.91</v>
      </c>
      <c r="Z477" s="4">
        <v>24268.38</v>
      </c>
      <c r="AA477" s="4">
        <v>257322.26</v>
      </c>
      <c r="AB477" s="4">
        <f t="shared" si="66"/>
        <v>1445596.56</v>
      </c>
    </row>
    <row r="478" spans="1:28" x14ac:dyDescent="0.2">
      <c r="A478" s="3">
        <v>33390</v>
      </c>
      <c r="B478" s="4">
        <v>507343.3</v>
      </c>
      <c r="C478" s="4">
        <v>57887.54</v>
      </c>
      <c r="D478" s="4">
        <v>32479.43</v>
      </c>
      <c r="E478" s="4">
        <v>74087.91</v>
      </c>
      <c r="F478" s="4">
        <v>40142.53</v>
      </c>
      <c r="G478" s="4">
        <v>30256</v>
      </c>
      <c r="H478" s="4">
        <v>0</v>
      </c>
      <c r="I478" s="4">
        <v>0</v>
      </c>
      <c r="J478" s="4">
        <v>0</v>
      </c>
      <c r="K478" s="4">
        <v>83994.4</v>
      </c>
      <c r="L478" s="4">
        <v>85493.37</v>
      </c>
      <c r="M478" s="4"/>
      <c r="N478" s="4">
        <v>261718.09</v>
      </c>
      <c r="O478" s="4"/>
      <c r="P478" s="4">
        <v>179076.99</v>
      </c>
      <c r="Q478" s="4">
        <v>0</v>
      </c>
      <c r="R478" s="4"/>
      <c r="S478" s="4"/>
      <c r="T478" s="4"/>
      <c r="U478" s="4"/>
      <c r="V478" s="4">
        <v>174423.94</v>
      </c>
      <c r="W478" s="4"/>
      <c r="X478" s="4">
        <v>190651.89</v>
      </c>
      <c r="Y478" s="4">
        <v>89068.03</v>
      </c>
      <c r="Z478" s="4">
        <v>25013.26</v>
      </c>
      <c r="AA478" s="4">
        <v>191667.91</v>
      </c>
      <c r="AB478" s="4">
        <f t="shared" si="66"/>
        <v>2023304.59</v>
      </c>
    </row>
    <row r="479" spans="1:28" x14ac:dyDescent="0.2">
      <c r="A479" s="3">
        <v>33420</v>
      </c>
      <c r="B479" s="4">
        <v>171572.62</v>
      </c>
      <c r="C479" s="4">
        <v>39382.129999999997</v>
      </c>
      <c r="D479" s="4">
        <v>22978.22</v>
      </c>
      <c r="E479" s="4">
        <v>61009.49</v>
      </c>
      <c r="F479" s="4">
        <v>28501.14</v>
      </c>
      <c r="G479" s="4">
        <v>20508.45</v>
      </c>
      <c r="H479" s="4">
        <v>0</v>
      </c>
      <c r="I479" s="4">
        <v>0</v>
      </c>
      <c r="J479" s="4">
        <v>0</v>
      </c>
      <c r="K479" s="4">
        <v>72583.460000000006</v>
      </c>
      <c r="L479" s="4">
        <v>83375.03</v>
      </c>
      <c r="M479" s="4"/>
      <c r="N479" s="4">
        <v>74139.199999999997</v>
      </c>
      <c r="O479" s="4"/>
      <c r="P479" s="4">
        <v>126476.98</v>
      </c>
      <c r="Q479" s="4">
        <v>0</v>
      </c>
      <c r="R479" s="4"/>
      <c r="S479" s="4"/>
      <c r="T479" s="4"/>
      <c r="U479" s="4"/>
      <c r="V479" s="4">
        <v>118326.04</v>
      </c>
      <c r="W479" s="4"/>
      <c r="X479" s="4">
        <v>128660.52</v>
      </c>
      <c r="Y479" s="4">
        <v>58067.81</v>
      </c>
      <c r="Z479" s="4">
        <v>17199.23</v>
      </c>
      <c r="AA479" s="4">
        <v>275324.33</v>
      </c>
      <c r="AB479" s="4">
        <f t="shared" si="66"/>
        <v>1298104.6500000001</v>
      </c>
    </row>
    <row r="480" spans="1:28" x14ac:dyDescent="0.2">
      <c r="A480" s="3">
        <v>33451</v>
      </c>
      <c r="B480" s="4">
        <v>170428.32</v>
      </c>
      <c r="C480" s="4">
        <v>39119.46</v>
      </c>
      <c r="D480" s="4">
        <v>22824.97</v>
      </c>
      <c r="E480" s="4">
        <v>60602.59</v>
      </c>
      <c r="F480" s="4">
        <v>28311.05</v>
      </c>
      <c r="G480" s="4">
        <v>20371.669999999998</v>
      </c>
      <c r="H480" s="4">
        <v>0</v>
      </c>
      <c r="I480" s="4">
        <v>0</v>
      </c>
      <c r="J480" s="4">
        <v>0</v>
      </c>
      <c r="K480" s="4">
        <v>72099.37</v>
      </c>
      <c r="L480" s="4">
        <v>82818.97</v>
      </c>
      <c r="M480" s="4"/>
      <c r="N480" s="4">
        <v>73644.740000000005</v>
      </c>
      <c r="O480" s="4"/>
      <c r="P480" s="4">
        <v>117779.71</v>
      </c>
      <c r="Q480" s="4">
        <v>0</v>
      </c>
      <c r="R480" s="4"/>
      <c r="S480" s="4"/>
      <c r="T480" s="4"/>
      <c r="U480" s="4"/>
      <c r="V480" s="4">
        <v>117536.87</v>
      </c>
      <c r="W480" s="4"/>
      <c r="X480" s="4">
        <v>129190.04</v>
      </c>
      <c r="Y480" s="4">
        <v>57505.39</v>
      </c>
      <c r="Z480" s="4">
        <v>17084.52</v>
      </c>
      <c r="AA480" s="4">
        <v>273488.08</v>
      </c>
      <c r="AB480" s="4">
        <f t="shared" si="66"/>
        <v>1282805.75</v>
      </c>
    </row>
    <row r="481" spans="1:28" x14ac:dyDescent="0.2">
      <c r="A481" s="3">
        <v>33482</v>
      </c>
      <c r="B481" s="4">
        <v>512556.46</v>
      </c>
      <c r="C481" s="4">
        <v>46124.02</v>
      </c>
      <c r="D481" s="4">
        <v>26264.04</v>
      </c>
      <c r="E481" s="4">
        <v>61308.44</v>
      </c>
      <c r="F481" s="4">
        <v>32734.78</v>
      </c>
      <c r="G481" s="4">
        <v>26455.759999999998</v>
      </c>
      <c r="H481" s="4">
        <v>0</v>
      </c>
      <c r="I481" s="4">
        <v>0</v>
      </c>
      <c r="J481" s="4">
        <v>0</v>
      </c>
      <c r="K481" s="4">
        <v>71633.69</v>
      </c>
      <c r="L481" s="4">
        <v>50000</v>
      </c>
      <c r="M481" s="4"/>
      <c r="N481" s="4">
        <v>276315.77</v>
      </c>
      <c r="O481" s="4"/>
      <c r="P481" s="4">
        <v>108740.89</v>
      </c>
      <c r="Q481" s="4">
        <v>0</v>
      </c>
      <c r="R481" s="4"/>
      <c r="S481" s="4"/>
      <c r="T481" s="4"/>
      <c r="U481" s="4"/>
      <c r="V481" s="4">
        <v>123614.01</v>
      </c>
      <c r="W481" s="4"/>
      <c r="X481" s="4">
        <v>138297.21</v>
      </c>
      <c r="Y481" s="4">
        <v>66468.87</v>
      </c>
      <c r="Z481" s="4">
        <v>20819.169999999998</v>
      </c>
      <c r="AA481" s="4">
        <v>323469.65999999997</v>
      </c>
      <c r="AB481" s="4">
        <f t="shared" si="66"/>
        <v>1884802.7699999998</v>
      </c>
    </row>
    <row r="482" spans="1:28" x14ac:dyDescent="0.2">
      <c r="A482" s="3">
        <v>33512</v>
      </c>
      <c r="B482" s="4">
        <v>194294.31</v>
      </c>
      <c r="C482" s="4">
        <v>40999.67</v>
      </c>
      <c r="D482" s="4">
        <v>24290.13</v>
      </c>
      <c r="E482" s="4">
        <v>54898.9</v>
      </c>
      <c r="F482" s="4">
        <v>29813.1</v>
      </c>
      <c r="G482" s="4">
        <v>19215.759999999998</v>
      </c>
      <c r="H482" s="4">
        <v>7980.83</v>
      </c>
      <c r="I482" s="4">
        <v>26851.24</v>
      </c>
      <c r="J482" s="4">
        <v>0</v>
      </c>
      <c r="K482" s="4">
        <v>84097.19</v>
      </c>
      <c r="L482" s="4">
        <v>63084.99</v>
      </c>
      <c r="M482" s="4"/>
      <c r="N482" s="4">
        <v>102217.88</v>
      </c>
      <c r="O482" s="4"/>
      <c r="P482" s="4">
        <v>128315.45</v>
      </c>
      <c r="Q482" s="4">
        <v>19970.43</v>
      </c>
      <c r="R482" s="4"/>
      <c r="S482" s="4"/>
      <c r="T482" s="4"/>
      <c r="U482" s="4"/>
      <c r="V482" s="4">
        <v>128448.88</v>
      </c>
      <c r="W482" s="4"/>
      <c r="X482" s="4">
        <v>132036.54</v>
      </c>
      <c r="Y482" s="4">
        <v>62350.43</v>
      </c>
      <c r="Z482" s="4">
        <v>17556.080000000002</v>
      </c>
      <c r="AA482" s="4">
        <v>238713.11</v>
      </c>
      <c r="AB482" s="4">
        <f t="shared" si="66"/>
        <v>1375134.92</v>
      </c>
    </row>
    <row r="483" spans="1:28" x14ac:dyDescent="0.2">
      <c r="A483" s="3">
        <v>33543</v>
      </c>
      <c r="B483" s="4">
        <v>196016.34</v>
      </c>
      <c r="C483" s="4">
        <v>41362.910000000003</v>
      </c>
      <c r="D483" s="4">
        <v>24505.35</v>
      </c>
      <c r="E483" s="4">
        <v>55375.26</v>
      </c>
      <c r="F483" s="4">
        <v>30077.360000000001</v>
      </c>
      <c r="G483" s="4">
        <v>19386.13</v>
      </c>
      <c r="H483" s="4">
        <v>8051.51</v>
      </c>
      <c r="I483" s="4">
        <v>27089.17</v>
      </c>
      <c r="J483" s="4">
        <v>0</v>
      </c>
      <c r="K483" s="4">
        <v>84943.26</v>
      </c>
      <c r="L483" s="4">
        <v>71680.570000000007</v>
      </c>
      <c r="M483" s="4"/>
      <c r="N483" s="4">
        <v>103124.38</v>
      </c>
      <c r="O483" s="4"/>
      <c r="P483" s="4">
        <v>129061.75999999999</v>
      </c>
      <c r="Q483" s="4">
        <v>20147.43</v>
      </c>
      <c r="R483" s="4"/>
      <c r="S483" s="4"/>
      <c r="T483" s="4"/>
      <c r="U483" s="4"/>
      <c r="V483" s="4">
        <v>129586.87</v>
      </c>
      <c r="W483" s="4"/>
      <c r="X483" s="4">
        <v>132539.63</v>
      </c>
      <c r="Y483" s="4">
        <v>62902.91</v>
      </c>
      <c r="Z483" s="4">
        <v>17711.63</v>
      </c>
      <c r="AA483" s="4">
        <v>240826.94</v>
      </c>
      <c r="AB483" s="4">
        <f t="shared" si="66"/>
        <v>1394389.41</v>
      </c>
    </row>
    <row r="484" spans="1:28" x14ac:dyDescent="0.2">
      <c r="A484" s="3">
        <v>33573</v>
      </c>
      <c r="B484" s="4">
        <v>495659.94</v>
      </c>
      <c r="C484" s="4">
        <v>51748.95</v>
      </c>
      <c r="D484" s="4">
        <v>28490.44</v>
      </c>
      <c r="E484" s="4">
        <v>58202.79</v>
      </c>
      <c r="F484" s="4">
        <v>35446.730000000003</v>
      </c>
      <c r="G484" s="4">
        <v>23787.42</v>
      </c>
      <c r="H484" s="4">
        <v>8000</v>
      </c>
      <c r="I484" s="4">
        <v>27000</v>
      </c>
      <c r="J484" s="4">
        <v>0</v>
      </c>
      <c r="K484" s="4">
        <v>142971.73000000001</v>
      </c>
      <c r="L484" s="4">
        <v>92366.99</v>
      </c>
      <c r="M484" s="4"/>
      <c r="N484" s="4">
        <v>115666.16</v>
      </c>
      <c r="O484" s="4"/>
      <c r="P484" s="4">
        <v>137932.66</v>
      </c>
      <c r="Q484" s="4">
        <v>20000</v>
      </c>
      <c r="R484" s="4"/>
      <c r="S484" s="4"/>
      <c r="T484" s="4"/>
      <c r="U484" s="4"/>
      <c r="V484" s="4">
        <v>125999.19</v>
      </c>
      <c r="W484" s="4"/>
      <c r="X484" s="4">
        <v>146512.13</v>
      </c>
      <c r="Y484" s="4">
        <v>73089.05</v>
      </c>
      <c r="Z484" s="4">
        <v>21914.59</v>
      </c>
      <c r="AA484" s="4">
        <v>281354.06</v>
      </c>
      <c r="AB484" s="4">
        <f t="shared" si="66"/>
        <v>1886142.83</v>
      </c>
    </row>
    <row r="485" spans="1:28" ht="15.75" thickBot="1" x14ac:dyDescent="0.25">
      <c r="A485" s="3" t="s">
        <v>14</v>
      </c>
      <c r="B485" s="5">
        <f t="shared" ref="B485:W485" si="67">SUM(B473:B484)</f>
        <v>3334975.8400000003</v>
      </c>
      <c r="C485" s="5">
        <f t="shared" si="67"/>
        <v>583292.9</v>
      </c>
      <c r="D485" s="5">
        <f t="shared" si="67"/>
        <v>368571.19999999995</v>
      </c>
      <c r="E485" s="5">
        <f t="shared" si="67"/>
        <v>745022.74000000011</v>
      </c>
      <c r="F485" s="5">
        <f t="shared" si="67"/>
        <v>467166.73</v>
      </c>
      <c r="G485" s="5">
        <f t="shared" si="67"/>
        <v>322754.47000000003</v>
      </c>
      <c r="H485" s="5">
        <f t="shared" si="67"/>
        <v>24032.34</v>
      </c>
      <c r="I485" s="5">
        <f t="shared" si="67"/>
        <v>80940.41</v>
      </c>
      <c r="J485" s="5">
        <f t="shared" si="67"/>
        <v>0</v>
      </c>
      <c r="K485" s="5">
        <f t="shared" si="67"/>
        <v>1017906.5999999999</v>
      </c>
      <c r="L485" s="5">
        <f t="shared" si="67"/>
        <v>997630.14999999991</v>
      </c>
      <c r="M485" s="5"/>
      <c r="N485" s="5">
        <f t="shared" si="67"/>
        <v>1483139.8599999996</v>
      </c>
      <c r="O485" s="5"/>
      <c r="P485" s="5">
        <f t="shared" si="67"/>
        <v>1760374.2299999997</v>
      </c>
      <c r="Q485" s="5">
        <f t="shared" si="67"/>
        <v>60117.86</v>
      </c>
      <c r="R485" s="5"/>
      <c r="S485" s="5"/>
      <c r="T485" s="5"/>
      <c r="U485" s="5"/>
      <c r="V485" s="5">
        <f t="shared" si="67"/>
        <v>1852848.37</v>
      </c>
      <c r="W485" s="5">
        <f t="shared" si="67"/>
        <v>0</v>
      </c>
      <c r="X485" s="5">
        <f>SUM(X473:X484)</f>
        <v>2047009.1099999999</v>
      </c>
      <c r="Y485" s="5">
        <f>SUM(Y473:Y484)</f>
        <v>925238.75000000023</v>
      </c>
      <c r="Z485" s="5">
        <f>SUM(Z473:Z484)</f>
        <v>276353.21000000008</v>
      </c>
      <c r="AA485" s="5">
        <f>SUM(AA473:AA484)</f>
        <v>3113050.6</v>
      </c>
      <c r="AB485" s="5">
        <f t="shared" si="66"/>
        <v>19460425.370000001</v>
      </c>
    </row>
    <row r="486" spans="1:28" ht="15.75" thickTop="1" x14ac:dyDescent="0.2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1:28" x14ac:dyDescent="0.2">
      <c r="A487" s="3">
        <v>32874</v>
      </c>
      <c r="B487" s="4">
        <v>0</v>
      </c>
      <c r="C487" s="4">
        <v>73611.87</v>
      </c>
      <c r="D487" s="4">
        <v>47576.5</v>
      </c>
      <c r="E487" s="4">
        <v>71388.7</v>
      </c>
      <c r="F487" s="4">
        <v>56619.98</v>
      </c>
      <c r="G487" s="4">
        <v>35068.080000000002</v>
      </c>
      <c r="H487" s="4">
        <v>0</v>
      </c>
      <c r="I487" s="4">
        <v>0</v>
      </c>
      <c r="J487" s="4">
        <v>0</v>
      </c>
      <c r="K487" s="4">
        <v>95364.7</v>
      </c>
      <c r="L487" s="4">
        <v>107339.33</v>
      </c>
      <c r="M487" s="4"/>
      <c r="N487" s="4">
        <v>0</v>
      </c>
      <c r="O487" s="4"/>
      <c r="P487" s="4">
        <v>219994.78</v>
      </c>
      <c r="Q487" s="4">
        <v>0</v>
      </c>
      <c r="R487" s="4"/>
      <c r="S487" s="4"/>
      <c r="T487" s="4"/>
      <c r="U487" s="4"/>
      <c r="V487" s="4">
        <v>245901.71</v>
      </c>
      <c r="W487" s="4"/>
      <c r="X487" s="4">
        <v>238164.86</v>
      </c>
      <c r="Y487" s="4">
        <v>109215.06</v>
      </c>
      <c r="Z487" s="4">
        <v>33052.33</v>
      </c>
      <c r="AA487" s="4">
        <v>254449.15</v>
      </c>
      <c r="AB487" s="4">
        <f t="shared" ref="AB487:AB499" si="68">SUM(B487:AA487)</f>
        <v>1587747.05</v>
      </c>
    </row>
    <row r="488" spans="1:28" x14ac:dyDescent="0.2">
      <c r="A488" s="3">
        <v>32905</v>
      </c>
      <c r="B488" s="4">
        <v>0</v>
      </c>
      <c r="C488" s="4">
        <v>59043.45</v>
      </c>
      <c r="D488" s="4">
        <v>38160.699999999997</v>
      </c>
      <c r="E488" s="4">
        <v>59715.43</v>
      </c>
      <c r="F488" s="4">
        <v>45414.39</v>
      </c>
      <c r="G488" s="4">
        <v>28103.65</v>
      </c>
      <c r="H488" s="4">
        <v>0</v>
      </c>
      <c r="I488" s="4">
        <v>0</v>
      </c>
      <c r="J488" s="4">
        <v>0</v>
      </c>
      <c r="K488" s="4">
        <v>76524.25</v>
      </c>
      <c r="L488" s="4">
        <v>86095.94</v>
      </c>
      <c r="M488" s="4"/>
      <c r="N488" s="4">
        <v>0</v>
      </c>
      <c r="O488" s="4"/>
      <c r="P488" s="4">
        <v>176455.67</v>
      </c>
      <c r="Q488" s="4">
        <v>0</v>
      </c>
      <c r="R488" s="4"/>
      <c r="S488" s="4"/>
      <c r="T488" s="4"/>
      <c r="U488" s="4"/>
      <c r="V488" s="4">
        <v>197158.04</v>
      </c>
      <c r="W488" s="4"/>
      <c r="X488" s="4">
        <v>190161.02</v>
      </c>
      <c r="Y488" s="4">
        <v>87540.74</v>
      </c>
      <c r="Z488" s="4">
        <v>26510.99</v>
      </c>
      <c r="AA488" s="4">
        <v>248046.26</v>
      </c>
      <c r="AB488" s="4">
        <f t="shared" si="68"/>
        <v>1318930.53</v>
      </c>
    </row>
    <row r="489" spans="1:28" x14ac:dyDescent="0.2">
      <c r="A489" s="3">
        <v>32933</v>
      </c>
      <c r="B489" s="4">
        <v>0</v>
      </c>
      <c r="C489" s="4">
        <v>87152.87</v>
      </c>
      <c r="D489" s="4">
        <v>40041.81</v>
      </c>
      <c r="E489" s="4">
        <v>76506.679999999993</v>
      </c>
      <c r="F489" s="4">
        <v>60681.19</v>
      </c>
      <c r="G489" s="4">
        <v>33296.870000000003</v>
      </c>
      <c r="H489" s="4">
        <v>0</v>
      </c>
      <c r="I489" s="4">
        <v>0</v>
      </c>
      <c r="J489" s="4">
        <v>0</v>
      </c>
      <c r="K489" s="4">
        <v>95524.14</v>
      </c>
      <c r="L489" s="4">
        <v>120072.01</v>
      </c>
      <c r="M489" s="4"/>
      <c r="N489" s="4">
        <v>0</v>
      </c>
      <c r="O489" s="4"/>
      <c r="P489" s="4">
        <v>259433.76</v>
      </c>
      <c r="Q489" s="4">
        <v>0</v>
      </c>
      <c r="R489" s="4"/>
      <c r="S489" s="4"/>
      <c r="T489" s="4"/>
      <c r="U489" s="4"/>
      <c r="V489" s="4">
        <v>326930.21999999997</v>
      </c>
      <c r="W489" s="4"/>
      <c r="X489" s="4">
        <v>171963.65</v>
      </c>
      <c r="Y489" s="4">
        <v>106662.14</v>
      </c>
      <c r="Z489" s="4">
        <v>30338.3</v>
      </c>
      <c r="AA489" s="4">
        <v>230317.81</v>
      </c>
      <c r="AB489" s="4">
        <f t="shared" si="68"/>
        <v>1638921.45</v>
      </c>
    </row>
    <row r="490" spans="1:28" x14ac:dyDescent="0.2">
      <c r="A490" s="3">
        <v>32964</v>
      </c>
      <c r="B490" s="4">
        <v>0</v>
      </c>
      <c r="C490" s="4">
        <v>56546.559999999998</v>
      </c>
      <c r="D490" s="4">
        <v>36798.959999999999</v>
      </c>
      <c r="E490" s="4">
        <v>61560.87</v>
      </c>
      <c r="F490" s="4">
        <v>43594.06</v>
      </c>
      <c r="G490" s="4">
        <v>30700.91</v>
      </c>
      <c r="H490" s="4">
        <v>0</v>
      </c>
      <c r="I490" s="4">
        <v>0</v>
      </c>
      <c r="J490" s="4">
        <v>0</v>
      </c>
      <c r="K490" s="4">
        <v>95193.52</v>
      </c>
      <c r="L490" s="4">
        <v>87875.85</v>
      </c>
      <c r="M490" s="4"/>
      <c r="N490" s="4">
        <v>0</v>
      </c>
      <c r="O490" s="4"/>
      <c r="P490" s="4">
        <v>174088.16</v>
      </c>
      <c r="Q490" s="4">
        <v>0</v>
      </c>
      <c r="R490" s="4"/>
      <c r="S490" s="4"/>
      <c r="T490" s="4"/>
      <c r="U490" s="4"/>
      <c r="V490" s="4">
        <v>156711.39000000001</v>
      </c>
      <c r="W490" s="4"/>
      <c r="X490" s="4">
        <v>193539.07</v>
      </c>
      <c r="Y490" s="4">
        <v>96345.29</v>
      </c>
      <c r="Z490" s="4">
        <v>26761.34</v>
      </c>
      <c r="AA490" s="4">
        <v>253489.87</v>
      </c>
      <c r="AB490" s="4">
        <f t="shared" si="68"/>
        <v>1313205.8500000001</v>
      </c>
    </row>
    <row r="491" spans="1:28" x14ac:dyDescent="0.2">
      <c r="A491" s="3">
        <v>32994</v>
      </c>
      <c r="B491" s="4">
        <v>0</v>
      </c>
      <c r="C491" s="4">
        <v>53934.17</v>
      </c>
      <c r="D491" s="4">
        <v>34798.559999999998</v>
      </c>
      <c r="E491" s="4">
        <v>59234.55</v>
      </c>
      <c r="F491" s="4">
        <v>41397.47</v>
      </c>
      <c r="G491" s="4">
        <v>28999.360000000001</v>
      </c>
      <c r="H491" s="4">
        <v>0</v>
      </c>
      <c r="I491" s="4">
        <v>0</v>
      </c>
      <c r="J491" s="4">
        <v>0</v>
      </c>
      <c r="K491" s="4">
        <v>91794.89</v>
      </c>
      <c r="L491" s="4">
        <v>84757.19</v>
      </c>
      <c r="M491" s="4"/>
      <c r="N491" s="4">
        <v>0</v>
      </c>
      <c r="O491" s="4"/>
      <c r="P491" s="4">
        <v>166504.46</v>
      </c>
      <c r="Q491" s="4">
        <v>0</v>
      </c>
      <c r="R491" s="4"/>
      <c r="S491" s="4"/>
      <c r="T491" s="4"/>
      <c r="U491" s="4"/>
      <c r="V491" s="4">
        <v>147667.73000000001</v>
      </c>
      <c r="W491" s="4"/>
      <c r="X491" s="4">
        <v>182860.98</v>
      </c>
      <c r="Y491" s="4">
        <v>90741.32</v>
      </c>
      <c r="Z491" s="4">
        <v>25322.55</v>
      </c>
      <c r="AA491" s="4">
        <v>244471.79</v>
      </c>
      <c r="AB491" s="4">
        <f t="shared" si="68"/>
        <v>1252485.02</v>
      </c>
    </row>
    <row r="492" spans="1:28" x14ac:dyDescent="0.2">
      <c r="A492" s="3">
        <v>33025</v>
      </c>
      <c r="B492" s="4">
        <v>0</v>
      </c>
      <c r="C492" s="4">
        <v>58658.61</v>
      </c>
      <c r="D492" s="4">
        <v>25392.01</v>
      </c>
      <c r="E492" s="4">
        <v>70381.56</v>
      </c>
      <c r="F492" s="4">
        <v>39499.360000000001</v>
      </c>
      <c r="G492" s="4">
        <v>28552.89</v>
      </c>
      <c r="H492" s="4">
        <v>0</v>
      </c>
      <c r="I492" s="4">
        <v>0</v>
      </c>
      <c r="J492" s="4">
        <v>0</v>
      </c>
      <c r="K492" s="4">
        <v>59000</v>
      </c>
      <c r="L492" s="4">
        <v>80454.12</v>
      </c>
      <c r="M492" s="4"/>
      <c r="N492" s="4">
        <v>0</v>
      </c>
      <c r="O492" s="4"/>
      <c r="P492" s="4">
        <v>144852.98000000001</v>
      </c>
      <c r="Q492" s="4">
        <v>0</v>
      </c>
      <c r="R492" s="4"/>
      <c r="S492" s="4"/>
      <c r="T492" s="4"/>
      <c r="U492" s="4"/>
      <c r="V492" s="4">
        <v>179170.7</v>
      </c>
      <c r="W492" s="4"/>
      <c r="X492" s="4">
        <v>147588.5</v>
      </c>
      <c r="Y492" s="4">
        <v>65084.72</v>
      </c>
      <c r="Z492" s="4">
        <v>17875.98</v>
      </c>
      <c r="AA492" s="4">
        <v>253384.75</v>
      </c>
      <c r="AB492" s="4">
        <f t="shared" si="68"/>
        <v>1169896.18</v>
      </c>
    </row>
    <row r="493" spans="1:28" x14ac:dyDescent="0.2">
      <c r="A493" s="3">
        <v>33055</v>
      </c>
      <c r="B493" s="4">
        <v>0</v>
      </c>
      <c r="C493" s="4">
        <v>40032.5</v>
      </c>
      <c r="D493" s="4">
        <v>22646.6</v>
      </c>
      <c r="E493" s="4">
        <v>59278.68</v>
      </c>
      <c r="F493" s="4">
        <v>24867.14</v>
      </c>
      <c r="G493" s="4">
        <v>17943.43</v>
      </c>
      <c r="H493" s="4">
        <v>0</v>
      </c>
      <c r="I493" s="4">
        <v>0</v>
      </c>
      <c r="J493" s="4">
        <v>0</v>
      </c>
      <c r="K493" s="4">
        <v>30342.76</v>
      </c>
      <c r="L493" s="4">
        <v>70222.63</v>
      </c>
      <c r="M493" s="4"/>
      <c r="N493" s="4">
        <v>0</v>
      </c>
      <c r="O493" s="4"/>
      <c r="P493" s="4">
        <v>116222.61</v>
      </c>
      <c r="Q493" s="4">
        <v>0</v>
      </c>
      <c r="R493" s="4"/>
      <c r="S493" s="4"/>
      <c r="T493" s="4"/>
      <c r="U493" s="4"/>
      <c r="V493" s="4">
        <v>127999.96</v>
      </c>
      <c r="W493" s="4"/>
      <c r="X493" s="4">
        <v>137224.76</v>
      </c>
      <c r="Y493" s="4">
        <v>58771.34</v>
      </c>
      <c r="Z493" s="4">
        <v>16624.599999999999</v>
      </c>
      <c r="AA493" s="4">
        <v>290827.87</v>
      </c>
      <c r="AB493" s="4">
        <f t="shared" si="68"/>
        <v>1013004.88</v>
      </c>
    </row>
    <row r="494" spans="1:28" x14ac:dyDescent="0.2">
      <c r="A494" s="3">
        <v>33086</v>
      </c>
      <c r="B494" s="4">
        <v>0</v>
      </c>
      <c r="C494" s="4">
        <v>40742.69</v>
      </c>
      <c r="D494" s="4">
        <v>23048.35</v>
      </c>
      <c r="E494" s="4">
        <v>60337.91</v>
      </c>
      <c r="F494" s="4">
        <v>25308.28</v>
      </c>
      <c r="G494" s="4">
        <v>18914.3</v>
      </c>
      <c r="H494" s="4">
        <v>0</v>
      </c>
      <c r="I494" s="4">
        <v>0</v>
      </c>
      <c r="J494" s="4">
        <v>0</v>
      </c>
      <c r="K494" s="4">
        <v>74045.37</v>
      </c>
      <c r="L494" s="4">
        <v>71468.399999999994</v>
      </c>
      <c r="M494" s="4"/>
      <c r="N494" s="4">
        <v>0</v>
      </c>
      <c r="O494" s="4"/>
      <c r="P494" s="4">
        <v>118289.86</v>
      </c>
      <c r="Q494" s="4">
        <v>0</v>
      </c>
      <c r="R494" s="4"/>
      <c r="S494" s="4"/>
      <c r="T494" s="4"/>
      <c r="U494" s="4"/>
      <c r="V494" s="4">
        <v>130271.72</v>
      </c>
      <c r="W494" s="4"/>
      <c r="X494" s="4">
        <v>139659.16</v>
      </c>
      <c r="Y494" s="4">
        <v>59884.83</v>
      </c>
      <c r="Z494" s="4">
        <v>16919.52</v>
      </c>
      <c r="AA494" s="4">
        <v>296031.44</v>
      </c>
      <c r="AB494" s="4">
        <f t="shared" si="68"/>
        <v>1074921.83</v>
      </c>
    </row>
    <row r="495" spans="1:28" x14ac:dyDescent="0.2">
      <c r="A495" s="3">
        <v>33117</v>
      </c>
      <c r="B495" s="4">
        <v>0</v>
      </c>
      <c r="C495" s="4">
        <v>32737.279999999999</v>
      </c>
      <c r="D495" s="4">
        <v>21746.19</v>
      </c>
      <c r="E495" s="4">
        <v>58534.64</v>
      </c>
      <c r="F495" s="4">
        <v>42017.66</v>
      </c>
      <c r="G495" s="4">
        <v>24824.17</v>
      </c>
      <c r="H495" s="4">
        <v>0</v>
      </c>
      <c r="I495" s="4">
        <v>0</v>
      </c>
      <c r="J495" s="4">
        <v>0</v>
      </c>
      <c r="K495" s="4">
        <v>53590.71</v>
      </c>
      <c r="L495" s="4">
        <v>90640.48</v>
      </c>
      <c r="M495" s="4"/>
      <c r="N495" s="4">
        <v>0</v>
      </c>
      <c r="O495" s="4"/>
      <c r="P495" s="4">
        <v>115377.26</v>
      </c>
      <c r="Q495" s="4">
        <v>0</v>
      </c>
      <c r="R495" s="4"/>
      <c r="S495" s="4"/>
      <c r="T495" s="4"/>
      <c r="U495" s="4"/>
      <c r="V495" s="4">
        <v>75000</v>
      </c>
      <c r="W495" s="4"/>
      <c r="X495" s="4">
        <v>87174.96</v>
      </c>
      <c r="Y495" s="4">
        <v>51301.45</v>
      </c>
      <c r="Z495" s="4">
        <v>17165.759999999998</v>
      </c>
      <c r="AA495" s="4">
        <v>217165.94</v>
      </c>
      <c r="AB495" s="4">
        <f t="shared" si="68"/>
        <v>887276.5</v>
      </c>
    </row>
    <row r="496" spans="1:28" x14ac:dyDescent="0.2">
      <c r="A496" s="3">
        <v>33147</v>
      </c>
      <c r="B496" s="4">
        <v>124991.39</v>
      </c>
      <c r="C496" s="4">
        <v>46957.7</v>
      </c>
      <c r="D496" s="4">
        <v>25439.97</v>
      </c>
      <c r="E496" s="4">
        <v>57807.74</v>
      </c>
      <c r="F496" s="4">
        <v>29897</v>
      </c>
      <c r="G496" s="4">
        <v>21900.54</v>
      </c>
      <c r="H496" s="4">
        <v>0</v>
      </c>
      <c r="I496" s="4">
        <v>0</v>
      </c>
      <c r="J496" s="4">
        <v>0</v>
      </c>
      <c r="K496" s="4">
        <v>87544.17</v>
      </c>
      <c r="L496" s="4">
        <v>72985.5</v>
      </c>
      <c r="M496" s="4"/>
      <c r="N496" s="4">
        <v>111103.48</v>
      </c>
      <c r="O496" s="4"/>
      <c r="P496" s="4">
        <v>138358.24</v>
      </c>
      <c r="Q496" s="4">
        <v>0</v>
      </c>
      <c r="R496" s="4"/>
      <c r="S496" s="4"/>
      <c r="T496" s="4"/>
      <c r="U496" s="4"/>
      <c r="V496" s="4">
        <v>136563.92000000001</v>
      </c>
      <c r="W496" s="4"/>
      <c r="X496" s="4">
        <v>141402.67000000001</v>
      </c>
      <c r="Y496" s="4">
        <v>67629.06</v>
      </c>
      <c r="Z496" s="4">
        <v>18506.22</v>
      </c>
      <c r="AA496" s="4">
        <v>260550.67</v>
      </c>
      <c r="AB496" s="4">
        <f t="shared" si="68"/>
        <v>1341638.27</v>
      </c>
    </row>
    <row r="497" spans="1:28" x14ac:dyDescent="0.2">
      <c r="A497" s="3">
        <v>33178</v>
      </c>
      <c r="B497" s="4">
        <v>126625.08</v>
      </c>
      <c r="C497" s="4">
        <v>47482.69</v>
      </c>
      <c r="D497" s="4">
        <v>25749.56</v>
      </c>
      <c r="E497" s="4">
        <v>58245.63</v>
      </c>
      <c r="F497" s="4">
        <v>30279.55</v>
      </c>
      <c r="G497" s="4">
        <v>22186.25</v>
      </c>
      <c r="H497" s="4">
        <v>0</v>
      </c>
      <c r="I497" s="4">
        <v>0</v>
      </c>
      <c r="J497" s="4">
        <v>0</v>
      </c>
      <c r="K497" s="4">
        <v>88355.03</v>
      </c>
      <c r="L497" s="4">
        <v>73939.44</v>
      </c>
      <c r="M497" s="4"/>
      <c r="N497" s="4">
        <v>112555.66</v>
      </c>
      <c r="O497" s="4"/>
      <c r="P497" s="4">
        <v>139690.88</v>
      </c>
      <c r="Q497" s="4">
        <v>0</v>
      </c>
      <c r="R497" s="4"/>
      <c r="S497" s="4"/>
      <c r="T497" s="4"/>
      <c r="U497" s="4"/>
      <c r="V497" s="4">
        <v>138011.32</v>
      </c>
      <c r="W497" s="4"/>
      <c r="X497" s="4">
        <v>142832.66</v>
      </c>
      <c r="Y497" s="4">
        <v>68442.850000000006</v>
      </c>
      <c r="Z497" s="4">
        <v>18732.8</v>
      </c>
      <c r="AA497" s="4">
        <v>263454.61</v>
      </c>
      <c r="AB497" s="4">
        <f t="shared" si="68"/>
        <v>1356584.0100000002</v>
      </c>
    </row>
    <row r="498" spans="1:28" x14ac:dyDescent="0.2">
      <c r="A498" s="3">
        <v>33208</v>
      </c>
      <c r="B498" s="4">
        <v>364232.91</v>
      </c>
      <c r="C498" s="4">
        <v>39453.96</v>
      </c>
      <c r="D498" s="4">
        <v>27555</v>
      </c>
      <c r="E498" s="4">
        <v>59798.81</v>
      </c>
      <c r="F498" s="4">
        <v>37425.69</v>
      </c>
      <c r="G498" s="4">
        <v>17925.37</v>
      </c>
      <c r="H498" s="4">
        <v>0</v>
      </c>
      <c r="I498" s="4">
        <v>0</v>
      </c>
      <c r="J498" s="4">
        <v>0</v>
      </c>
      <c r="K498" s="4">
        <v>100048.41</v>
      </c>
      <c r="L498" s="4">
        <v>81029.97</v>
      </c>
      <c r="M498" s="4"/>
      <c r="N498" s="4">
        <v>232000</v>
      </c>
      <c r="O498" s="4"/>
      <c r="P498" s="4">
        <v>136859.48000000001</v>
      </c>
      <c r="Q498" s="4">
        <v>0</v>
      </c>
      <c r="R498" s="4"/>
      <c r="S498" s="4"/>
      <c r="T498" s="4"/>
      <c r="U498" s="4"/>
      <c r="V498" s="4">
        <v>139388.19</v>
      </c>
      <c r="W498" s="4"/>
      <c r="X498" s="4">
        <v>114507.34</v>
      </c>
      <c r="Y498" s="4">
        <v>66487.839999999997</v>
      </c>
      <c r="Z498" s="4">
        <v>19194.259999999998</v>
      </c>
      <c r="AA498" s="4">
        <v>329502.44</v>
      </c>
      <c r="AB498" s="4">
        <f t="shared" si="68"/>
        <v>1765409.6700000002</v>
      </c>
    </row>
    <row r="499" spans="1:28" ht="15.75" thickBot="1" x14ac:dyDescent="0.25">
      <c r="A499" s="3" t="s">
        <v>15</v>
      </c>
      <c r="B499" s="5">
        <f t="shared" ref="B499:W499" si="69">SUM(B487:B498)</f>
        <v>615849.38</v>
      </c>
      <c r="C499" s="5">
        <f t="shared" si="69"/>
        <v>636354.34999999986</v>
      </c>
      <c r="D499" s="5">
        <f t="shared" si="69"/>
        <v>368954.21</v>
      </c>
      <c r="E499" s="5">
        <f t="shared" si="69"/>
        <v>752791.2</v>
      </c>
      <c r="F499" s="5">
        <f t="shared" si="69"/>
        <v>477001.77</v>
      </c>
      <c r="G499" s="5">
        <f t="shared" si="69"/>
        <v>308415.81999999995</v>
      </c>
      <c r="H499" s="5">
        <f t="shared" si="69"/>
        <v>0</v>
      </c>
      <c r="I499" s="5">
        <f t="shared" si="69"/>
        <v>0</v>
      </c>
      <c r="J499" s="5">
        <f t="shared" si="69"/>
        <v>0</v>
      </c>
      <c r="K499" s="5">
        <f t="shared" si="69"/>
        <v>947327.95000000007</v>
      </c>
      <c r="L499" s="5">
        <f t="shared" si="69"/>
        <v>1026880.8599999999</v>
      </c>
      <c r="M499" s="5"/>
      <c r="N499" s="5">
        <f t="shared" si="69"/>
        <v>455659.14</v>
      </c>
      <c r="O499" s="5"/>
      <c r="P499" s="5">
        <f t="shared" si="69"/>
        <v>1906128.1400000001</v>
      </c>
      <c r="Q499" s="5">
        <f t="shared" si="69"/>
        <v>0</v>
      </c>
      <c r="R499" s="5"/>
      <c r="S499" s="5"/>
      <c r="T499" s="5"/>
      <c r="U499" s="5"/>
      <c r="V499" s="5">
        <f t="shared" si="69"/>
        <v>2000774.9</v>
      </c>
      <c r="W499" s="5">
        <f t="shared" si="69"/>
        <v>0</v>
      </c>
      <c r="X499" s="5">
        <f>SUM(X487:X498)</f>
        <v>1887079.63</v>
      </c>
      <c r="Y499" s="5">
        <f>SUM(Y487:Y498)</f>
        <v>928106.6399999999</v>
      </c>
      <c r="Z499" s="5">
        <f>SUM(Z487:Z498)</f>
        <v>267004.65000000002</v>
      </c>
      <c r="AA499" s="5">
        <f>SUM(AA487:AA498)</f>
        <v>3141692.5999999996</v>
      </c>
      <c r="AB499" s="5">
        <f t="shared" si="68"/>
        <v>15720021.239999998</v>
      </c>
    </row>
    <row r="500" spans="1:28" ht="15.75" thickTop="1" x14ac:dyDescent="0.2"/>
  </sheetData>
  <phoneticPr fontId="0" type="noConversion"/>
  <pageMargins left="0.5" right="0.5" top="0.5" bottom="0.5" header="0" footer="0"/>
  <pageSetup orientation="portrait" r:id="rId1"/>
  <headerFooter alignWithMargins="0">
    <oddHeader xml:space="preserve">&amp;C                                                   _x000D_
NYS DEPARTMENT OF TAXATION &amp; FINANCE_x000D_
OFFICE OF TAX POLICY ANALYSIS_x000D_
CASH DISTRIBUTION DATABASE_x000D_
1990 - PRESENT&amp;RAS570_x000D_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Totals</vt:lpstr>
      <vt:lpstr>Cities</vt:lpstr>
      <vt:lpstr>Counties</vt:lpstr>
      <vt:lpstr>School District</vt:lpstr>
      <vt:lpstr>Counties!Print_Area</vt:lpstr>
      <vt:lpstr>Print_Area</vt:lpstr>
      <vt:lpstr>Totals!Print_Titles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Roy/ACCT/OTPA/NYSTAX</dc:creator>
  <cp:lastModifiedBy>Jennifer White</cp:lastModifiedBy>
  <cp:lastPrinted>2020-03-09T13:53:09Z</cp:lastPrinted>
  <dcterms:created xsi:type="dcterms:W3CDTF">2011-05-10T14:44:00Z</dcterms:created>
  <dcterms:modified xsi:type="dcterms:W3CDTF">2024-04-16T16:08:34Z</dcterms:modified>
</cp:coreProperties>
</file>