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8_{C4C1D8B4-01C3-4F6C-9E41-660A0DC55953}" xr6:coauthVersionLast="46" xr6:coauthVersionMax="46" xr10:uidLastSave="{00000000-0000-0000-0000-000000000000}"/>
  <workbookProtection workbookAlgorithmName="SHA-512" workbookHashValue="O0GxDhIhUpnX5/g7OXrgzw6bYVG6k7CzyZYCFU4nys+4kH9bZtvDn3HZThx4AFTTsW6N1OjaZ+jT3vnHO6Kzdg==" workbookSaltValue="yl0p8OcJ66CsqT3AWtArNQ==" workbookSpinCount="100000" lockStructure="1"/>
  <bookViews>
    <workbookView xWindow="-120" yWindow="-120" windowWidth="24240" windowHeight="13140" xr2:uid="{6BFD37AB-6DD2-404D-9CF2-771557B5E84F}"/>
  </bookViews>
  <sheets>
    <sheet name="Inputs" sheetId="1" r:id="rId1"/>
    <sheet name="Model" sheetId="7" r:id="rId2"/>
    <sheet name="ModelFactors" sheetId="3" r:id="rId3"/>
    <sheet name="Forecasts" sheetId="10" state="hidden" r:id="rId4"/>
  </sheets>
  <definedNames>
    <definedName name="_xlnm._FilterDatabase" localSheetId="0" hidden="1">Inputs!$B$13:$D$25</definedName>
    <definedName name="BT_Disc_rt">Inputs!$C$12</definedName>
    <definedName name="Degradation">Inputs!$C$36</definedName>
    <definedName name="DRV_Hours_Year">ModelFactors!$V$1:$AY$8</definedName>
    <definedName name="DRV_MTC_Table">ModelFactors!$O$1:$R$8</definedName>
    <definedName name="DRV_Utility_list">ModelFactors!$V$1:$V$8</definedName>
    <definedName name="DRV_Years">ModelFactors!$V$1:$AY$1</definedName>
    <definedName name="E_Table">ModelFactors!$T$1:$T$4</definedName>
    <definedName name="Expense_Scale">Inputs!$C$32</definedName>
    <definedName name="Forecast_Energy">Forecasts!$B$1:$AF$12</definedName>
    <definedName name="Forecast_Energy_Header">Forecasts!$B$1:$AF$1</definedName>
    <definedName name="Forecast_ICAP">Forecasts!$B$18:$AF$29</definedName>
    <definedName name="Forecast_ICAP_Header">Forecasts!$B$18:$AF$18</definedName>
    <definedName name="Inflation">Inputs!$C$41</definedName>
    <definedName name="Inv_cost">Inputs!$C$40</definedName>
    <definedName name="Inv_Repl_Cycle">Inputs!$C$39</definedName>
    <definedName name="Inv_Size">Inputs!$C$37</definedName>
    <definedName name="NYISO_Name">ModelFactors!$BC$2:$BC$12</definedName>
    <definedName name="NYISO_Zone_Lookup">ModelFactors!$BC$1:$BD$12</definedName>
    <definedName name="NYISOzone">Inputs!$C$34</definedName>
    <definedName name="Plant_Type_Tbl">ModelFactors!$BA$2:$BA$4</definedName>
    <definedName name="SolarExpFctrList">ModelFactors!$G$1:$I$6</definedName>
    <definedName name="System_Age">Inputs!$C$8</definedName>
    <definedName name="System_Size">Inputs!$C$5</definedName>
    <definedName name="Tax_Stat_Dt">Inputs!$C$7</definedName>
    <definedName name="Tier1_Contract_Start">Inputs!$C$24</definedName>
    <definedName name="Tier1_Contract_Term">Inputs!$C$25</definedName>
    <definedName name="Tier1_Fixed_REC_price">Inputs!$C$22</definedName>
    <definedName name="Tier1_Index_REC_Price">Inputs!$C$23</definedName>
    <definedName name="Tier1_Max_Cntrct_Qty">Inputs!$C$26</definedName>
    <definedName name="UCAP_Capacity_Factor">Inputs!$C$42</definedName>
    <definedName name="Utility_List">ModelFactors!$O$2:$O$8</definedName>
    <definedName name="Utility_Nm">Inputs!$C$15</definedName>
    <definedName name="ValGroup">Inputs!$C$33</definedName>
    <definedName name="ValGroup_Tbl">ModelFactors!$A$1:$E$6</definedName>
    <definedName name="WindExpFctrList">ModelFactors!$K$1:$M$5</definedName>
    <definedName name="Zone_Eff">Inputs!$C$30</definedName>
    <definedName name="Zone_Exp">Inputs!$C$31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6" i="1"/>
  <c r="D15" i="1" l="1"/>
  <c r="D17" i="1"/>
  <c r="C34" i="1"/>
  <c r="D3" i="1"/>
  <c r="D4" i="1"/>
  <c r="C33" i="1" l="1"/>
  <c r="C32" i="1" l="1"/>
  <c r="C10" i="1"/>
  <c r="C42" i="1"/>
  <c r="C30" i="1"/>
  <c r="C31" i="1"/>
  <c r="C12" i="1"/>
  <c r="AA28" i="7" l="1"/>
  <c r="W28" i="7"/>
  <c r="S28" i="7"/>
  <c r="O28" i="7"/>
  <c r="K28" i="7"/>
  <c r="G28" i="7"/>
  <c r="C28" i="7"/>
  <c r="V28" i="7"/>
  <c r="R28" i="7"/>
  <c r="N28" i="7"/>
  <c r="J28" i="7"/>
  <c r="F28" i="7"/>
  <c r="Y28" i="7"/>
  <c r="U28" i="7"/>
  <c r="Q28" i="7"/>
  <c r="M28" i="7"/>
  <c r="E28" i="7"/>
  <c r="X28" i="7"/>
  <c r="T28" i="7"/>
  <c r="L28" i="7"/>
  <c r="D28" i="7"/>
  <c r="Z28" i="7"/>
  <c r="I28" i="7"/>
  <c r="P28" i="7"/>
  <c r="H28" i="7"/>
  <c r="C8" i="1"/>
  <c r="C40" i="1"/>
  <c r="C37" i="1"/>
  <c r="W29" i="7" l="1"/>
  <c r="G29" i="7"/>
  <c r="U29" i="7"/>
  <c r="L29" i="7"/>
  <c r="J29" i="7"/>
  <c r="H29" i="7"/>
  <c r="O29" i="7"/>
  <c r="E29" i="7"/>
  <c r="I29" i="7"/>
  <c r="K29" i="7"/>
  <c r="T29" i="7"/>
  <c r="P29" i="7"/>
  <c r="S29" i="7"/>
  <c r="C29" i="7"/>
  <c r="M29" i="7"/>
  <c r="Z29" i="7"/>
  <c r="Q29" i="7"/>
  <c r="Y29" i="7"/>
  <c r="N29" i="7"/>
  <c r="V29" i="7"/>
  <c r="X29" i="7"/>
  <c r="AA29" i="7"/>
  <c r="F29" i="7"/>
  <c r="R29" i="7"/>
  <c r="D29" i="7"/>
  <c r="C38" i="1"/>
  <c r="D2" i="7"/>
  <c r="D17" i="7" s="1"/>
  <c r="H2" i="7"/>
  <c r="H17" i="7" s="1"/>
  <c r="L2" i="7"/>
  <c r="L17" i="7" s="1"/>
  <c r="P2" i="7"/>
  <c r="P17" i="7" s="1"/>
  <c r="T2" i="7"/>
  <c r="T17" i="7" s="1"/>
  <c r="X2" i="7"/>
  <c r="X17" i="7" s="1"/>
  <c r="C2" i="7"/>
  <c r="C17" i="7" s="1"/>
  <c r="M2" i="7"/>
  <c r="M17" i="7" s="1"/>
  <c r="U2" i="7"/>
  <c r="U17" i="7" s="1"/>
  <c r="F2" i="7"/>
  <c r="F17" i="7" s="1"/>
  <c r="N2" i="7"/>
  <c r="N17" i="7" s="1"/>
  <c r="R2" i="7"/>
  <c r="R17" i="7" s="1"/>
  <c r="Z2" i="7"/>
  <c r="Z17" i="7" s="1"/>
  <c r="K2" i="7"/>
  <c r="K17" i="7" s="1"/>
  <c r="S2" i="7"/>
  <c r="S17" i="7" s="1"/>
  <c r="AA2" i="7"/>
  <c r="AA17" i="7" s="1"/>
  <c r="E2" i="7"/>
  <c r="E17" i="7" s="1"/>
  <c r="I2" i="7"/>
  <c r="I17" i="7" s="1"/>
  <c r="Q2" i="7"/>
  <c r="Q17" i="7" s="1"/>
  <c r="Y2" i="7"/>
  <c r="Y17" i="7" s="1"/>
  <c r="J2" i="7"/>
  <c r="J17" i="7" s="1"/>
  <c r="V2" i="7"/>
  <c r="V17" i="7" s="1"/>
  <c r="G2" i="7"/>
  <c r="G17" i="7" s="1"/>
  <c r="O2" i="7"/>
  <c r="O17" i="7" s="1"/>
  <c r="W2" i="7"/>
  <c r="W17" i="7" s="1"/>
  <c r="D30" i="7"/>
  <c r="H30" i="7"/>
  <c r="L30" i="7"/>
  <c r="P30" i="7"/>
  <c r="T30" i="7"/>
  <c r="X30" i="7"/>
  <c r="C30" i="7"/>
  <c r="I30" i="7"/>
  <c r="M30" i="7"/>
  <c r="Q30" i="7"/>
  <c r="U30" i="7"/>
  <c r="Y30" i="7"/>
  <c r="F30" i="7"/>
  <c r="J30" i="7"/>
  <c r="N30" i="7"/>
  <c r="R30" i="7"/>
  <c r="V30" i="7"/>
  <c r="Z30" i="7"/>
  <c r="G30" i="7"/>
  <c r="K30" i="7"/>
  <c r="O30" i="7"/>
  <c r="S30" i="7"/>
  <c r="W30" i="7"/>
  <c r="AA30" i="7"/>
  <c r="E30" i="7"/>
  <c r="L35" i="7"/>
  <c r="C6" i="3"/>
  <c r="K10" i="7" l="1"/>
  <c r="P10" i="7"/>
  <c r="L10" i="7"/>
  <c r="Y10" i="7"/>
  <c r="E10" i="7"/>
  <c r="Z10" i="7"/>
  <c r="R10" i="7"/>
  <c r="W10" i="7"/>
  <c r="Q10" i="7"/>
  <c r="J10" i="7"/>
  <c r="O10" i="7"/>
  <c r="I10" i="7"/>
  <c r="X10" i="7"/>
  <c r="G10" i="7"/>
  <c r="T10" i="7"/>
  <c r="H10" i="7"/>
  <c r="V10" i="7"/>
  <c r="D10" i="7"/>
  <c r="AA10" i="7"/>
  <c r="U10" i="7"/>
  <c r="N10" i="7"/>
  <c r="S10" i="7"/>
  <c r="M10" i="7"/>
  <c r="F10" i="7"/>
  <c r="C10" i="7"/>
  <c r="G35" i="7"/>
  <c r="P9" i="7"/>
  <c r="Q9" i="7"/>
  <c r="R9" i="7"/>
  <c r="S9" i="7"/>
  <c r="W9" i="7"/>
  <c r="AA9" i="7"/>
  <c r="G9" i="7"/>
  <c r="K9" i="7"/>
  <c r="O9" i="7"/>
  <c r="T9" i="7"/>
  <c r="X9" i="7"/>
  <c r="D9" i="7"/>
  <c r="H9" i="7"/>
  <c r="L9" i="7"/>
  <c r="C9" i="7"/>
  <c r="U9" i="7"/>
  <c r="Y9" i="7"/>
  <c r="E9" i="7"/>
  <c r="I9" i="7"/>
  <c r="M9" i="7"/>
  <c r="V9" i="7"/>
  <c r="Z9" i="7"/>
  <c r="F9" i="7"/>
  <c r="J9" i="7"/>
  <c r="N9" i="7"/>
  <c r="V35" i="7"/>
  <c r="U35" i="7"/>
  <c r="I35" i="7"/>
  <c r="Y35" i="7"/>
  <c r="J35" i="7"/>
  <c r="K35" i="7"/>
  <c r="N35" i="7"/>
  <c r="AA35" i="7"/>
  <c r="S35" i="7"/>
  <c r="T35" i="7"/>
  <c r="F35" i="7"/>
  <c r="Z35" i="7"/>
  <c r="P35" i="7"/>
  <c r="W35" i="7"/>
  <c r="R35" i="7"/>
  <c r="H35" i="7"/>
  <c r="Q35" i="7"/>
  <c r="C35" i="7"/>
  <c r="M35" i="7"/>
  <c r="D35" i="7"/>
  <c r="E35" i="7"/>
  <c r="X35" i="7"/>
  <c r="O35" i="7"/>
  <c r="AA31" i="7"/>
  <c r="W31" i="7"/>
  <c r="S31" i="7"/>
  <c r="O31" i="7"/>
  <c r="K31" i="7"/>
  <c r="G31" i="7"/>
  <c r="C31" i="7"/>
  <c r="P31" i="7"/>
  <c r="D31" i="7"/>
  <c r="Z31" i="7"/>
  <c r="V31" i="7"/>
  <c r="R31" i="7"/>
  <c r="N31" i="7"/>
  <c r="J31" i="7"/>
  <c r="F31" i="7"/>
  <c r="X31" i="7"/>
  <c r="L31" i="7"/>
  <c r="Y31" i="7"/>
  <c r="U31" i="7"/>
  <c r="Q31" i="7"/>
  <c r="M31" i="7"/>
  <c r="I31" i="7"/>
  <c r="E31" i="7"/>
  <c r="T31" i="7"/>
  <c r="H31" i="7"/>
  <c r="X5" i="7"/>
  <c r="T5" i="7"/>
  <c r="P5" i="7"/>
  <c r="L5" i="7"/>
  <c r="H5" i="7"/>
  <c r="D5" i="7"/>
  <c r="C5" i="7"/>
  <c r="AA5" i="7"/>
  <c r="W5" i="7"/>
  <c r="S5" i="7"/>
  <c r="O5" i="7"/>
  <c r="K5" i="7"/>
  <c r="G5" i="7"/>
  <c r="Z5" i="7"/>
  <c r="V5" i="7"/>
  <c r="R5" i="7"/>
  <c r="N5" i="7"/>
  <c r="J5" i="7"/>
  <c r="F5" i="7"/>
  <c r="U5" i="7"/>
  <c r="Q5" i="7"/>
  <c r="M5" i="7"/>
  <c r="Y5" i="7"/>
  <c r="I5" i="7"/>
  <c r="E5" i="7"/>
  <c r="H21" i="7" l="1"/>
  <c r="H11" i="7"/>
  <c r="H12" i="7"/>
  <c r="P21" i="7"/>
  <c r="P11" i="7"/>
  <c r="P12" i="7"/>
  <c r="M21" i="7"/>
  <c r="M11" i="7"/>
  <c r="M12" i="7"/>
  <c r="L21" i="7"/>
  <c r="L11" i="7"/>
  <c r="L12" i="7"/>
  <c r="J21" i="7"/>
  <c r="J12" i="7"/>
  <c r="J11" i="7"/>
  <c r="X12" i="7"/>
  <c r="X11" i="7"/>
  <c r="D21" i="7"/>
  <c r="D11" i="7"/>
  <c r="D12" i="7"/>
  <c r="U21" i="7"/>
  <c r="U12" i="7"/>
  <c r="U11" i="7"/>
  <c r="F21" i="7"/>
  <c r="F11" i="7"/>
  <c r="F12" i="7"/>
  <c r="T21" i="7"/>
  <c r="T12" i="7"/>
  <c r="T11" i="7"/>
  <c r="N21" i="7"/>
  <c r="N11" i="7"/>
  <c r="N12" i="7"/>
  <c r="R21" i="7"/>
  <c r="R12" i="7"/>
  <c r="R11" i="7"/>
  <c r="V21" i="7"/>
  <c r="V12" i="7"/>
  <c r="V11" i="7"/>
  <c r="Q21" i="7"/>
  <c r="Q12" i="7"/>
  <c r="Q11" i="7"/>
  <c r="O21" i="7"/>
  <c r="O11" i="7"/>
  <c r="O12" i="7"/>
  <c r="S21" i="7"/>
  <c r="S12" i="7"/>
  <c r="S11" i="7"/>
  <c r="K21" i="7"/>
  <c r="K12" i="7"/>
  <c r="K11" i="7"/>
  <c r="W12" i="7"/>
  <c r="W11" i="7"/>
  <c r="G21" i="7"/>
  <c r="G11" i="7"/>
  <c r="G12" i="7"/>
  <c r="I21" i="7"/>
  <c r="I11" i="7"/>
  <c r="I12" i="7"/>
  <c r="Z12" i="7"/>
  <c r="Z11" i="7"/>
  <c r="E21" i="7"/>
  <c r="E11" i="7"/>
  <c r="E12" i="7"/>
  <c r="AA12" i="7"/>
  <c r="AA11" i="7"/>
  <c r="Y12" i="7"/>
  <c r="Y11" i="7"/>
  <c r="C12" i="7"/>
  <c r="C11" i="7"/>
  <c r="C21" i="7"/>
  <c r="N8" i="7"/>
  <c r="W8" i="7"/>
  <c r="H8" i="7"/>
  <c r="X8" i="7"/>
  <c r="Q8" i="7"/>
  <c r="I8" i="7"/>
  <c r="U8" i="7"/>
  <c r="K8" i="7"/>
  <c r="AA8" i="7"/>
  <c r="L8" i="7"/>
  <c r="E8" i="7"/>
  <c r="G8" i="7"/>
  <c r="R8" i="7"/>
  <c r="Y8" i="7"/>
  <c r="F8" i="7"/>
  <c r="V8" i="7"/>
  <c r="V13" i="7" s="1"/>
  <c r="O8" i="7"/>
  <c r="C8" i="7"/>
  <c r="P8" i="7"/>
  <c r="M8" i="7"/>
  <c r="J8" i="7"/>
  <c r="Z8" i="7"/>
  <c r="S8" i="7"/>
  <c r="D8" i="7"/>
  <c r="T8" i="7"/>
  <c r="K13" i="7" l="1"/>
  <c r="R13" i="7"/>
  <c r="P13" i="7"/>
  <c r="C13" i="7"/>
  <c r="L13" i="7"/>
  <c r="I13" i="7"/>
  <c r="D13" i="7"/>
  <c r="M13" i="7"/>
  <c r="T13" i="7"/>
  <c r="S13" i="7"/>
  <c r="U13" i="7"/>
  <c r="H13" i="7"/>
  <c r="Q13" i="7"/>
  <c r="J13" i="7"/>
  <c r="O13" i="7"/>
  <c r="N13" i="7"/>
  <c r="F13" i="7"/>
  <c r="G13" i="7"/>
  <c r="E13" i="7"/>
  <c r="Y21" i="7"/>
  <c r="Y13" i="7"/>
  <c r="W21" i="7"/>
  <c r="W13" i="7"/>
  <c r="Z21" i="7"/>
  <c r="Z13" i="7"/>
  <c r="AA21" i="7"/>
  <c r="AA13" i="7"/>
  <c r="X21" i="7"/>
  <c r="X13" i="7"/>
  <c r="C16" i="7"/>
  <c r="C18" i="7" s="1"/>
  <c r="C24" i="7" s="1"/>
  <c r="G16" i="7"/>
  <c r="G18" i="7" s="1"/>
  <c r="G24" i="7" s="1"/>
  <c r="L16" i="7"/>
  <c r="L18" i="7" s="1"/>
  <c r="L24" i="7" s="1"/>
  <c r="I16" i="7"/>
  <c r="I18" i="7" s="1"/>
  <c r="I24" i="7" s="1"/>
  <c r="S16" i="7"/>
  <c r="S18" i="7" s="1"/>
  <c r="S24" i="7" s="1"/>
  <c r="J16" i="7"/>
  <c r="J18" i="7" s="1"/>
  <c r="J24" i="7" s="1"/>
  <c r="P16" i="7"/>
  <c r="P18" i="7" s="1"/>
  <c r="P24" i="7" s="1"/>
  <c r="E16" i="7"/>
  <c r="E18" i="7" s="1"/>
  <c r="E24" i="7" s="1"/>
  <c r="Q16" i="7"/>
  <c r="Q18" i="7" s="1"/>
  <c r="Q24" i="7" s="1"/>
  <c r="N16" i="7"/>
  <c r="N18" i="7" s="1"/>
  <c r="N24" i="7" s="1"/>
  <c r="Y16" i="7"/>
  <c r="Y18" i="7" s="1"/>
  <c r="Y24" i="7" s="1"/>
  <c r="W16" i="7"/>
  <c r="W18" i="7" s="1"/>
  <c r="W24" i="7" s="1"/>
  <c r="T16" i="7"/>
  <c r="T18" i="7" s="1"/>
  <c r="T24" i="7" s="1"/>
  <c r="O16" i="7"/>
  <c r="O18" i="7" s="1"/>
  <c r="F16" i="7"/>
  <c r="F18" i="7" s="1"/>
  <c r="F24" i="7" s="1"/>
  <c r="R16" i="7"/>
  <c r="R18" i="7" s="1"/>
  <c r="R24" i="7" s="1"/>
  <c r="AA16" i="7"/>
  <c r="AA18" i="7" s="1"/>
  <c r="AA24" i="7" s="1"/>
  <c r="U16" i="7"/>
  <c r="U18" i="7" s="1"/>
  <c r="H16" i="7"/>
  <c r="H18" i="7" s="1"/>
  <c r="H24" i="7" s="1"/>
  <c r="X16" i="7"/>
  <c r="X18" i="7" s="1"/>
  <c r="X24" i="7" s="1"/>
  <c r="D16" i="7"/>
  <c r="D18" i="7" s="1"/>
  <c r="D24" i="7" s="1"/>
  <c r="Z16" i="7"/>
  <c r="Z18" i="7" s="1"/>
  <c r="Z24" i="7" s="1"/>
  <c r="M16" i="7"/>
  <c r="M18" i="7" s="1"/>
  <c r="M24" i="7" s="1"/>
  <c r="V16" i="7"/>
  <c r="V18" i="7" s="1"/>
  <c r="V24" i="7" s="1"/>
  <c r="K16" i="7"/>
  <c r="K18" i="7" s="1"/>
  <c r="U26" i="7" l="1"/>
  <c r="U24" i="7"/>
  <c r="O24" i="7"/>
  <c r="O26" i="7" s="1"/>
  <c r="K26" i="7"/>
  <c r="K24" i="7"/>
  <c r="D26" i="7"/>
  <c r="Q26" i="7"/>
  <c r="Z26" i="7"/>
  <c r="J26" i="7"/>
  <c r="I26" i="7"/>
  <c r="I33" i="7" s="1"/>
  <c r="S26" i="7"/>
  <c r="S33" i="7" s="1"/>
  <c r="T26" i="7"/>
  <c r="L26" i="7"/>
  <c r="N26" i="7"/>
  <c r="N33" i="7" s="1"/>
  <c r="C26" i="7"/>
  <c r="AA26" i="7"/>
  <c r="H26" i="7"/>
  <c r="M26" i="7"/>
  <c r="F26" i="7"/>
  <c r="P26" i="7"/>
  <c r="G26" i="7"/>
  <c r="Y26" i="7"/>
  <c r="W26" i="7"/>
  <c r="X26" i="7"/>
  <c r="E26" i="7"/>
  <c r="V26" i="7"/>
  <c r="R26" i="7"/>
  <c r="H33" i="7" l="1"/>
  <c r="H36" i="7" s="1"/>
  <c r="M33" i="7"/>
  <c r="M36" i="7" s="1"/>
  <c r="P33" i="7"/>
  <c r="P36" i="7" s="1"/>
  <c r="E33" i="7"/>
  <c r="E36" i="7" s="1"/>
  <c r="C33" i="7"/>
  <c r="C36" i="7" s="1"/>
  <c r="V33" i="7"/>
  <c r="V36" i="7" s="1"/>
  <c r="T33" i="7"/>
  <c r="T36" i="7" s="1"/>
  <c r="D33" i="7"/>
  <c r="D36" i="7" s="1"/>
  <c r="Y33" i="7"/>
  <c r="Y36" i="7" s="1"/>
  <c r="R33" i="7"/>
  <c r="R36" i="7" s="1"/>
  <c r="J33" i="7"/>
  <c r="J36" i="7" s="1"/>
  <c r="L33" i="7"/>
  <c r="L36" i="7" s="1"/>
  <c r="O33" i="7"/>
  <c r="O36" i="7" s="1"/>
  <c r="G33" i="7"/>
  <c r="G36" i="7" s="1"/>
  <c r="U33" i="7"/>
  <c r="U36" i="7" s="1"/>
  <c r="K33" i="7"/>
  <c r="K36" i="7" s="1"/>
  <c r="F33" i="7"/>
  <c r="F36" i="7" s="1"/>
  <c r="Q33" i="7"/>
  <c r="Q36" i="7" s="1"/>
  <c r="N36" i="7"/>
  <c r="I36" i="7"/>
  <c r="S36" i="7"/>
  <c r="Z33" i="7"/>
  <c r="AA33" i="7"/>
  <c r="X33" i="7"/>
  <c r="W33" i="7"/>
  <c r="W36" i="7" l="1"/>
  <c r="X36" i="7"/>
  <c r="AA36" i="7"/>
  <c r="Z36" i="7"/>
  <c r="D3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5" authorId="0" shapeId="0" xr:uid="{0E8FF738-723E-408E-AEF7-F9C40FD240A5}">
      <text>
        <r>
          <rPr>
            <sz val="9"/>
            <color indexed="81"/>
            <rFont val="Tahoma"/>
            <family val="2"/>
          </rPr>
          <t>25 Years (Warranty and Contract Term)</t>
        </r>
      </text>
    </comment>
    <comment ref="C40" authorId="0" shapeId="0" xr:uid="{8FDC51AE-916B-4B3E-BEED-6BE390AD4AA4}">
      <text>
        <r>
          <rPr>
            <sz val="9"/>
            <color indexed="81"/>
            <rFont val="Tahoma"/>
            <family val="2"/>
          </rPr>
          <t>Fixed/4-5c util, 10c&lt;5MW)</t>
        </r>
      </text>
    </comment>
    <comment ref="C42" authorId="0" shapeId="0" xr:uid="{16AE0570-058C-4CF5-93C1-D7828686A525}">
      <text>
        <r>
          <rPr>
            <sz val="9"/>
            <color indexed="81"/>
            <rFont val="Tahoma"/>
            <family val="2"/>
          </rPr>
          <t>fixed,track,fix,track,wind</t>
        </r>
      </text>
    </comment>
  </commentList>
</comments>
</file>

<file path=xl/sharedStrings.xml><?xml version="1.0" encoding="utf-8"?>
<sst xmlns="http://schemas.openxmlformats.org/spreadsheetml/2006/main" count="187" uniqueCount="121">
  <si>
    <t>Degradation – 0.5% Per Annum</t>
  </si>
  <si>
    <t>Inverter Size</t>
  </si>
  <si>
    <t>Inverter Age</t>
  </si>
  <si>
    <t>E</t>
  </si>
  <si>
    <t>G</t>
  </si>
  <si>
    <t>J</t>
  </si>
  <si>
    <t>F</t>
  </si>
  <si>
    <t>C</t>
  </si>
  <si>
    <t>A</t>
  </si>
  <si>
    <t>B</t>
  </si>
  <si>
    <t>D</t>
  </si>
  <si>
    <t>H</t>
  </si>
  <si>
    <t>year</t>
  </si>
  <si>
    <t>Tax Load</t>
  </si>
  <si>
    <t>Loaded Discount Rate</t>
  </si>
  <si>
    <t>NYISO Zone</t>
  </si>
  <si>
    <t>Production</t>
  </si>
  <si>
    <t>Inflation (for expenses)</t>
  </si>
  <si>
    <t>Plant Type</t>
  </si>
  <si>
    <t>Date of Operation</t>
  </si>
  <si>
    <t>Inverter Replacement Cycle</t>
  </si>
  <si>
    <t>Solar Fixed - VDER</t>
  </si>
  <si>
    <t>Solar Tracking - VDER</t>
  </si>
  <si>
    <t>Decomissioning</t>
  </si>
  <si>
    <t>*Expense includes O&amp;M, Insurance, Management.</t>
  </si>
  <si>
    <t>Income</t>
  </si>
  <si>
    <t>Expenses</t>
  </si>
  <si>
    <r>
      <t>Inverter Replacement Cost New</t>
    </r>
    <r>
      <rPr>
        <sz val="11"/>
        <rFont val="Calibri"/>
        <family val="2"/>
        <scheme val="minor"/>
      </rPr>
      <t xml:space="preserve"> </t>
    </r>
  </si>
  <si>
    <t>I</t>
  </si>
  <si>
    <t>K</t>
  </si>
  <si>
    <t>Economic Life</t>
  </si>
  <si>
    <t>ExpFactor</t>
  </si>
  <si>
    <t>Typical Expense for Zone ($/kw)</t>
  </si>
  <si>
    <t>VDER</t>
  </si>
  <si>
    <t>Environmental (E) Value</t>
  </si>
  <si>
    <t>DRV Rate</t>
  </si>
  <si>
    <t>Total</t>
  </si>
  <si>
    <t>Strike Price</t>
  </si>
  <si>
    <t>Price Point</t>
  </si>
  <si>
    <t>Capacity ($/kW-yr) Nominal</t>
  </si>
  <si>
    <t>Price</t>
  </si>
  <si>
    <t>Power Energy ($/MWh) Nominal</t>
  </si>
  <si>
    <t>Solar Fixed - Tier 1</t>
  </si>
  <si>
    <t>Solar Tracking - Tier 1</t>
  </si>
  <si>
    <t>Onshore Wind - Tier 1</t>
  </si>
  <si>
    <t>E Value</t>
  </si>
  <si>
    <t>National Grid</t>
  </si>
  <si>
    <t>Central Hudson</t>
  </si>
  <si>
    <t>Orange &amp; Rockland</t>
  </si>
  <si>
    <t>$/kwh</t>
  </si>
  <si>
    <t>Utility</t>
  </si>
  <si>
    <t>DRV rate ($2021/kWh) Phase 2</t>
  </si>
  <si>
    <t>PSEG Long Island</t>
  </si>
  <si>
    <t>RGE</t>
  </si>
  <si>
    <t>Utility Company</t>
  </si>
  <si>
    <t>Energy $</t>
  </si>
  <si>
    <t>Capacity $</t>
  </si>
  <si>
    <t>VDER:</t>
  </si>
  <si>
    <t>UCAP Capacity Factor</t>
  </si>
  <si>
    <t>Land Based Wind</t>
  </si>
  <si>
    <t>Fixed REC price</t>
  </si>
  <si>
    <t>Contract Start</t>
  </si>
  <si>
    <t>Contract Term</t>
  </si>
  <si>
    <t>$/MWh</t>
  </si>
  <si>
    <t>MWh</t>
  </si>
  <si>
    <t>Max Annual Contract Quantity</t>
  </si>
  <si>
    <t>Tier 1 Index REC:</t>
  </si>
  <si>
    <t>Tier 1 Fixed REC:</t>
  </si>
  <si>
    <t>REC $</t>
  </si>
  <si>
    <t>MTC/Comm WgtMean</t>
  </si>
  <si>
    <t>%of utility with no MTC adder</t>
  </si>
  <si>
    <t>Inverter (Solar Only)</t>
  </si>
  <si>
    <t>Tier1 Overall Income (Choose between Fixed REC and Index REC)</t>
  </si>
  <si>
    <t>* VDER Reimbursement also includes energy and capacity revenue forecasted annually.</t>
  </si>
  <si>
    <t>-OR-  Index REC Strike Price</t>
  </si>
  <si>
    <t>years</t>
  </si>
  <si>
    <t>Solar - Tracking</t>
  </si>
  <si>
    <t>Solar - Fixed Axis</t>
  </si>
  <si>
    <t>Taxable Status Date</t>
  </si>
  <si>
    <t>Efficiency Factor for Plant Type</t>
  </si>
  <si>
    <t>EBITDA</t>
  </si>
  <si>
    <t>Discount Factor</t>
  </si>
  <si>
    <t>Disc Cash Flow</t>
  </si>
  <si>
    <t>EffFactor</t>
  </si>
  <si>
    <t>Valuation Group</t>
  </si>
  <si>
    <t>ValGroup#</t>
  </si>
  <si>
    <t>Before Tax Discount Rate  - WACC</t>
  </si>
  <si>
    <t>System Age at Taxable Status Date</t>
  </si>
  <si>
    <t>Market Transition and/or Community Credit</t>
  </si>
  <si>
    <t xml:space="preserve">J - N.Y.C. </t>
  </si>
  <si>
    <t>E - Mohawk Valley</t>
  </si>
  <si>
    <t>F - Capital</t>
  </si>
  <si>
    <t>G - Hudson Valley</t>
  </si>
  <si>
    <t>H - Millwood</t>
  </si>
  <si>
    <t xml:space="preserve">I - Dunwoodie </t>
  </si>
  <si>
    <t>K - Long Island</t>
  </si>
  <si>
    <t>A - West</t>
  </si>
  <si>
    <t>B - Genesee</t>
  </si>
  <si>
    <t>C - Central</t>
  </si>
  <si>
    <t>D - North</t>
  </si>
  <si>
    <t>NYISO Name</t>
  </si>
  <si>
    <t>NYISO Letter</t>
  </si>
  <si>
    <t>System Size</t>
  </si>
  <si>
    <r>
      <t xml:space="preserve">(kW Wind/kW </t>
    </r>
    <r>
      <rPr>
        <b/>
        <sz val="11"/>
        <color theme="1"/>
        <rFont val="Calibri"/>
        <family val="2"/>
        <scheme val="minor"/>
      </rPr>
      <t>AC</t>
    </r>
    <r>
      <rPr>
        <sz val="11"/>
        <color theme="1"/>
        <rFont val="Calibri"/>
        <family val="2"/>
        <scheme val="minor"/>
      </rPr>
      <t xml:space="preserve"> Solar)</t>
    </r>
  </si>
  <si>
    <t>Expense*</t>
  </si>
  <si>
    <t>Present Value of Cash Flow:</t>
  </si>
  <si>
    <t>Open Market / Tier 1</t>
  </si>
  <si>
    <t>DRV Hours/Year</t>
  </si>
  <si>
    <t>MTC and/or CC</t>
  </si>
  <si>
    <t>2022 Solar/Wind Appraisal Model</t>
  </si>
  <si>
    <t>Blue cells require user input</t>
  </si>
  <si>
    <t>Con Edison</t>
  </si>
  <si>
    <t>NYSEG</t>
  </si>
  <si>
    <t>UCAP</t>
  </si>
  <si>
    <t>Adjustment</t>
  </si>
  <si>
    <t>SizeLo</t>
  </si>
  <si>
    <t>SizeHi</t>
  </si>
  <si>
    <t>Expense Scale</t>
  </si>
  <si>
    <t>Solar OpEx Economies of Scale</t>
  </si>
  <si>
    <t>Wind OpEx Economies of Scale</t>
  </si>
  <si>
    <t>Please note that the value of associated land is included in the model output.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</si>
</sst>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&quot;$&quot;#,##0.00"/>
    <numFmt numFmtId="170" formatCode="&quot;$&quot;#,##0.0000_);\(&quot;$&quot;#,##0.0000\)"/>
    <numFmt numFmtId="171" formatCode="_(&quot;$&quot;* #,##0.000_);_(&quot;$&quot;* \(#,##0.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 tint="-0.249977111117893"/>
      <name val="Wingdings 3"/>
      <family val="1"/>
      <charset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8" tint="0.79995117038483843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auto="1"/>
      </top>
      <bottom style="thin">
        <color theme="6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168" fontId="0" fillId="0" borderId="18" xfId="2" applyNumberFormat="1" applyFont="1" applyBorder="1"/>
    <xf numFmtId="168" fontId="0" fillId="0" borderId="19" xfId="2" applyNumberFormat="1" applyFont="1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71" fontId="0" fillId="0" borderId="22" xfId="2" applyNumberFormat="1" applyFont="1" applyBorder="1"/>
    <xf numFmtId="171" fontId="0" fillId="0" borderId="0" xfId="2" applyNumberFormat="1" applyFont="1" applyBorder="1"/>
    <xf numFmtId="171" fontId="0" fillId="0" borderId="2" xfId="2" applyNumberFormat="1" applyFont="1" applyBorder="1"/>
    <xf numFmtId="0" fontId="0" fillId="0" borderId="4" xfId="0" applyBorder="1"/>
    <xf numFmtId="0" fontId="0" fillId="0" borderId="33" xfId="0" applyBorder="1"/>
    <xf numFmtId="0" fontId="15" fillId="9" borderId="0" xfId="0" applyFont="1" applyFill="1" applyBorder="1" applyProtection="1">
      <protection hidden="1"/>
    </xf>
    <xf numFmtId="0" fontId="5" fillId="9" borderId="3" xfId="0" applyFont="1" applyFill="1" applyBorder="1" applyProtection="1"/>
    <xf numFmtId="1" fontId="0" fillId="9" borderId="25" xfId="2" applyNumberFormat="1" applyFont="1" applyFill="1" applyBorder="1" applyProtection="1"/>
    <xf numFmtId="1" fontId="0" fillId="9" borderId="26" xfId="2" applyNumberFormat="1" applyFont="1" applyFill="1" applyBorder="1" applyProtection="1"/>
    <xf numFmtId="0" fontId="0" fillId="9" borderId="0" xfId="0" applyFill="1" applyBorder="1" applyProtection="1"/>
    <xf numFmtId="0" fontId="8" fillId="9" borderId="7" xfId="0" applyFont="1" applyFill="1" applyBorder="1" applyProtection="1"/>
    <xf numFmtId="0" fontId="8" fillId="9" borderId="27" xfId="0" applyFont="1" applyFill="1" applyBorder="1" applyProtection="1"/>
    <xf numFmtId="0" fontId="8" fillId="9" borderId="28" xfId="0" applyFont="1" applyFill="1" applyBorder="1" applyProtection="1"/>
    <xf numFmtId="0" fontId="8" fillId="9" borderId="0" xfId="0" applyFont="1" applyFill="1" applyBorder="1" applyProtection="1"/>
    <xf numFmtId="0" fontId="0" fillId="9" borderId="5" xfId="0" applyFill="1" applyBorder="1" applyProtection="1"/>
    <xf numFmtId="0" fontId="0" fillId="9" borderId="29" xfId="0" applyFill="1" applyBorder="1" applyProtection="1"/>
    <xf numFmtId="166" fontId="0" fillId="9" borderId="29" xfId="0" applyNumberFormat="1" applyFill="1" applyBorder="1" applyProtection="1"/>
    <xf numFmtId="0" fontId="0" fillId="9" borderId="30" xfId="0" applyFill="1" applyBorder="1" applyProtection="1"/>
    <xf numFmtId="0" fontId="0" fillId="0" borderId="5" xfId="0" applyBorder="1" applyProtection="1"/>
    <xf numFmtId="165" fontId="6" fillId="0" borderId="29" xfId="1" applyNumberFormat="1" applyFont="1" applyBorder="1" applyProtection="1"/>
    <xf numFmtId="165" fontId="6" fillId="0" borderId="30" xfId="1" applyNumberFormat="1" applyFont="1" applyBorder="1" applyProtection="1"/>
    <xf numFmtId="0" fontId="12" fillId="5" borderId="5" xfId="0" applyFont="1" applyFill="1" applyBorder="1" applyProtection="1"/>
    <xf numFmtId="165" fontId="13" fillId="5" borderId="29" xfId="1" applyNumberFormat="1" applyFont="1" applyFill="1" applyBorder="1" applyProtection="1"/>
    <xf numFmtId="165" fontId="13" fillId="5" borderId="30" xfId="1" applyNumberFormat="1" applyFont="1" applyFill="1" applyBorder="1" applyProtection="1"/>
    <xf numFmtId="0" fontId="13" fillId="9" borderId="0" xfId="0" applyFont="1" applyFill="1" applyBorder="1" applyProtection="1"/>
    <xf numFmtId="0" fontId="13" fillId="5" borderId="5" xfId="0" applyFont="1" applyFill="1" applyBorder="1" applyProtection="1"/>
    <xf numFmtId="0" fontId="13" fillId="5" borderId="3" xfId="0" applyFont="1" applyFill="1" applyBorder="1" applyProtection="1"/>
    <xf numFmtId="165" fontId="13" fillId="5" borderId="25" xfId="1" applyNumberFormat="1" applyFont="1" applyFill="1" applyBorder="1" applyProtection="1"/>
    <xf numFmtId="165" fontId="13" fillId="5" borderId="26" xfId="1" applyNumberFormat="1" applyFont="1" applyFill="1" applyBorder="1" applyProtection="1"/>
    <xf numFmtId="0" fontId="13" fillId="0" borderId="5" xfId="0" applyFont="1" applyFill="1" applyBorder="1" applyProtection="1"/>
    <xf numFmtId="165" fontId="13" fillId="0" borderId="29" xfId="1" applyNumberFormat="1" applyFont="1" applyFill="1" applyBorder="1" applyProtection="1"/>
    <xf numFmtId="165" fontId="13" fillId="0" borderId="30" xfId="1" applyNumberFormat="1" applyFont="1" applyFill="1" applyBorder="1" applyProtection="1"/>
    <xf numFmtId="0" fontId="12" fillId="2" borderId="5" xfId="0" applyFont="1" applyFill="1" applyBorder="1" applyProtection="1"/>
    <xf numFmtId="165" fontId="13" fillId="2" borderId="29" xfId="1" applyNumberFormat="1" applyFont="1" applyFill="1" applyBorder="1" applyProtection="1"/>
    <xf numFmtId="165" fontId="13" fillId="2" borderId="30" xfId="1" applyNumberFormat="1" applyFont="1" applyFill="1" applyBorder="1" applyProtection="1"/>
    <xf numFmtId="0" fontId="13" fillId="2" borderId="5" xfId="0" applyFont="1" applyFill="1" applyBorder="1" applyProtection="1"/>
    <xf numFmtId="0" fontId="13" fillId="2" borderId="3" xfId="0" applyFont="1" applyFill="1" applyBorder="1" applyProtection="1"/>
    <xf numFmtId="165" fontId="13" fillId="2" borderId="25" xfId="1" applyNumberFormat="1" applyFont="1" applyFill="1" applyBorder="1" applyProtection="1"/>
    <xf numFmtId="165" fontId="13" fillId="2" borderId="26" xfId="1" applyNumberFormat="1" applyFont="1" applyFill="1" applyBorder="1" applyProtection="1"/>
    <xf numFmtId="165" fontId="13" fillId="6" borderId="29" xfId="1" applyNumberFormat="1" applyFont="1" applyFill="1" applyBorder="1" applyProtection="1"/>
    <xf numFmtId="165" fontId="13" fillId="7" borderId="29" xfId="1" applyNumberFormat="1" applyFont="1" applyFill="1" applyBorder="1" applyProtection="1"/>
    <xf numFmtId="165" fontId="13" fillId="7" borderId="30" xfId="1" applyNumberFormat="1" applyFont="1" applyFill="1" applyBorder="1" applyProtection="1"/>
    <xf numFmtId="0" fontId="2" fillId="9" borderId="0" xfId="0" applyFont="1" applyFill="1" applyBorder="1" applyProtection="1"/>
    <xf numFmtId="0" fontId="2" fillId="8" borderId="20" xfId="0" applyFont="1" applyFill="1" applyBorder="1" applyProtection="1"/>
    <xf numFmtId="167" fontId="11" fillId="8" borderId="31" xfId="2" applyNumberFormat="1" applyFont="1" applyFill="1" applyBorder="1" applyProtection="1"/>
    <xf numFmtId="167" fontId="11" fillId="8" borderId="32" xfId="2" applyNumberFormat="1" applyFont="1" applyFill="1" applyBorder="1" applyProtection="1"/>
    <xf numFmtId="167" fontId="6" fillId="9" borderId="29" xfId="2" applyNumberFormat="1" applyFont="1" applyFill="1" applyBorder="1" applyProtection="1"/>
    <xf numFmtId="167" fontId="6" fillId="9" borderId="30" xfId="2" applyNumberFormat="1" applyFont="1" applyFill="1" applyBorder="1" applyProtection="1"/>
    <xf numFmtId="0" fontId="0" fillId="9" borderId="3" xfId="0" applyFill="1" applyBorder="1" applyProtection="1"/>
    <xf numFmtId="167" fontId="6" fillId="9" borderId="25" xfId="2" applyNumberFormat="1" applyFont="1" applyFill="1" applyBorder="1" applyProtection="1"/>
    <xf numFmtId="167" fontId="6" fillId="9" borderId="26" xfId="2" applyNumberFormat="1" applyFont="1" applyFill="1" applyBorder="1" applyProtection="1"/>
    <xf numFmtId="0" fontId="2" fillId="8" borderId="7" xfId="0" applyFont="1" applyFill="1" applyBorder="1" applyProtection="1"/>
    <xf numFmtId="167" fontId="11" fillId="8" borderId="27" xfId="2" applyNumberFormat="1" applyFont="1" applyFill="1" applyBorder="1" applyProtection="1"/>
    <xf numFmtId="167" fontId="11" fillId="8" borderId="28" xfId="2" applyNumberFormat="1" applyFont="1" applyFill="1" applyBorder="1" applyProtection="1"/>
    <xf numFmtId="0" fontId="2" fillId="9" borderId="5" xfId="0" applyFont="1" applyFill="1" applyBorder="1" applyProtection="1"/>
    <xf numFmtId="167" fontId="11" fillId="9" borderId="29" xfId="2" applyNumberFormat="1" applyFont="1" applyFill="1" applyBorder="1" applyProtection="1"/>
    <xf numFmtId="167" fontId="11" fillId="9" borderId="30" xfId="2" applyNumberFormat="1" applyFont="1" applyFill="1" applyBorder="1" applyProtection="1"/>
    <xf numFmtId="164" fontId="6" fillId="9" borderId="29" xfId="0" applyNumberFormat="1" applyFont="1" applyFill="1" applyBorder="1" applyProtection="1"/>
    <xf numFmtId="164" fontId="6" fillId="9" borderId="30" xfId="0" applyNumberFormat="1" applyFont="1" applyFill="1" applyBorder="1" applyProtection="1"/>
    <xf numFmtId="43" fontId="0" fillId="9" borderId="0" xfId="0" applyNumberFormat="1" applyFill="1" applyProtection="1"/>
    <xf numFmtId="0" fontId="0" fillId="9" borderId="0" xfId="0" applyFill="1" applyProtection="1"/>
    <xf numFmtId="166" fontId="0" fillId="9" borderId="0" xfId="0" applyNumberFormat="1" applyFill="1" applyProtection="1"/>
    <xf numFmtId="0" fontId="8" fillId="3" borderId="0" xfId="0" applyFont="1" applyFill="1" applyAlignment="1" applyProtection="1">
      <alignment horizontal="right"/>
    </xf>
    <xf numFmtId="0" fontId="3" fillId="9" borderId="0" xfId="0" applyFont="1" applyFill="1" applyAlignment="1" applyProtection="1">
      <alignment horizontal="right" vertical="center"/>
    </xf>
    <xf numFmtId="0" fontId="0" fillId="9" borderId="3" xfId="0" applyFont="1" applyFill="1" applyBorder="1" applyAlignment="1" applyProtection="1">
      <alignment horizontal="right" vertical="center"/>
    </xf>
    <xf numFmtId="0" fontId="0" fillId="9" borderId="4" xfId="0" applyFill="1" applyBorder="1" applyProtection="1"/>
    <xf numFmtId="0" fontId="0" fillId="9" borderId="5" xfId="0" applyFont="1" applyFill="1" applyBorder="1" applyAlignment="1" applyProtection="1">
      <alignment horizontal="right" vertical="center"/>
    </xf>
    <xf numFmtId="0" fontId="0" fillId="9" borderId="6" xfId="0" applyFill="1" applyBorder="1" applyProtection="1"/>
    <xf numFmtId="0" fontId="9" fillId="9" borderId="0" xfId="0" applyFont="1" applyFill="1" applyProtection="1"/>
    <xf numFmtId="0" fontId="9" fillId="9" borderId="7" xfId="0" applyFont="1" applyFill="1" applyBorder="1" applyAlignment="1" applyProtection="1">
      <alignment horizontal="right" vertical="center"/>
    </xf>
    <xf numFmtId="0" fontId="8" fillId="9" borderId="2" xfId="0" applyFont="1" applyFill="1" applyBorder="1" applyProtection="1"/>
    <xf numFmtId="0" fontId="0" fillId="9" borderId="2" xfId="0" applyFill="1" applyBorder="1" applyProtection="1"/>
    <xf numFmtId="0" fontId="0" fillId="9" borderId="8" xfId="0" applyFill="1" applyBorder="1" applyProtection="1"/>
    <xf numFmtId="0" fontId="0" fillId="9" borderId="0" xfId="0" applyFont="1" applyFill="1" applyAlignment="1" applyProtection="1">
      <alignment horizontal="right" vertical="center"/>
    </xf>
    <xf numFmtId="9" fontId="0" fillId="9" borderId="0" xfId="3" applyFont="1" applyFill="1" applyProtection="1"/>
    <xf numFmtId="0" fontId="9" fillId="9" borderId="3" xfId="0" applyFont="1" applyFill="1" applyBorder="1" applyAlignment="1" applyProtection="1">
      <alignment horizontal="right" vertical="center" wrapText="1"/>
    </xf>
    <xf numFmtId="10" fontId="0" fillId="9" borderId="4" xfId="0" applyNumberFormat="1" applyFill="1" applyBorder="1" applyProtection="1"/>
    <xf numFmtId="0" fontId="0" fillId="9" borderId="7" xfId="0" applyFont="1" applyFill="1" applyBorder="1" applyAlignment="1" applyProtection="1">
      <alignment horizontal="right" vertical="center"/>
    </xf>
    <xf numFmtId="10" fontId="0" fillId="9" borderId="8" xfId="0" applyNumberFormat="1" applyFill="1" applyBorder="1" applyProtection="1"/>
    <xf numFmtId="0" fontId="2" fillId="9" borderId="0" xfId="0" applyFont="1" applyFill="1" applyAlignment="1" applyProtection="1">
      <alignment horizontal="right" vertical="center"/>
    </xf>
    <xf numFmtId="0" fontId="2" fillId="9" borderId="16" xfId="0" applyFont="1" applyFill="1" applyBorder="1" applyAlignment="1" applyProtection="1">
      <alignment horizontal="right" vertical="center"/>
    </xf>
    <xf numFmtId="9" fontId="0" fillId="9" borderId="9" xfId="3" applyFont="1" applyFill="1" applyBorder="1" applyProtection="1"/>
    <xf numFmtId="0" fontId="0" fillId="9" borderId="9" xfId="0" applyFill="1" applyBorder="1" applyProtection="1"/>
    <xf numFmtId="0" fontId="0" fillId="9" borderId="10" xfId="0" applyFill="1" applyBorder="1" applyAlignment="1" applyProtection="1"/>
    <xf numFmtId="0" fontId="0" fillId="9" borderId="11" xfId="0" applyFont="1" applyFill="1" applyBorder="1" applyAlignment="1" applyProtection="1">
      <alignment horizontal="right" vertical="center"/>
    </xf>
    <xf numFmtId="0" fontId="0" fillId="9" borderId="12" xfId="0" applyFill="1" applyBorder="1" applyAlignment="1" applyProtection="1"/>
    <xf numFmtId="170" fontId="0" fillId="9" borderId="0" xfId="2" applyNumberFormat="1" applyFont="1" applyFill="1" applyBorder="1" applyProtection="1"/>
    <xf numFmtId="0" fontId="0" fillId="9" borderId="11" xfId="0" quotePrefix="1" applyFont="1" applyFill="1" applyBorder="1" applyAlignment="1" applyProtection="1">
      <alignment horizontal="right" vertical="center"/>
    </xf>
    <xf numFmtId="0" fontId="0" fillId="9" borderId="13" xfId="0" applyFont="1" applyFill="1" applyBorder="1" applyAlignment="1" applyProtection="1">
      <alignment horizontal="right" vertical="center"/>
    </xf>
    <xf numFmtId="0" fontId="0" fillId="9" borderId="14" xfId="0" applyFill="1" applyBorder="1" applyProtection="1"/>
    <xf numFmtId="0" fontId="0" fillId="9" borderId="15" xfId="0" applyFill="1" applyBorder="1" applyAlignment="1" applyProtection="1"/>
    <xf numFmtId="0" fontId="2" fillId="9" borderId="0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10" fontId="10" fillId="4" borderId="4" xfId="3" applyNumberFormat="1" applyFont="1" applyFill="1" applyBorder="1" applyProtection="1"/>
    <xf numFmtId="0" fontId="7" fillId="4" borderId="5" xfId="0" applyFont="1" applyFill="1" applyBorder="1" applyAlignment="1" applyProtection="1">
      <alignment horizontal="right" vertical="center"/>
    </xf>
    <xf numFmtId="7" fontId="10" fillId="4" borderId="6" xfId="2" applyNumberFormat="1" applyFont="1" applyFill="1" applyBorder="1" applyProtection="1"/>
    <xf numFmtId="0" fontId="7" fillId="4" borderId="6" xfId="0" applyFont="1" applyFill="1" applyBorder="1" applyProtection="1"/>
    <xf numFmtId="0" fontId="7" fillId="4" borderId="6" xfId="0" applyFont="1" applyFill="1" applyBorder="1" applyAlignment="1" applyProtection="1">
      <alignment horizontal="right"/>
    </xf>
    <xf numFmtId="0" fontId="7" fillId="4" borderId="6" xfId="2" applyNumberFormat="1" applyFont="1" applyFill="1" applyBorder="1" applyProtection="1"/>
    <xf numFmtId="7" fontId="7" fillId="4" borderId="6" xfId="2" applyNumberFormat="1" applyFont="1" applyFill="1" applyBorder="1" applyProtection="1"/>
    <xf numFmtId="10" fontId="7" fillId="4" borderId="6" xfId="3" applyNumberFormat="1" applyFont="1" applyFill="1" applyBorder="1" applyProtection="1"/>
    <xf numFmtId="0" fontId="7" fillId="4" borderId="7" xfId="0" applyFont="1" applyFill="1" applyBorder="1" applyAlignment="1" applyProtection="1">
      <alignment horizontal="right" vertical="center"/>
    </xf>
    <xf numFmtId="10" fontId="7" fillId="4" borderId="8" xfId="3" applyNumberFormat="1" applyFont="1" applyFill="1" applyBorder="1" applyProtection="1"/>
    <xf numFmtId="0" fontId="7" fillId="9" borderId="0" xfId="0" applyFont="1" applyFill="1" applyAlignment="1" applyProtection="1">
      <alignment horizontal="right" vertical="center"/>
    </xf>
    <xf numFmtId="10" fontId="7" fillId="9" borderId="0" xfId="3" applyNumberFormat="1" applyFont="1" applyFill="1" applyProtection="1"/>
    <xf numFmtId="0" fontId="0" fillId="9" borderId="0" xfId="0" applyFont="1" applyFill="1" applyProtection="1"/>
    <xf numFmtId="0" fontId="8" fillId="9" borderId="0" xfId="0" applyFont="1" applyFill="1" applyProtection="1"/>
    <xf numFmtId="0" fontId="0" fillId="3" borderId="1" xfId="0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3" fontId="0" fillId="3" borderId="0" xfId="1" applyNumberFormat="1" applyFont="1" applyFill="1" applyBorder="1" applyProtection="1">
      <protection locked="0"/>
    </xf>
    <xf numFmtId="14" fontId="0" fillId="3" borderId="0" xfId="0" applyNumberFormat="1" applyFill="1" applyBorder="1" applyProtection="1">
      <protection locked="0"/>
    </xf>
    <xf numFmtId="10" fontId="0" fillId="3" borderId="8" xfId="0" applyNumberFormat="1" applyFill="1" applyBorder="1" applyProtection="1">
      <protection locked="0"/>
    </xf>
    <xf numFmtId="44" fontId="0" fillId="3" borderId="0" xfId="2" applyFont="1" applyFill="1" applyBorder="1" applyAlignment="1" applyProtection="1">
      <alignment horizontal="right"/>
      <protection locked="0"/>
    </xf>
    <xf numFmtId="170" fontId="0" fillId="3" borderId="0" xfId="2" applyNumberFormat="1" applyFont="1" applyFill="1" applyBorder="1" applyProtection="1">
      <protection locked="0"/>
    </xf>
    <xf numFmtId="169" fontId="0" fillId="3" borderId="0" xfId="2" applyNumberFormat="1" applyFont="1" applyFill="1" applyBorder="1" applyProtection="1">
      <protection locked="0"/>
    </xf>
    <xf numFmtId="0" fontId="0" fillId="3" borderId="0" xfId="3" applyNumberFormat="1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3" fontId="0" fillId="3" borderId="14" xfId="1" applyNumberFormat="1" applyFont="1" applyFill="1" applyBorder="1" applyProtection="1">
      <protection locked="0"/>
    </xf>
    <xf numFmtId="0" fontId="14" fillId="10" borderId="24" xfId="0" applyFont="1" applyFill="1" applyBorder="1" applyAlignment="1" applyProtection="1">
      <alignment horizontal="left" vertical="center" shrinkToFit="1"/>
      <protection locked="0"/>
    </xf>
    <xf numFmtId="0" fontId="14" fillId="10" borderId="23" xfId="0" applyFont="1" applyFill="1" applyBorder="1" applyAlignment="1" applyProtection="1">
      <alignment horizontal="left" vertical="center" shrinkToFit="1"/>
      <protection locked="0"/>
    </xf>
    <xf numFmtId="44" fontId="0" fillId="0" borderId="0" xfId="2" applyFont="1" applyBorder="1"/>
    <xf numFmtId="44" fontId="0" fillId="0" borderId="2" xfId="2" applyFont="1" applyBorder="1"/>
    <xf numFmtId="9" fontId="0" fillId="0" borderId="6" xfId="3" applyFont="1" applyBorder="1"/>
    <xf numFmtId="9" fontId="0" fillId="0" borderId="8" xfId="3" applyFont="1" applyBorder="1"/>
    <xf numFmtId="0" fontId="0" fillId="0" borderId="6" xfId="2" applyNumberFormat="1" applyFont="1" applyBorder="1"/>
    <xf numFmtId="0" fontId="0" fillId="0" borderId="5" xfId="0" applyNumberFormat="1" applyBorder="1"/>
    <xf numFmtId="0" fontId="0" fillId="0" borderId="0" xfId="2" applyNumberFormat="1" applyFont="1" applyBorder="1"/>
    <xf numFmtId="0" fontId="0" fillId="0" borderId="7" xfId="0" applyNumberFormat="1" applyBorder="1"/>
    <xf numFmtId="0" fontId="0" fillId="0" borderId="2" xfId="2" applyNumberFormat="1" applyFont="1" applyBorder="1"/>
    <xf numFmtId="0" fontId="0" fillId="0" borderId="8" xfId="2" applyNumberFormat="1" applyFont="1" applyBorder="1"/>
    <xf numFmtId="0" fontId="10" fillId="4" borderId="6" xfId="2" applyNumberFormat="1" applyFont="1" applyFill="1" applyBorder="1" applyProtection="1"/>
    <xf numFmtId="0" fontId="0" fillId="0" borderId="3" xfId="0" applyNumberFormat="1" applyBorder="1"/>
    <xf numFmtId="0" fontId="0" fillId="0" borderId="1" xfId="2" applyNumberFormat="1" applyFont="1" applyBorder="1"/>
    <xf numFmtId="2" fontId="0" fillId="0" borderId="4" xfId="2" applyNumberFormat="1" applyFont="1" applyBorder="1"/>
    <xf numFmtId="2" fontId="0" fillId="0" borderId="6" xfId="2" applyNumberFormat="1" applyFont="1" applyBorder="1"/>
    <xf numFmtId="2" fontId="0" fillId="0" borderId="8" xfId="2" applyNumberFormat="1" applyFont="1" applyBorder="1"/>
    <xf numFmtId="0" fontId="2" fillId="9" borderId="0" xfId="0" applyFont="1" applyFill="1" applyAlignment="1" applyProtection="1">
      <alignment horizontal="right"/>
    </xf>
    <xf numFmtId="167" fontId="2" fillId="9" borderId="0" xfId="0" applyNumberFormat="1" applyFont="1" applyFill="1" applyAlignment="1" applyProtection="1">
      <alignment horizontal="center"/>
    </xf>
    <xf numFmtId="0" fontId="3" fillId="9" borderId="0" xfId="0" applyFont="1" applyFill="1" applyAlignment="1" applyProtection="1">
      <alignment horizontal="center" vertical="center"/>
    </xf>
    <xf numFmtId="0" fontId="0" fillId="9" borderId="13" xfId="0" applyFont="1" applyFill="1" applyBorder="1" applyAlignment="1" applyProtection="1">
      <alignment horizontal="right" vertical="center"/>
    </xf>
    <xf numFmtId="0" fontId="0" fillId="9" borderId="14" xfId="0" applyFont="1" applyFill="1" applyBorder="1" applyAlignment="1" applyProtection="1">
      <alignment horizontal="right" vertical="center"/>
    </xf>
    <xf numFmtId="0" fontId="0" fillId="9" borderId="15" xfId="0" applyFont="1" applyFill="1" applyBorder="1" applyAlignment="1" applyProtection="1">
      <alignment horizontal="right" vertical="center"/>
    </xf>
    <xf numFmtId="0" fontId="2" fillId="9" borderId="0" xfId="0" applyFont="1" applyFill="1" applyAlignment="1" applyProtection="1">
      <alignment horizontal="right"/>
    </xf>
    <xf numFmtId="167" fontId="2" fillId="9" borderId="0" xfId="0" applyNumberFormat="1" applyFon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 patternType="darkGray"/>
      </fill>
    </dxf>
    <dxf>
      <fill>
        <patternFill patternType="darkGray">
          <fgColor auto="1"/>
        </patternFill>
      </fill>
    </dxf>
    <dxf>
      <fill>
        <patternFill patternType="darkGray">
          <fgColor auto="1"/>
        </patternFill>
      </fill>
    </dxf>
    <dxf>
      <fill>
        <patternFill patternType="darkGray"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40FA-7A13-4500-852D-EA03102CE7C1}">
  <sheetPr codeName="Sheet1">
    <pageSetUpPr fitToPage="1"/>
  </sheetPr>
  <dimension ref="A1:H45"/>
  <sheetViews>
    <sheetView tabSelected="1" zoomScaleNormal="100" workbookViewId="0">
      <selection activeCell="C3" sqref="C3"/>
    </sheetView>
  </sheetViews>
  <sheetFormatPr defaultRowHeight="15" x14ac:dyDescent="0.25"/>
  <cols>
    <col min="1" max="1" width="9.140625" style="77"/>
    <col min="2" max="2" width="41" style="77" bestFit="1" customWidth="1"/>
    <col min="3" max="3" width="35" style="77" bestFit="1" customWidth="1"/>
    <col min="4" max="4" width="2.5703125" style="77" customWidth="1"/>
    <col min="5" max="5" width="22.140625" style="77" customWidth="1"/>
    <col min="6" max="6" width="15.42578125" style="77" customWidth="1"/>
    <col min="7" max="16384" width="9.140625" style="77"/>
  </cols>
  <sheetData>
    <row r="1" spans="1:8" ht="18.75" x14ac:dyDescent="0.25">
      <c r="A1" s="155" t="s">
        <v>109</v>
      </c>
      <c r="B1" s="155"/>
      <c r="C1" s="79" t="s">
        <v>110</v>
      </c>
      <c r="D1" s="80"/>
    </row>
    <row r="2" spans="1:8" ht="13.5" customHeight="1" x14ac:dyDescent="0.25"/>
    <row r="3" spans="1:8" ht="13.5" customHeight="1" x14ac:dyDescent="0.25">
      <c r="B3" s="81" t="s">
        <v>15</v>
      </c>
      <c r="C3" s="124" t="s">
        <v>96</v>
      </c>
      <c r="D3" s="135" t="str">
        <f>HYPERLINK("#"&amp;ADDRESS(ROW(),COLUMN()-1),CHAR(128))</f>
        <v>€</v>
      </c>
      <c r="E3" s="82"/>
    </row>
    <row r="4" spans="1:8" ht="13.5" customHeight="1" x14ac:dyDescent="0.25">
      <c r="B4" s="83" t="s">
        <v>18</v>
      </c>
      <c r="C4" s="125" t="s">
        <v>77</v>
      </c>
      <c r="D4" s="136" t="str">
        <f>HYPERLINK("#"&amp;ADDRESS(ROW(),COLUMN()-1),CHAR(128))</f>
        <v>€</v>
      </c>
      <c r="E4" s="84"/>
      <c r="G4" s="85"/>
      <c r="H4" s="85"/>
    </row>
    <row r="5" spans="1:8" ht="13.5" customHeight="1" x14ac:dyDescent="0.25">
      <c r="B5" s="83" t="s">
        <v>102</v>
      </c>
      <c r="C5" s="126">
        <v>2200</v>
      </c>
      <c r="D5" s="26"/>
      <c r="E5" s="84" t="s">
        <v>103</v>
      </c>
      <c r="G5" s="85"/>
      <c r="H5" s="85"/>
    </row>
    <row r="6" spans="1:8" ht="13.5" customHeight="1" x14ac:dyDescent="0.25">
      <c r="B6" s="83" t="s">
        <v>19</v>
      </c>
      <c r="C6" s="127">
        <v>44197</v>
      </c>
      <c r="D6" s="26"/>
      <c r="E6" s="84"/>
      <c r="G6" s="85"/>
      <c r="H6" s="85"/>
    </row>
    <row r="7" spans="1:8" ht="13.5" customHeight="1" x14ac:dyDescent="0.25">
      <c r="B7" s="83" t="s">
        <v>78</v>
      </c>
      <c r="C7" s="127">
        <v>44621</v>
      </c>
      <c r="D7" s="26"/>
      <c r="E7" s="84"/>
      <c r="G7" s="85"/>
      <c r="H7" s="85"/>
    </row>
    <row r="8" spans="1:8" ht="13.5" customHeight="1" x14ac:dyDescent="0.25">
      <c r="B8" s="86" t="s">
        <v>87</v>
      </c>
      <c r="C8" s="87">
        <f>FLOOR(YEARFRAC(C7,C6),1)</f>
        <v>1</v>
      </c>
      <c r="D8" s="88"/>
      <c r="E8" s="89"/>
      <c r="G8" s="85"/>
      <c r="H8" s="85"/>
    </row>
    <row r="9" spans="1:8" ht="13.5" customHeight="1" x14ac:dyDescent="0.25">
      <c r="B9" s="90"/>
      <c r="C9" s="91"/>
    </row>
    <row r="10" spans="1:8" ht="13.5" customHeight="1" x14ac:dyDescent="0.25">
      <c r="B10" s="92" t="s">
        <v>86</v>
      </c>
      <c r="C10" s="93">
        <f>IFERROR(IF(ValGroup=5,9.66%,IF(OR(ValGroup=4,ValGroup=3),7.16%,8%)),"")</f>
        <v>0.08</v>
      </c>
    </row>
    <row r="11" spans="1:8" ht="13.5" customHeight="1" x14ac:dyDescent="0.25">
      <c r="B11" s="94" t="s">
        <v>13</v>
      </c>
      <c r="C11" s="128">
        <v>2.5000000000000001E-2</v>
      </c>
    </row>
    <row r="12" spans="1:8" ht="13.5" customHeight="1" x14ac:dyDescent="0.25">
      <c r="B12" s="94" t="s">
        <v>14</v>
      </c>
      <c r="C12" s="95">
        <f>IFERROR(C10+C11,"")</f>
        <v>0.10500000000000001</v>
      </c>
    </row>
    <row r="13" spans="1:8" ht="13.5" customHeight="1" thickBot="1" x14ac:dyDescent="0.3">
      <c r="B13" s="96"/>
      <c r="C13" s="91"/>
    </row>
    <row r="14" spans="1:8" ht="13.5" customHeight="1" x14ac:dyDescent="0.25">
      <c r="B14" s="97" t="s">
        <v>33</v>
      </c>
      <c r="C14" s="98"/>
      <c r="D14" s="99"/>
      <c r="E14" s="100"/>
    </row>
    <row r="15" spans="1:8" ht="13.5" customHeight="1" x14ac:dyDescent="0.25">
      <c r="B15" s="101" t="s">
        <v>54</v>
      </c>
      <c r="C15" s="129" t="s">
        <v>112</v>
      </c>
      <c r="D15" s="136" t="str">
        <f>HYPERLINK("#"&amp;ADDRESS(ROW(),COLUMN()-1),CHAR(128))</f>
        <v>€</v>
      </c>
      <c r="E15" s="102"/>
    </row>
    <row r="16" spans="1:8" ht="13.5" customHeight="1" x14ac:dyDescent="0.25">
      <c r="B16" s="101" t="s">
        <v>35</v>
      </c>
      <c r="C16" s="103">
        <f>VLOOKUP(Utility_Nm,DRV_MTC_Table,2,FALSE)</f>
        <v>8.8999999999999996E-2</v>
      </c>
      <c r="D16" s="26"/>
      <c r="E16" s="102" t="s">
        <v>49</v>
      </c>
    </row>
    <row r="17" spans="2:5" ht="13.5" customHeight="1" x14ac:dyDescent="0.25">
      <c r="B17" s="101" t="s">
        <v>34</v>
      </c>
      <c r="C17" s="130">
        <v>2.741E-2</v>
      </c>
      <c r="D17" s="136" t="str">
        <f>HYPERLINK("#"&amp;ADDRESS(ROW(),COLUMN()-1),CHAR(128))</f>
        <v>€</v>
      </c>
      <c r="E17" s="102" t="s">
        <v>49</v>
      </c>
    </row>
    <row r="18" spans="2:5" ht="13.5" customHeight="1" x14ac:dyDescent="0.25">
      <c r="B18" s="101" t="s">
        <v>88</v>
      </c>
      <c r="C18" s="130">
        <f>VLOOKUP(C15,DRV_MTC_Table,3,FALSE)</f>
        <v>2.4211635220125788E-2</v>
      </c>
      <c r="D18" s="26"/>
      <c r="E18" s="102" t="s">
        <v>49</v>
      </c>
    </row>
    <row r="19" spans="2:5" ht="13.5" customHeight="1" thickBot="1" x14ac:dyDescent="0.3">
      <c r="B19" s="156" t="s">
        <v>73</v>
      </c>
      <c r="C19" s="157"/>
      <c r="D19" s="157"/>
      <c r="E19" s="158"/>
    </row>
    <row r="20" spans="2:5" ht="13.5" customHeight="1" thickBot="1" x14ac:dyDescent="0.3">
      <c r="B20" s="90"/>
      <c r="C20" s="91"/>
    </row>
    <row r="21" spans="2:5" ht="13.5" customHeight="1" x14ac:dyDescent="0.25">
      <c r="B21" s="97" t="s">
        <v>106</v>
      </c>
      <c r="C21" s="98"/>
      <c r="D21" s="99"/>
      <c r="E21" s="100"/>
    </row>
    <row r="22" spans="2:5" ht="13.5" customHeight="1" x14ac:dyDescent="0.25">
      <c r="B22" s="101" t="s">
        <v>60</v>
      </c>
      <c r="C22" s="131">
        <v>0</v>
      </c>
      <c r="D22" s="26"/>
      <c r="E22" s="102" t="s">
        <v>63</v>
      </c>
    </row>
    <row r="23" spans="2:5" ht="13.5" customHeight="1" x14ac:dyDescent="0.25">
      <c r="B23" s="104" t="s">
        <v>74</v>
      </c>
      <c r="C23" s="131">
        <v>0</v>
      </c>
      <c r="D23" s="26"/>
      <c r="E23" s="102" t="s">
        <v>63</v>
      </c>
    </row>
    <row r="24" spans="2:5" ht="13.5" customHeight="1" x14ac:dyDescent="0.25">
      <c r="B24" s="101" t="s">
        <v>61</v>
      </c>
      <c r="C24" s="132">
        <v>2021</v>
      </c>
      <c r="D24" s="26"/>
      <c r="E24" s="102"/>
    </row>
    <row r="25" spans="2:5" ht="13.5" customHeight="1" x14ac:dyDescent="0.25">
      <c r="B25" s="101" t="s">
        <v>62</v>
      </c>
      <c r="C25" s="133">
        <v>20</v>
      </c>
      <c r="D25" s="26"/>
      <c r="E25" s="102" t="s">
        <v>75</v>
      </c>
    </row>
    <row r="26" spans="2:5" ht="13.5" customHeight="1" thickBot="1" x14ac:dyDescent="0.3">
      <c r="B26" s="105" t="s">
        <v>65</v>
      </c>
      <c r="C26" s="134">
        <v>0</v>
      </c>
      <c r="D26" s="106"/>
      <c r="E26" s="107" t="s">
        <v>64</v>
      </c>
    </row>
    <row r="27" spans="2:5" ht="13.5" customHeight="1" x14ac:dyDescent="0.25">
      <c r="B27" s="108"/>
    </row>
    <row r="28" spans="2:5" x14ac:dyDescent="0.25">
      <c r="B28" s="90"/>
      <c r="C28" s="91"/>
    </row>
    <row r="29" spans="2:5" hidden="1" x14ac:dyDescent="0.25"/>
    <row r="30" spans="2:5" hidden="1" x14ac:dyDescent="0.25">
      <c r="B30" s="109" t="s">
        <v>79</v>
      </c>
      <c r="C30" s="110">
        <f>IF(Tier1_Max_Cntrct_Qty&gt;0,Tier1_Max_Cntrct_Qty/(System_Size*365*24/1000),VLOOKUP(ValGroup,ValGroup_Tbl,3,FALSE))</f>
        <v>0.1948</v>
      </c>
    </row>
    <row r="31" spans="2:5" hidden="1" x14ac:dyDescent="0.25">
      <c r="B31" s="111" t="s">
        <v>32</v>
      </c>
      <c r="C31" s="112">
        <f>VLOOKUP(ValGroup,ValGroup_Tbl,4,FALSE)</f>
        <v>35</v>
      </c>
    </row>
    <row r="32" spans="2:5" hidden="1" x14ac:dyDescent="0.25">
      <c r="B32" s="111" t="s">
        <v>117</v>
      </c>
      <c r="C32" s="147">
        <f>IF(ValGroup=5,VLOOKUP(System_Size/1000,WindExpFctrList,3,TRUE),VLOOKUP(System_Size/1000,SolarExpFctrList,3,TRUE))</f>
        <v>1</v>
      </c>
    </row>
    <row r="33" spans="2:3" hidden="1" x14ac:dyDescent="0.25">
      <c r="B33" s="111" t="s">
        <v>85</v>
      </c>
      <c r="C33" s="113">
        <f>IF(C4="Land Based Wind",5,IF(C4="Solar - Fixed Axis",IF(System_Size&lt;5000,1,3),IF(System_Size&lt;5000,2,4)))</f>
        <v>1</v>
      </c>
    </row>
    <row r="34" spans="2:3" hidden="1" x14ac:dyDescent="0.25">
      <c r="B34" s="111" t="s">
        <v>15</v>
      </c>
      <c r="C34" s="114" t="str">
        <f>VLOOKUP(C3,NYISO_Zone_Lookup,2,FALSE)</f>
        <v>A</v>
      </c>
    </row>
    <row r="35" spans="2:3" hidden="1" x14ac:dyDescent="0.25">
      <c r="B35" s="111" t="s">
        <v>30</v>
      </c>
      <c r="C35" s="113">
        <v>25</v>
      </c>
    </row>
    <row r="36" spans="2:3" hidden="1" x14ac:dyDescent="0.25">
      <c r="B36" s="111" t="s">
        <v>0</v>
      </c>
      <c r="C36" s="113">
        <v>5.0000000000000001E-3</v>
      </c>
    </row>
    <row r="37" spans="2:3" hidden="1" x14ac:dyDescent="0.25">
      <c r="B37" s="111" t="s">
        <v>1</v>
      </c>
      <c r="C37" s="115">
        <f>C5</f>
        <v>2200</v>
      </c>
    </row>
    <row r="38" spans="2:3" hidden="1" x14ac:dyDescent="0.25">
      <c r="B38" s="111" t="s">
        <v>2</v>
      </c>
      <c r="C38" s="115">
        <f>IF(C8&lt;C39,C8,C8-C39)</f>
        <v>1</v>
      </c>
    </row>
    <row r="39" spans="2:3" hidden="1" x14ac:dyDescent="0.25">
      <c r="B39" s="111" t="s">
        <v>20</v>
      </c>
      <c r="C39" s="115">
        <v>15</v>
      </c>
    </row>
    <row r="40" spans="2:3" hidden="1" x14ac:dyDescent="0.25">
      <c r="B40" s="111" t="s">
        <v>27</v>
      </c>
      <c r="C40" s="116">
        <f>IF(System_Size&lt;5000,0.1,0.045)</f>
        <v>0.1</v>
      </c>
    </row>
    <row r="41" spans="2:3" hidden="1" x14ac:dyDescent="0.25">
      <c r="B41" s="111" t="s">
        <v>17</v>
      </c>
      <c r="C41" s="117">
        <v>0.02</v>
      </c>
    </row>
    <row r="42" spans="2:3" hidden="1" x14ac:dyDescent="0.25">
      <c r="B42" s="118" t="s">
        <v>58</v>
      </c>
      <c r="C42" s="119">
        <f>VLOOKUP(ValGroup,ValGroup_Tbl,5,FALSE)</f>
        <v>0.19</v>
      </c>
    </row>
    <row r="43" spans="2:3" hidden="1" x14ac:dyDescent="0.25">
      <c r="B43" s="120"/>
      <c r="C43" s="121"/>
    </row>
    <row r="44" spans="2:3" hidden="1" x14ac:dyDescent="0.25">
      <c r="B44" s="122"/>
    </row>
    <row r="45" spans="2:3" x14ac:dyDescent="0.25">
      <c r="B45" s="122"/>
      <c r="C45" s="123"/>
    </row>
  </sheetData>
  <sheetProtection algorithmName="SHA-512" hashValue="XoizrX+dWS1ajv2bIACPi5NaZt26uoibVPJoDb1AVDNrSt8nBRgjISxfbMBMUdlQG/pdvkhVscgSWUxUtxdLaA==" saltValue="eHADSKIGx5TLvWoA9fa4IA==" spinCount="100000" sheet="1" selectLockedCells="1"/>
  <mergeCells count="2">
    <mergeCell ref="A1:B1"/>
    <mergeCell ref="B19:E19"/>
  </mergeCells>
  <conditionalFormatting sqref="B14:E19">
    <cfRule type="expression" dxfId="3" priority="5">
      <formula>IF($C$33&lt;=2,FALSE,TRUE)</formula>
    </cfRule>
  </conditionalFormatting>
  <conditionalFormatting sqref="B21:E26">
    <cfRule type="expression" dxfId="2" priority="4">
      <formula>IF($C$33&gt;=3,FALSE,TRUE)</formula>
    </cfRule>
  </conditionalFormatting>
  <conditionalFormatting sqref="C22">
    <cfRule type="expression" dxfId="1" priority="2">
      <formula>IF($C$23&gt;0,TRUE,FALSE)</formula>
    </cfRule>
  </conditionalFormatting>
  <conditionalFormatting sqref="C23">
    <cfRule type="expression" dxfId="0" priority="1">
      <formula>IF($C$22&gt;0,TRUE,FALSE)</formula>
    </cfRule>
  </conditionalFormatting>
  <dataValidations count="2">
    <dataValidation type="list" allowBlank="1" showInputMessage="1" showErrorMessage="1" sqref="C4" xr:uid="{2BC5A2EE-4E02-44DA-9567-CDD9D2A913BB}">
      <formula1>Plant_Type_Tbl</formula1>
    </dataValidation>
    <dataValidation type="list" allowBlank="1" showInputMessage="1" showErrorMessage="1" sqref="C3" xr:uid="{492760BA-C616-41DE-AE45-77015553CDC6}">
      <formula1>NYISO_Name</formula1>
    </dataValidation>
  </dataValidations>
  <pageMargins left="0.25" right="0.25" top="0.25" bottom="0.25" header="0.3" footer="0.3"/>
  <pageSetup scale="94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4F41D0-7964-4380-A78B-5EC8C49E072C}">
          <x14:formula1>
            <xm:f>ModelFactors!$T$2:$T$4</xm:f>
          </x14:formula1>
          <xm:sqref>C17</xm:sqref>
        </x14:dataValidation>
        <x14:dataValidation type="list" allowBlank="1" showInputMessage="1" showErrorMessage="1" xr:uid="{E791E9FF-80DA-452A-B6C9-5077CC57DCFB}">
          <x14:formula1>
            <xm:f>ModelFactors!$O$2:$O$8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3508-94F7-43FD-8D20-7467B472FC60}">
  <dimension ref="A2:AA41"/>
  <sheetViews>
    <sheetView zoomScale="120" zoomScaleNormal="120" workbookViewId="0">
      <selection activeCell="D38" sqref="D38:E38"/>
    </sheetView>
  </sheetViews>
  <sheetFormatPr defaultRowHeight="15" x14ac:dyDescent="0.25"/>
  <cols>
    <col min="1" max="1" width="3.85546875" style="26" customWidth="1"/>
    <col min="2" max="2" width="19.28515625" style="77" bestFit="1" customWidth="1"/>
    <col min="3" max="27" width="11.28515625" style="77" customWidth="1"/>
    <col min="28" max="16384" width="9.140625" style="26"/>
  </cols>
  <sheetData>
    <row r="2" spans="2:27" ht="15.75" x14ac:dyDescent="0.25">
      <c r="B2" s="23"/>
      <c r="C2" s="24">
        <f t="shared" ref="C2:AA2" si="0">YEAR(Tax_Stat_Dt)+C3-System_Age</f>
        <v>2022</v>
      </c>
      <c r="D2" s="24">
        <f t="shared" si="0"/>
        <v>2023</v>
      </c>
      <c r="E2" s="24">
        <f t="shared" si="0"/>
        <v>2024</v>
      </c>
      <c r="F2" s="24">
        <f t="shared" si="0"/>
        <v>2025</v>
      </c>
      <c r="G2" s="24">
        <f t="shared" si="0"/>
        <v>2026</v>
      </c>
      <c r="H2" s="24">
        <f t="shared" si="0"/>
        <v>2027</v>
      </c>
      <c r="I2" s="24">
        <f t="shared" si="0"/>
        <v>2028</v>
      </c>
      <c r="J2" s="24">
        <f t="shared" si="0"/>
        <v>2029</v>
      </c>
      <c r="K2" s="24">
        <f t="shared" si="0"/>
        <v>2030</v>
      </c>
      <c r="L2" s="24">
        <f t="shared" si="0"/>
        <v>2031</v>
      </c>
      <c r="M2" s="24">
        <f t="shared" si="0"/>
        <v>2032</v>
      </c>
      <c r="N2" s="24">
        <f t="shared" si="0"/>
        <v>2033</v>
      </c>
      <c r="O2" s="24">
        <f t="shared" si="0"/>
        <v>2034</v>
      </c>
      <c r="P2" s="24">
        <f t="shared" si="0"/>
        <v>2035</v>
      </c>
      <c r="Q2" s="24">
        <f t="shared" si="0"/>
        <v>2036</v>
      </c>
      <c r="R2" s="24">
        <f t="shared" si="0"/>
        <v>2037</v>
      </c>
      <c r="S2" s="24">
        <f t="shared" si="0"/>
        <v>2038</v>
      </c>
      <c r="T2" s="24">
        <f t="shared" si="0"/>
        <v>2039</v>
      </c>
      <c r="U2" s="24">
        <f t="shared" si="0"/>
        <v>2040</v>
      </c>
      <c r="V2" s="24">
        <f t="shared" si="0"/>
        <v>2041</v>
      </c>
      <c r="W2" s="24">
        <f t="shared" si="0"/>
        <v>2042</v>
      </c>
      <c r="X2" s="24">
        <f t="shared" si="0"/>
        <v>2043</v>
      </c>
      <c r="Y2" s="24">
        <f t="shared" si="0"/>
        <v>2044</v>
      </c>
      <c r="Z2" s="24">
        <f t="shared" si="0"/>
        <v>2045</v>
      </c>
      <c r="AA2" s="25">
        <f t="shared" si="0"/>
        <v>2046</v>
      </c>
    </row>
    <row r="3" spans="2:27" s="30" customFormat="1" x14ac:dyDescent="0.25">
      <c r="B3" s="27" t="s">
        <v>12</v>
      </c>
      <c r="C3" s="28">
        <v>1</v>
      </c>
      <c r="D3" s="28">
        <v>2</v>
      </c>
      <c r="E3" s="28">
        <v>3</v>
      </c>
      <c r="F3" s="28">
        <v>4</v>
      </c>
      <c r="G3" s="28">
        <v>5</v>
      </c>
      <c r="H3" s="28">
        <v>6</v>
      </c>
      <c r="I3" s="28">
        <v>7</v>
      </c>
      <c r="J3" s="28">
        <v>8</v>
      </c>
      <c r="K3" s="28">
        <v>9</v>
      </c>
      <c r="L3" s="28">
        <v>10</v>
      </c>
      <c r="M3" s="28">
        <v>11</v>
      </c>
      <c r="N3" s="28">
        <v>12</v>
      </c>
      <c r="O3" s="28">
        <v>13</v>
      </c>
      <c r="P3" s="28">
        <v>14</v>
      </c>
      <c r="Q3" s="28">
        <v>15</v>
      </c>
      <c r="R3" s="28">
        <v>16</v>
      </c>
      <c r="S3" s="28">
        <v>17</v>
      </c>
      <c r="T3" s="28">
        <v>18</v>
      </c>
      <c r="U3" s="28">
        <v>19</v>
      </c>
      <c r="V3" s="28">
        <v>20</v>
      </c>
      <c r="W3" s="28">
        <v>21</v>
      </c>
      <c r="X3" s="28">
        <v>22</v>
      </c>
      <c r="Y3" s="28">
        <v>23</v>
      </c>
      <c r="Z3" s="28">
        <v>24</v>
      </c>
      <c r="AA3" s="29">
        <v>25</v>
      </c>
    </row>
    <row r="4" spans="2:27" x14ac:dyDescent="0.25">
      <c r="B4" s="31"/>
      <c r="C4" s="32"/>
      <c r="D4" s="32"/>
      <c r="E4" s="32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4"/>
    </row>
    <row r="5" spans="2:27" x14ac:dyDescent="0.25">
      <c r="B5" s="35" t="s">
        <v>16</v>
      </c>
      <c r="C5" s="36">
        <f t="shared" ref="C5:AA5" si="1">System_Size*24*365*Zone_Eff*IF(ValGroup&lt;5,(1-(Degradation*C3)),1)</f>
        <v>3735414.6720000003</v>
      </c>
      <c r="D5" s="36">
        <f t="shared" si="1"/>
        <v>3716643.7439999999</v>
      </c>
      <c r="E5" s="36">
        <f t="shared" si="1"/>
        <v>3697872.8160000001</v>
      </c>
      <c r="F5" s="36">
        <f t="shared" si="1"/>
        <v>3679101.8879999998</v>
      </c>
      <c r="G5" s="36">
        <f t="shared" si="1"/>
        <v>3660330.96</v>
      </c>
      <c r="H5" s="36">
        <f t="shared" si="1"/>
        <v>3641560.0320000001</v>
      </c>
      <c r="I5" s="36">
        <f t="shared" si="1"/>
        <v>3622789.1039999998</v>
      </c>
      <c r="J5" s="36">
        <f t="shared" si="1"/>
        <v>3604018.176</v>
      </c>
      <c r="K5" s="36">
        <f t="shared" si="1"/>
        <v>3585247.2480000001</v>
      </c>
      <c r="L5" s="36">
        <f t="shared" si="1"/>
        <v>3566476.32</v>
      </c>
      <c r="M5" s="36">
        <f t="shared" si="1"/>
        <v>3547705.392</v>
      </c>
      <c r="N5" s="36">
        <f t="shared" si="1"/>
        <v>3528934.4639999997</v>
      </c>
      <c r="O5" s="36">
        <f t="shared" si="1"/>
        <v>3510163.5360000003</v>
      </c>
      <c r="P5" s="36">
        <f t="shared" si="1"/>
        <v>3491392.608</v>
      </c>
      <c r="Q5" s="36">
        <f t="shared" si="1"/>
        <v>3472621.68</v>
      </c>
      <c r="R5" s="36">
        <f t="shared" si="1"/>
        <v>3453850.7520000003</v>
      </c>
      <c r="S5" s="36">
        <f t="shared" si="1"/>
        <v>3435079.824</v>
      </c>
      <c r="T5" s="36">
        <f t="shared" si="1"/>
        <v>3416308.8960000002</v>
      </c>
      <c r="U5" s="36">
        <f t="shared" si="1"/>
        <v>3397537.9680000003</v>
      </c>
      <c r="V5" s="36">
        <f t="shared" si="1"/>
        <v>3378767.04</v>
      </c>
      <c r="W5" s="36">
        <f t="shared" si="1"/>
        <v>3359996.1120000002</v>
      </c>
      <c r="X5" s="36">
        <f t="shared" si="1"/>
        <v>3341225.1840000004</v>
      </c>
      <c r="Y5" s="36">
        <f t="shared" si="1"/>
        <v>3322454.2560000001</v>
      </c>
      <c r="Z5" s="36">
        <f t="shared" si="1"/>
        <v>3303683.3280000002</v>
      </c>
      <c r="AA5" s="37">
        <f t="shared" si="1"/>
        <v>3284912.4</v>
      </c>
    </row>
    <row r="6" spans="2:27" hidden="1" x14ac:dyDescent="0.2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</row>
    <row r="7" spans="2:27" s="41" customFormat="1" ht="12" hidden="1" x14ac:dyDescent="0.2">
      <c r="B7" s="38" t="s">
        <v>57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</row>
    <row r="8" spans="2:27" s="41" customFormat="1" ht="12" hidden="1" x14ac:dyDescent="0.2">
      <c r="B8" s="42" t="s">
        <v>55</v>
      </c>
      <c r="C8" s="39">
        <f t="shared" ref="C8:AA8" si="2">IF((C3&lt;System_Age),0,C$5*1.065*VLOOKUP(NYISOzone,Forecast_Energy,MATCH(2022+C3-System_Age,Forecast_Energy_Header,0),FALSE)/1000)</f>
        <v>131281.14864744002</v>
      </c>
      <c r="D8" s="39">
        <f t="shared" si="2"/>
        <v>129711.05249778721</v>
      </c>
      <c r="E8" s="39">
        <f t="shared" si="2"/>
        <v>130198.03419126241</v>
      </c>
      <c r="F8" s="39">
        <f t="shared" si="2"/>
        <v>130869.33325804798</v>
      </c>
      <c r="G8" s="39">
        <f t="shared" si="2"/>
        <v>126732.18787772399</v>
      </c>
      <c r="H8" s="39">
        <f t="shared" si="2"/>
        <v>128176.54039634399</v>
      </c>
      <c r="I8" s="39">
        <f t="shared" si="2"/>
        <v>130293.7912648152</v>
      </c>
      <c r="J8" s="39">
        <f t="shared" si="2"/>
        <v>131729.74754734078</v>
      </c>
      <c r="K8" s="39">
        <f t="shared" si="2"/>
        <v>137343.83083874639</v>
      </c>
      <c r="L8" s="39">
        <f t="shared" si="2"/>
        <v>139283.56128693602</v>
      </c>
      <c r="M8" s="39">
        <f t="shared" si="2"/>
        <v>139419.50034751202</v>
      </c>
      <c r="N8" s="39">
        <f t="shared" si="2"/>
        <v>138982.49624983678</v>
      </c>
      <c r="O8" s="39">
        <f t="shared" si="2"/>
        <v>150131.09850013437</v>
      </c>
      <c r="P8" s="39">
        <f t="shared" si="2"/>
        <v>157211.12463154559</v>
      </c>
      <c r="Q8" s="39">
        <f t="shared" si="2"/>
        <v>154960.53353747999</v>
      </c>
      <c r="R8" s="39">
        <f t="shared" si="2"/>
        <v>161258.91007057921</v>
      </c>
      <c r="S8" s="39">
        <f t="shared" si="2"/>
        <v>166638.29857210797</v>
      </c>
      <c r="T8" s="39">
        <f t="shared" si="2"/>
        <v>166418.99688173758</v>
      </c>
      <c r="U8" s="39">
        <f t="shared" si="2"/>
        <v>168363.12535835762</v>
      </c>
      <c r="V8" s="39">
        <f t="shared" si="2"/>
        <v>172002.89370527997</v>
      </c>
      <c r="W8" s="39">
        <f t="shared" si="2"/>
        <v>175806.58856642639</v>
      </c>
      <c r="X8" s="39">
        <f t="shared" si="2"/>
        <v>173223.14668433281</v>
      </c>
      <c r="Y8" s="39">
        <f t="shared" si="2"/>
        <v>171931.52569847761</v>
      </c>
      <c r="Z8" s="39">
        <f t="shared" si="2"/>
        <v>171276.81919349759</v>
      </c>
      <c r="AA8" s="40">
        <f t="shared" si="2"/>
        <v>167959.70620505998</v>
      </c>
    </row>
    <row r="9" spans="2:27" s="41" customFormat="1" ht="12" hidden="1" x14ac:dyDescent="0.2">
      <c r="B9" s="42" t="s">
        <v>56</v>
      </c>
      <c r="C9" s="39">
        <f t="shared" ref="C9:AA9" si="3">IF((C3&lt;System_Age),0,System_Size*UCAP_Capacity_Factor*VLOOKUP(NYISOzone,Forecast_ICAP,MATCH(2022+C3-System_Age,Forecast_ICAP_Header,0),FALSE))</f>
        <v>5885.44</v>
      </c>
      <c r="D9" s="39">
        <f t="shared" si="3"/>
        <v>16707.46</v>
      </c>
      <c r="E9" s="39">
        <f t="shared" si="3"/>
        <v>23537.58</v>
      </c>
      <c r="F9" s="39">
        <f t="shared" si="3"/>
        <v>28549.399999999998</v>
      </c>
      <c r="G9" s="39">
        <f t="shared" si="3"/>
        <v>30497.279999999999</v>
      </c>
      <c r="H9" s="39">
        <f t="shared" si="3"/>
        <v>33991.759999999995</v>
      </c>
      <c r="I9" s="39">
        <f t="shared" si="3"/>
        <v>36069.22</v>
      </c>
      <c r="J9" s="39">
        <f t="shared" si="3"/>
        <v>38104.879999999997</v>
      </c>
      <c r="K9" s="39">
        <f t="shared" si="3"/>
        <v>38476.9</v>
      </c>
      <c r="L9" s="39">
        <f t="shared" si="3"/>
        <v>40086.200000000004</v>
      </c>
      <c r="M9" s="39">
        <f t="shared" si="3"/>
        <v>42778.12</v>
      </c>
      <c r="N9" s="39">
        <f t="shared" si="3"/>
        <v>42727.96</v>
      </c>
      <c r="O9" s="39">
        <f t="shared" si="3"/>
        <v>43735.34</v>
      </c>
      <c r="P9" s="39">
        <f t="shared" si="3"/>
        <v>44366.52</v>
      </c>
      <c r="Q9" s="39">
        <f t="shared" si="3"/>
        <v>45365.54</v>
      </c>
      <c r="R9" s="39">
        <f t="shared" si="3"/>
        <v>46694.78</v>
      </c>
      <c r="S9" s="39">
        <f t="shared" si="3"/>
        <v>47693.799999999996</v>
      </c>
      <c r="T9" s="39">
        <f t="shared" si="3"/>
        <v>48671.92</v>
      </c>
      <c r="U9" s="39">
        <f t="shared" si="3"/>
        <v>49817.240000000005</v>
      </c>
      <c r="V9" s="39">
        <f t="shared" si="3"/>
        <v>50816.259999999995</v>
      </c>
      <c r="W9" s="39">
        <f t="shared" si="3"/>
        <v>51832</v>
      </c>
      <c r="X9" s="39">
        <f t="shared" si="3"/>
        <v>52868.639999999999</v>
      </c>
      <c r="Y9" s="39">
        <f t="shared" si="3"/>
        <v>53926.179999999993</v>
      </c>
      <c r="Z9" s="39">
        <f t="shared" si="3"/>
        <v>55004.62</v>
      </c>
      <c r="AA9" s="40">
        <f t="shared" si="3"/>
        <v>56103.96</v>
      </c>
    </row>
    <row r="10" spans="2:27" s="41" customFormat="1" ht="12" hidden="1" x14ac:dyDescent="0.2">
      <c r="B10" s="42" t="s">
        <v>35</v>
      </c>
      <c r="C10" s="39">
        <f>IF((C3&lt;System_Age),0,(Inputs!$C$16*(INDEX(DRV_Hours_Year,MATCH(Utility_Nm,DRV_Utility_list,0),MATCH(C2,DRV_Years,0)))))</f>
        <v>29.369999999999997</v>
      </c>
      <c r="D10" s="39">
        <f>IF((D3&lt;System_Age),0,(Inputs!$C$16*(INDEX(DRV_Hours_Year,MATCH(Utility_Nm,DRV_Utility_list,0),MATCH(D2,DRV_Years,0)))))</f>
        <v>29.547999999999998</v>
      </c>
      <c r="E10" s="39">
        <f>IF((E3&lt;System_Age),0,(Inputs!$C$16*(INDEX(DRV_Hours_Year,MATCH(Utility_Nm,DRV_Utility_list,0),MATCH(E2,DRV_Years,0)))))</f>
        <v>29.547999999999998</v>
      </c>
      <c r="F10" s="39">
        <f>IF((F3&lt;System_Age),0,(Inputs!$C$16*(INDEX(DRV_Hours_Year,MATCH(Utility_Nm,DRV_Utility_list,0),MATCH(F2,DRV_Years,0)))))</f>
        <v>29.547999999999998</v>
      </c>
      <c r="G10" s="39">
        <f>IF((G3&lt;System_Age),0,(Inputs!$C$16*(INDEX(DRV_Hours_Year,MATCH(Utility_Nm,DRV_Utility_list,0),MATCH(G2,DRV_Years,0)))))</f>
        <v>29.814999999999998</v>
      </c>
      <c r="H10" s="39">
        <f>IF((H3&lt;System_Age),0,(Inputs!$C$16*(INDEX(DRV_Hours_Year,MATCH(Utility_Nm,DRV_Utility_list,0),MATCH(H2,DRV_Years,0)))))</f>
        <v>29.636999999999997</v>
      </c>
      <c r="I10" s="39">
        <f>IF((I3&lt;System_Age),0,(Inputs!$C$16*(INDEX(DRV_Hours_Year,MATCH(Utility_Nm,DRV_Utility_list,0),MATCH(I2,DRV_Years,0)))))</f>
        <v>29.369999999999997</v>
      </c>
      <c r="J10" s="39">
        <f>IF((J3&lt;System_Age),0,(Inputs!$C$16*(INDEX(DRV_Hours_Year,MATCH(Utility_Nm,DRV_Utility_list,0),MATCH(J2,DRV_Years,0)))))</f>
        <v>29.547999999999998</v>
      </c>
      <c r="K10" s="39">
        <f>IF((K3&lt;System_Age),0,(Inputs!$C$16*(INDEX(DRV_Hours_Year,MATCH(Utility_Nm,DRV_Utility_list,0),MATCH(K2,DRV_Years,0)))))</f>
        <v>29.547999999999998</v>
      </c>
      <c r="L10" s="39">
        <f>IF((L3&lt;System_Age),0,(Inputs!$C$16*(INDEX(DRV_Hours_Year,MATCH(Utility_Nm,DRV_Utility_list,0),MATCH(L2,DRV_Years,0)))))</f>
        <v>29.547999999999998</v>
      </c>
      <c r="M10" s="39">
        <f>IF((M3&lt;System_Age),0,(Inputs!$C$16*(INDEX(DRV_Hours_Year,MATCH(Utility_Nm,DRV_Utility_list,0),MATCH(M2,DRV_Years,0)))))</f>
        <v>29.814999999999998</v>
      </c>
      <c r="N10" s="39">
        <f>IF((N3&lt;System_Age),0,(Inputs!$C$16*(INDEX(DRV_Hours_Year,MATCH(Utility_Nm,DRV_Utility_list,0),MATCH(N2,DRV_Years,0)))))</f>
        <v>29.369999999999997</v>
      </c>
      <c r="O10" s="39">
        <f>IF((O3&lt;System_Age),0,(Inputs!$C$16*(INDEX(DRV_Hours_Year,MATCH(Utility_Nm,DRV_Utility_list,0),MATCH(O2,DRV_Years,0)))))</f>
        <v>29.547999999999998</v>
      </c>
      <c r="P10" s="39">
        <f>IF((P3&lt;System_Age),0,(Inputs!$C$16*(INDEX(DRV_Hours_Year,MATCH(Utility_Nm,DRV_Utility_list,0),MATCH(P2,DRV_Years,0)))))</f>
        <v>29.547999999999998</v>
      </c>
      <c r="Q10" s="39">
        <f>IF((Q3&lt;System_Age),0,(Inputs!$C$16*(INDEX(DRV_Hours_Year,MATCH(Utility_Nm,DRV_Utility_list,0),MATCH(Q2,DRV_Years,0)))))</f>
        <v>29.547999999999998</v>
      </c>
      <c r="R10" s="39">
        <f>IF((R3&lt;System_Age),0,(Inputs!$C$16*(INDEX(DRV_Hours_Year,MATCH(Utility_Nm,DRV_Utility_list,0),MATCH(R2,DRV_Years,0)))))</f>
        <v>29.814999999999998</v>
      </c>
      <c r="S10" s="39">
        <f>IF((S3&lt;System_Age),0,(Inputs!$C$16*(INDEX(DRV_Hours_Year,MATCH(Utility_Nm,DRV_Utility_list,0),MATCH(S2,DRV_Years,0)))))</f>
        <v>29.636999999999997</v>
      </c>
      <c r="T10" s="39">
        <f>IF((T3&lt;System_Age),0,(Inputs!$C$16*(INDEX(DRV_Hours_Year,MATCH(Utility_Nm,DRV_Utility_list,0),MATCH(T2,DRV_Years,0)))))</f>
        <v>29.369999999999997</v>
      </c>
      <c r="U10" s="39">
        <f>IF((U3&lt;System_Age),0,(Inputs!$C$16*(INDEX(DRV_Hours_Year,MATCH(Utility_Nm,DRV_Utility_list,0),MATCH(U2,DRV_Years,0)))))</f>
        <v>29.547999999999998</v>
      </c>
      <c r="V10" s="39">
        <f>IF((V3&lt;System_Age),0,(Inputs!$C$16*(INDEX(DRV_Hours_Year,MATCH(Utility_Nm,DRV_Utility_list,0),MATCH(V2,DRV_Years,0)))))</f>
        <v>29.547999999999998</v>
      </c>
      <c r="W10" s="39">
        <f>IF((W3&lt;System_Age),0,(Inputs!$C$16*(INDEX(DRV_Hours_Year,MATCH(Utility_Nm,DRV_Utility_list,0),MATCH(W2,DRV_Years,0)))))</f>
        <v>29.547999999999998</v>
      </c>
      <c r="X10" s="39">
        <f>IF((X3&lt;System_Age),0,(Inputs!$C$16*(INDEX(DRV_Hours_Year,MATCH(Utility_Nm,DRV_Utility_list,0),MATCH(X2,DRV_Years,0)))))</f>
        <v>29.814999999999998</v>
      </c>
      <c r="Y10" s="39">
        <f>IF((Y3&lt;System_Age),0,(Inputs!$C$16*(INDEX(DRV_Hours_Year,MATCH(Utility_Nm,DRV_Utility_list,0),MATCH(Y2,DRV_Years,0)))))</f>
        <v>29.192</v>
      </c>
      <c r="Z10" s="39">
        <f>IF((Z3&lt;System_Age),0,(Inputs!$C$16*(INDEX(DRV_Hours_Year,MATCH(Utility_Nm,DRV_Utility_list,0),MATCH(Z2,DRV_Years,0)))))</f>
        <v>29.547999999999998</v>
      </c>
      <c r="AA10" s="40">
        <f>IF((AA3&lt;System_Age),0,(Inputs!$C$16*(INDEX(DRV_Hours_Year,MATCH(Utility_Nm,DRV_Utility_list,0),MATCH(AA2,DRV_Years,0)))))</f>
        <v>29.547999999999998</v>
      </c>
    </row>
    <row r="11" spans="2:27" s="41" customFormat="1" ht="12" hidden="1" x14ac:dyDescent="0.2">
      <c r="B11" s="42" t="s">
        <v>34</v>
      </c>
      <c r="C11" s="39">
        <f>IF((C3&lt;System_Age),0,C$5*(Inputs!$C$17))</f>
        <v>102387.71615952</v>
      </c>
      <c r="D11" s="39">
        <f>IF((D3&lt;System_Age),0,D$5*(Inputs!$C$17))</f>
        <v>101873.20502304001</v>
      </c>
      <c r="E11" s="39">
        <f>IF((E3&lt;System_Age),0,E$5*(Inputs!$C$17))</f>
        <v>101358.69388656001</v>
      </c>
      <c r="F11" s="39">
        <f>IF((F3&lt;System_Age),0,F$5*(Inputs!$C$17))</f>
        <v>100844.18275008</v>
      </c>
      <c r="G11" s="39">
        <f>IF((G3&lt;System_Age),0,G$5*(Inputs!$C$17))</f>
        <v>100329.6716136</v>
      </c>
      <c r="H11" s="39">
        <f>IF((H3&lt;System_Age),0,H$5*(Inputs!$C$17))</f>
        <v>99815.160477120007</v>
      </c>
      <c r="I11" s="39">
        <f>IF((I3&lt;System_Age),0,I$5*(Inputs!$C$17))</f>
        <v>99300.649340639997</v>
      </c>
      <c r="J11" s="39">
        <f>IF((J3&lt;System_Age),0,J$5*(Inputs!$C$17))</f>
        <v>98786.138204160001</v>
      </c>
      <c r="K11" s="39">
        <f>IF((K3&lt;System_Age),0,K$5*(Inputs!$C$17))</f>
        <v>98271.627067680005</v>
      </c>
      <c r="L11" s="39">
        <f>IF((L3&lt;System_Age),0,L$5*(Inputs!$C$17))</f>
        <v>97757.115931199995</v>
      </c>
      <c r="M11" s="39">
        <f>IF((M3&lt;System_Age),0,M$5*(Inputs!$C$17))</f>
        <v>97242.604794719999</v>
      </c>
      <c r="N11" s="39">
        <f>IF((N3&lt;System_Age),0,N$5*(Inputs!$C$17))</f>
        <v>96728.093658239988</v>
      </c>
      <c r="O11" s="39">
        <f>IF((O3&lt;System_Age),0,O$5*(Inputs!$C$17))</f>
        <v>96213.582521760007</v>
      </c>
      <c r="P11" s="39">
        <f>IF((P3&lt;System_Age),0,P$5*(Inputs!$C$17))</f>
        <v>95699.071385279996</v>
      </c>
      <c r="Q11" s="39">
        <f>IF((Q3&lt;System_Age),0,Q$5*(Inputs!$C$17))</f>
        <v>95184.5602488</v>
      </c>
      <c r="R11" s="39">
        <f>IF((R3&lt;System_Age),0,R$5*(Inputs!$C$17))</f>
        <v>94670.049112320004</v>
      </c>
      <c r="S11" s="39">
        <f>IF((S3&lt;System_Age),0,S$5*(Inputs!$C$17))</f>
        <v>94155.537975840009</v>
      </c>
      <c r="T11" s="39">
        <f>IF((T3&lt;System_Age),0,T$5*(Inputs!$C$17))</f>
        <v>93641.026839360013</v>
      </c>
      <c r="U11" s="39">
        <f>IF((U3&lt;System_Age),0,U$5*(Inputs!$C$17))</f>
        <v>93126.515702880017</v>
      </c>
      <c r="V11" s="39">
        <f>IF((V3&lt;System_Age),0,V$5*(Inputs!$C$17))</f>
        <v>92612.004566400006</v>
      </c>
      <c r="W11" s="39">
        <f>IF((W3&lt;System_Age),0,W$5*(Inputs!$C$17))</f>
        <v>92097.49342992001</v>
      </c>
      <c r="X11" s="39">
        <f>IF((X3&lt;System_Age),0,X$5*(Inputs!$C$17))</f>
        <v>91582.982293440014</v>
      </c>
      <c r="Y11" s="39">
        <f>IF((Y3&lt;System_Age),0,Y$5*(Inputs!$C$17))</f>
        <v>91068.471156960004</v>
      </c>
      <c r="Z11" s="39">
        <f>IF((Z3&lt;System_Age),0,Z$5*(Inputs!$C$17))</f>
        <v>90553.960020480008</v>
      </c>
      <c r="AA11" s="40">
        <f>IF((AA3&lt;System_Age),0,AA$5*(Inputs!$C$17))</f>
        <v>90039.448883999998</v>
      </c>
    </row>
    <row r="12" spans="2:27" s="41" customFormat="1" ht="12" hidden="1" x14ac:dyDescent="0.2">
      <c r="B12" s="42" t="s">
        <v>108</v>
      </c>
      <c r="C12" s="39">
        <f>IF((C3&lt;System_Age),0,C$5*(Inputs!$C$18))</f>
        <v>90440.497434369827</v>
      </c>
      <c r="D12" s="39">
        <f>IF((D3&lt;System_Age),0,D$5*(Inputs!$C$18))</f>
        <v>89986.022572890564</v>
      </c>
      <c r="E12" s="39">
        <f>IF((E3&lt;System_Age),0,E$5*(Inputs!$C$18))</f>
        <v>89531.547711411331</v>
      </c>
      <c r="F12" s="39">
        <f>IF((F3&lt;System_Age),0,F$5*(Inputs!$C$18))</f>
        <v>89077.072849932083</v>
      </c>
      <c r="G12" s="39">
        <f>IF((G3&lt;System_Age),0,G$5*(Inputs!$C$18))</f>
        <v>88622.597988452835</v>
      </c>
      <c r="H12" s="39">
        <f>IF((H3&lt;System_Age),0,H$5*(Inputs!$C$18))</f>
        <v>88168.123126973587</v>
      </c>
      <c r="I12" s="39">
        <f>IF((I3&lt;System_Age),0,I$5*(Inputs!$C$18))</f>
        <v>87713.648265494339</v>
      </c>
      <c r="J12" s="39">
        <f>IF((J3&lt;System_Age),0,J$5*(Inputs!$C$18))</f>
        <v>87259.173404015106</v>
      </c>
      <c r="K12" s="39">
        <f>IF((K3&lt;System_Age),0,K$5*(Inputs!$C$18))</f>
        <v>86804.698542535858</v>
      </c>
      <c r="L12" s="39">
        <f>IF((L3&lt;System_Age),0,L$5*(Inputs!$C$18))</f>
        <v>86350.22368105661</v>
      </c>
      <c r="M12" s="39">
        <f>IF((M3&lt;System_Age),0,M$5*(Inputs!$C$18))</f>
        <v>85895.748819577362</v>
      </c>
      <c r="N12" s="39">
        <f>IF((N3&lt;System_Age),0,N$5*(Inputs!$C$18))</f>
        <v>85441.273958098114</v>
      </c>
      <c r="O12" s="39">
        <f>IF((O3&lt;System_Age),0,O$5*(Inputs!$C$18))</f>
        <v>84986.799096618881</v>
      </c>
      <c r="P12" s="39">
        <f>IF((P3&lt;System_Age),0,P$5*(Inputs!$C$18))</f>
        <v>84532.324235139633</v>
      </c>
      <c r="Q12" s="39">
        <f>IF((Q3&lt;System_Age),0,Q$5*(Inputs!$C$18))</f>
        <v>84077.849373660385</v>
      </c>
      <c r="R12" s="39">
        <f>IF((R3&lt;System_Age),0,R$5*(Inputs!$C$18))</f>
        <v>83623.374512181152</v>
      </c>
      <c r="S12" s="39">
        <f>IF((S3&lt;System_Age),0,S$5*(Inputs!$C$18))</f>
        <v>83168.899650701889</v>
      </c>
      <c r="T12" s="39">
        <f>IF((T3&lt;System_Age),0,T$5*(Inputs!$C$18))</f>
        <v>82714.424789222656</v>
      </c>
      <c r="U12" s="39">
        <f>IF((U3&lt;System_Age),0,U$5*(Inputs!$C$18))</f>
        <v>82259.949927743408</v>
      </c>
      <c r="V12" s="39">
        <f>IF((V3&lt;System_Age),0,V$5*(Inputs!$C$18))</f>
        <v>81805.47506626416</v>
      </c>
      <c r="W12" s="39">
        <f>IF((W3&lt;System_Age),0,W$5*(Inputs!$C$18))</f>
        <v>81351.000204784912</v>
      </c>
      <c r="X12" s="39">
        <f>IF((X3&lt;System_Age),0,X$5*(Inputs!$C$18))</f>
        <v>80896.525343305679</v>
      </c>
      <c r="Y12" s="39">
        <f>IF((Y3&lt;System_Age),0,Y$5*(Inputs!$C$18))</f>
        <v>80442.050481826416</v>
      </c>
      <c r="Z12" s="39">
        <f>IF((Z3&lt;System_Age),0,Z$5*(Inputs!$C$18))</f>
        <v>79987.575620347183</v>
      </c>
      <c r="AA12" s="40">
        <f>IF((AA3&lt;System_Age),0,AA$5*(Inputs!$C$18))</f>
        <v>79533.100758867935</v>
      </c>
    </row>
    <row r="13" spans="2:27" s="41" customFormat="1" ht="12" hidden="1" x14ac:dyDescent="0.2">
      <c r="B13" s="43" t="s">
        <v>36</v>
      </c>
      <c r="C13" s="44">
        <f>SUM(C8:C12)</f>
        <v>330024.17224132986</v>
      </c>
      <c r="D13" s="44">
        <f t="shared" ref="D13:AA13" si="4">SUM(D8:D12)</f>
        <v>338307.28809371777</v>
      </c>
      <c r="E13" s="44">
        <f t="shared" si="4"/>
        <v>344655.40378923377</v>
      </c>
      <c r="F13" s="44">
        <f t="shared" si="4"/>
        <v>349369.53685806005</v>
      </c>
      <c r="G13" s="44">
        <f t="shared" si="4"/>
        <v>346211.55247977679</v>
      </c>
      <c r="H13" s="44">
        <f t="shared" si="4"/>
        <v>350181.22100043757</v>
      </c>
      <c r="I13" s="44">
        <f t="shared" si="4"/>
        <v>353406.67887094949</v>
      </c>
      <c r="J13" s="44">
        <f t="shared" si="4"/>
        <v>355909.48715551593</v>
      </c>
      <c r="K13" s="44">
        <f t="shared" si="4"/>
        <v>360926.60444896226</v>
      </c>
      <c r="L13" s="44">
        <f t="shared" si="4"/>
        <v>363506.64889919269</v>
      </c>
      <c r="M13" s="44">
        <f t="shared" si="4"/>
        <v>365365.78896180936</v>
      </c>
      <c r="N13" s="44">
        <f t="shared" si="4"/>
        <v>363909.1938661749</v>
      </c>
      <c r="O13" s="44">
        <f t="shared" si="4"/>
        <v>375096.36811851326</v>
      </c>
      <c r="P13" s="44">
        <f t="shared" si="4"/>
        <v>381838.58825196524</v>
      </c>
      <c r="Q13" s="44">
        <f t="shared" si="4"/>
        <v>379618.03115994041</v>
      </c>
      <c r="R13" s="44">
        <f t="shared" si="4"/>
        <v>386276.92869508034</v>
      </c>
      <c r="S13" s="44">
        <f t="shared" si="4"/>
        <v>391686.17319864989</v>
      </c>
      <c r="T13" s="44">
        <f t="shared" si="4"/>
        <v>391475.73851032025</v>
      </c>
      <c r="U13" s="44">
        <f t="shared" si="4"/>
        <v>393596.37898898101</v>
      </c>
      <c r="V13" s="44">
        <f t="shared" si="4"/>
        <v>397266.18133794417</v>
      </c>
      <c r="W13" s="44">
        <f t="shared" si="4"/>
        <v>401116.63020113134</v>
      </c>
      <c r="X13" s="44">
        <f t="shared" si="4"/>
        <v>398601.10932107852</v>
      </c>
      <c r="Y13" s="44">
        <f t="shared" si="4"/>
        <v>397397.41933726403</v>
      </c>
      <c r="Z13" s="44">
        <f t="shared" si="4"/>
        <v>396852.52283432474</v>
      </c>
      <c r="AA13" s="45">
        <f t="shared" si="4"/>
        <v>393665.76384792791</v>
      </c>
    </row>
    <row r="14" spans="2:27" s="41" customFormat="1" ht="12" hidden="1" x14ac:dyDescent="0.2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</row>
    <row r="15" spans="2:27" s="41" customFormat="1" ht="12" hidden="1" x14ac:dyDescent="0.2">
      <c r="B15" s="49" t="s">
        <v>67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1"/>
    </row>
    <row r="16" spans="2:27" s="41" customFormat="1" ht="12" hidden="1" x14ac:dyDescent="0.2">
      <c r="B16" s="52" t="s">
        <v>55</v>
      </c>
      <c r="C16" s="50">
        <f>C8+C9</f>
        <v>137166.58864744002</v>
      </c>
      <c r="D16" s="50">
        <f t="shared" ref="D16:AA16" si="5">D8+D9</f>
        <v>146418.51249778722</v>
      </c>
      <c r="E16" s="50">
        <f t="shared" si="5"/>
        <v>153735.6141912624</v>
      </c>
      <c r="F16" s="50">
        <f t="shared" si="5"/>
        <v>159418.73325804799</v>
      </c>
      <c r="G16" s="50">
        <f t="shared" si="5"/>
        <v>157229.46787772398</v>
      </c>
      <c r="H16" s="50">
        <f t="shared" si="5"/>
        <v>162168.30039634398</v>
      </c>
      <c r="I16" s="50">
        <f t="shared" si="5"/>
        <v>166363.0112648152</v>
      </c>
      <c r="J16" s="50">
        <f t="shared" si="5"/>
        <v>169834.62754734079</v>
      </c>
      <c r="K16" s="50">
        <f t="shared" si="5"/>
        <v>175820.73083874639</v>
      </c>
      <c r="L16" s="50">
        <f t="shared" si="5"/>
        <v>179369.76128693603</v>
      </c>
      <c r="M16" s="50">
        <f t="shared" si="5"/>
        <v>182197.62034751201</v>
      </c>
      <c r="N16" s="50">
        <f t="shared" si="5"/>
        <v>181710.45624983677</v>
      </c>
      <c r="O16" s="50">
        <f t="shared" si="5"/>
        <v>193866.43850013436</v>
      </c>
      <c r="P16" s="50">
        <f t="shared" si="5"/>
        <v>201577.64463154558</v>
      </c>
      <c r="Q16" s="50">
        <f t="shared" si="5"/>
        <v>200326.07353748</v>
      </c>
      <c r="R16" s="50">
        <f t="shared" si="5"/>
        <v>207953.69007057921</v>
      </c>
      <c r="S16" s="50">
        <f t="shared" si="5"/>
        <v>214332.09857210796</v>
      </c>
      <c r="T16" s="50">
        <f t="shared" si="5"/>
        <v>215090.91688173759</v>
      </c>
      <c r="U16" s="50">
        <f t="shared" si="5"/>
        <v>218180.36535835761</v>
      </c>
      <c r="V16" s="50">
        <f t="shared" si="5"/>
        <v>222819.15370527998</v>
      </c>
      <c r="W16" s="50">
        <f t="shared" si="5"/>
        <v>227638.58856642639</v>
      </c>
      <c r="X16" s="50">
        <f t="shared" si="5"/>
        <v>226091.78668433282</v>
      </c>
      <c r="Y16" s="50">
        <f t="shared" si="5"/>
        <v>225857.7056984776</v>
      </c>
      <c r="Z16" s="50">
        <f t="shared" si="5"/>
        <v>226281.43919349759</v>
      </c>
      <c r="AA16" s="51">
        <f t="shared" si="5"/>
        <v>224063.66620505997</v>
      </c>
    </row>
    <row r="17" spans="1:27" s="41" customFormat="1" ht="12" hidden="1" x14ac:dyDescent="0.2">
      <c r="B17" s="52" t="s">
        <v>68</v>
      </c>
      <c r="C17" s="50">
        <f t="shared" ref="C17:AA17" si="6">IF(C2&lt;=(Tier1_Contract_Start+Tier1_Contract_Term),Tier1_Fixed_REC_price*Tier1_Max_Cntrct_Qty,0)</f>
        <v>0</v>
      </c>
      <c r="D17" s="50">
        <f t="shared" si="6"/>
        <v>0</v>
      </c>
      <c r="E17" s="50">
        <f t="shared" si="6"/>
        <v>0</v>
      </c>
      <c r="F17" s="50">
        <f t="shared" si="6"/>
        <v>0</v>
      </c>
      <c r="G17" s="50">
        <f t="shared" si="6"/>
        <v>0</v>
      </c>
      <c r="H17" s="50">
        <f t="shared" si="6"/>
        <v>0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6"/>
        <v>0</v>
      </c>
      <c r="S17" s="50">
        <f t="shared" si="6"/>
        <v>0</v>
      </c>
      <c r="T17" s="50">
        <f t="shared" si="6"/>
        <v>0</v>
      </c>
      <c r="U17" s="50">
        <f t="shared" si="6"/>
        <v>0</v>
      </c>
      <c r="V17" s="50">
        <f t="shared" si="6"/>
        <v>0</v>
      </c>
      <c r="W17" s="50">
        <f t="shared" si="6"/>
        <v>0</v>
      </c>
      <c r="X17" s="50">
        <f t="shared" si="6"/>
        <v>0</v>
      </c>
      <c r="Y17" s="50">
        <f t="shared" si="6"/>
        <v>0</v>
      </c>
      <c r="Z17" s="50">
        <f t="shared" si="6"/>
        <v>0</v>
      </c>
      <c r="AA17" s="51">
        <f t="shared" si="6"/>
        <v>0</v>
      </c>
    </row>
    <row r="18" spans="1:27" s="41" customFormat="1" ht="12" hidden="1" x14ac:dyDescent="0.2">
      <c r="B18" s="53" t="s">
        <v>36</v>
      </c>
      <c r="C18" s="54">
        <f>SUM(C16:C17)</f>
        <v>137166.58864744002</v>
      </c>
      <c r="D18" s="54">
        <f t="shared" ref="D18:AA18" si="7">SUM(D16:D17)</f>
        <v>146418.51249778722</v>
      </c>
      <c r="E18" s="54">
        <f t="shared" si="7"/>
        <v>153735.6141912624</v>
      </c>
      <c r="F18" s="54">
        <f t="shared" si="7"/>
        <v>159418.73325804799</v>
      </c>
      <c r="G18" s="54">
        <f t="shared" si="7"/>
        <v>157229.46787772398</v>
      </c>
      <c r="H18" s="54">
        <f t="shared" si="7"/>
        <v>162168.30039634398</v>
      </c>
      <c r="I18" s="54">
        <f t="shared" si="7"/>
        <v>166363.0112648152</v>
      </c>
      <c r="J18" s="54">
        <f t="shared" si="7"/>
        <v>169834.62754734079</v>
      </c>
      <c r="K18" s="54">
        <f t="shared" si="7"/>
        <v>175820.73083874639</v>
      </c>
      <c r="L18" s="54">
        <f t="shared" si="7"/>
        <v>179369.76128693603</v>
      </c>
      <c r="M18" s="54">
        <f t="shared" si="7"/>
        <v>182197.62034751201</v>
      </c>
      <c r="N18" s="54">
        <f t="shared" si="7"/>
        <v>181710.45624983677</v>
      </c>
      <c r="O18" s="54">
        <f t="shared" si="7"/>
        <v>193866.43850013436</v>
      </c>
      <c r="P18" s="54">
        <f t="shared" si="7"/>
        <v>201577.64463154558</v>
      </c>
      <c r="Q18" s="54">
        <f t="shared" si="7"/>
        <v>200326.07353748</v>
      </c>
      <c r="R18" s="54">
        <f t="shared" si="7"/>
        <v>207953.69007057921</v>
      </c>
      <c r="S18" s="54">
        <f t="shared" si="7"/>
        <v>214332.09857210796</v>
      </c>
      <c r="T18" s="54">
        <f t="shared" si="7"/>
        <v>215090.91688173759</v>
      </c>
      <c r="U18" s="54">
        <f t="shared" si="7"/>
        <v>218180.36535835761</v>
      </c>
      <c r="V18" s="54">
        <f t="shared" si="7"/>
        <v>222819.15370527998</v>
      </c>
      <c r="W18" s="54">
        <f t="shared" si="7"/>
        <v>227638.58856642639</v>
      </c>
      <c r="X18" s="54">
        <f t="shared" si="7"/>
        <v>226091.78668433282</v>
      </c>
      <c r="Y18" s="54">
        <f t="shared" si="7"/>
        <v>225857.7056984776</v>
      </c>
      <c r="Z18" s="54">
        <f t="shared" si="7"/>
        <v>226281.43919349759</v>
      </c>
      <c r="AA18" s="55">
        <f t="shared" si="7"/>
        <v>224063.66620505997</v>
      </c>
    </row>
    <row r="19" spans="1:27" s="41" customFormat="1" ht="12" hidden="1" x14ac:dyDescent="0.2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</row>
    <row r="20" spans="1:27" s="41" customFormat="1" ht="12" hidden="1" x14ac:dyDescent="0.2">
      <c r="B20" s="49" t="s">
        <v>66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</row>
    <row r="21" spans="1:27" s="41" customFormat="1" ht="12" hidden="1" x14ac:dyDescent="0.2">
      <c r="B21" s="52" t="s">
        <v>37</v>
      </c>
      <c r="C21" s="50">
        <f t="shared" ref="C21:AA21" si="8">IF((C3&lt;System_Age),0,IF(C3&gt;20,C8+C9,C$5/1000*Tier1_Index_REC_Price))</f>
        <v>0</v>
      </c>
      <c r="D21" s="50">
        <f t="shared" si="8"/>
        <v>0</v>
      </c>
      <c r="E21" s="50">
        <f t="shared" si="8"/>
        <v>0</v>
      </c>
      <c r="F21" s="50">
        <f t="shared" si="8"/>
        <v>0</v>
      </c>
      <c r="G21" s="50">
        <f t="shared" si="8"/>
        <v>0</v>
      </c>
      <c r="H21" s="50">
        <f t="shared" si="8"/>
        <v>0</v>
      </c>
      <c r="I21" s="50">
        <f t="shared" si="8"/>
        <v>0</v>
      </c>
      <c r="J21" s="50">
        <f t="shared" si="8"/>
        <v>0</v>
      </c>
      <c r="K21" s="50">
        <f t="shared" si="8"/>
        <v>0</v>
      </c>
      <c r="L21" s="50">
        <f t="shared" si="8"/>
        <v>0</v>
      </c>
      <c r="M21" s="50">
        <f t="shared" si="8"/>
        <v>0</v>
      </c>
      <c r="N21" s="50">
        <f t="shared" si="8"/>
        <v>0</v>
      </c>
      <c r="O21" s="50">
        <f t="shared" si="8"/>
        <v>0</v>
      </c>
      <c r="P21" s="50">
        <f t="shared" si="8"/>
        <v>0</v>
      </c>
      <c r="Q21" s="50">
        <f t="shared" si="8"/>
        <v>0</v>
      </c>
      <c r="R21" s="50">
        <f t="shared" si="8"/>
        <v>0</v>
      </c>
      <c r="S21" s="50">
        <f t="shared" si="8"/>
        <v>0</v>
      </c>
      <c r="T21" s="50">
        <f t="shared" si="8"/>
        <v>0</v>
      </c>
      <c r="U21" s="50">
        <f t="shared" si="8"/>
        <v>0</v>
      </c>
      <c r="V21" s="50">
        <f t="shared" si="8"/>
        <v>0</v>
      </c>
      <c r="W21" s="56">
        <f t="shared" si="8"/>
        <v>227638.58856642639</v>
      </c>
      <c r="X21" s="56">
        <f t="shared" si="8"/>
        <v>226091.78668433282</v>
      </c>
      <c r="Y21" s="56">
        <f t="shared" si="8"/>
        <v>225857.7056984776</v>
      </c>
      <c r="Z21" s="56">
        <f t="shared" si="8"/>
        <v>226281.43919349759</v>
      </c>
      <c r="AA21" s="56">
        <f t="shared" si="8"/>
        <v>224063.66620505997</v>
      </c>
    </row>
    <row r="22" spans="1:27" s="41" customFormat="1" ht="12" hidden="1" x14ac:dyDescent="0.2">
      <c r="B22" s="52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7"/>
      <c r="X22" s="57"/>
      <c r="Y22" s="57"/>
      <c r="Z22" s="57"/>
      <c r="AA22" s="58"/>
    </row>
    <row r="23" spans="1:27" s="41" customFormat="1" ht="12" hidden="1" x14ac:dyDescent="0.2">
      <c r="B23" s="49" t="s">
        <v>72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7"/>
      <c r="X23" s="57"/>
      <c r="Y23" s="57"/>
      <c r="Z23" s="57"/>
      <c r="AA23" s="58"/>
    </row>
    <row r="24" spans="1:27" s="41" customFormat="1" ht="12" hidden="1" x14ac:dyDescent="0.2">
      <c r="B24" s="52"/>
      <c r="C24" s="50">
        <f t="shared" ref="C24:AA24" si="9">IF(Tier1_Index_REC_Price&gt;0,IF(Tier1_Fixed_REC_price&gt;0,NA(),C21),C18)</f>
        <v>137166.58864744002</v>
      </c>
      <c r="D24" s="50">
        <f t="shared" si="9"/>
        <v>146418.51249778722</v>
      </c>
      <c r="E24" s="50">
        <f t="shared" si="9"/>
        <v>153735.6141912624</v>
      </c>
      <c r="F24" s="50">
        <f t="shared" si="9"/>
        <v>159418.73325804799</v>
      </c>
      <c r="G24" s="50">
        <f t="shared" si="9"/>
        <v>157229.46787772398</v>
      </c>
      <c r="H24" s="50">
        <f t="shared" si="9"/>
        <v>162168.30039634398</v>
      </c>
      <c r="I24" s="50">
        <f t="shared" si="9"/>
        <v>166363.0112648152</v>
      </c>
      <c r="J24" s="50">
        <f t="shared" si="9"/>
        <v>169834.62754734079</v>
      </c>
      <c r="K24" s="50">
        <f t="shared" si="9"/>
        <v>175820.73083874639</v>
      </c>
      <c r="L24" s="50">
        <f t="shared" si="9"/>
        <v>179369.76128693603</v>
      </c>
      <c r="M24" s="50">
        <f t="shared" si="9"/>
        <v>182197.62034751201</v>
      </c>
      <c r="N24" s="50">
        <f t="shared" si="9"/>
        <v>181710.45624983677</v>
      </c>
      <c r="O24" s="50">
        <f t="shared" si="9"/>
        <v>193866.43850013436</v>
      </c>
      <c r="P24" s="50">
        <f t="shared" si="9"/>
        <v>201577.64463154558</v>
      </c>
      <c r="Q24" s="50">
        <f t="shared" si="9"/>
        <v>200326.07353748</v>
      </c>
      <c r="R24" s="50">
        <f t="shared" si="9"/>
        <v>207953.69007057921</v>
      </c>
      <c r="S24" s="50">
        <f t="shared" si="9"/>
        <v>214332.09857210796</v>
      </c>
      <c r="T24" s="50">
        <f t="shared" si="9"/>
        <v>215090.91688173759</v>
      </c>
      <c r="U24" s="50">
        <f t="shared" si="9"/>
        <v>218180.36535835761</v>
      </c>
      <c r="V24" s="50">
        <f t="shared" si="9"/>
        <v>222819.15370527998</v>
      </c>
      <c r="W24" s="50">
        <f t="shared" si="9"/>
        <v>227638.58856642639</v>
      </c>
      <c r="X24" s="50">
        <f t="shared" si="9"/>
        <v>226091.78668433282</v>
      </c>
      <c r="Y24" s="50">
        <f t="shared" si="9"/>
        <v>225857.7056984776</v>
      </c>
      <c r="Z24" s="50">
        <f t="shared" si="9"/>
        <v>226281.43919349759</v>
      </c>
      <c r="AA24" s="51">
        <f t="shared" si="9"/>
        <v>224063.66620505997</v>
      </c>
    </row>
    <row r="25" spans="1:27" x14ac:dyDescent="0.2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</row>
    <row r="26" spans="1:27" s="59" customFormat="1" x14ac:dyDescent="0.25">
      <c r="B26" s="60" t="s">
        <v>25</v>
      </c>
      <c r="C26" s="61">
        <f t="shared" ref="C26:AA26" si="10">IF((C3&lt;System_Age),0,IF(ValGroup&lt;3,C13,C24))</f>
        <v>330024.17224132986</v>
      </c>
      <c r="D26" s="61">
        <f t="shared" si="10"/>
        <v>338307.28809371777</v>
      </c>
      <c r="E26" s="61">
        <f t="shared" si="10"/>
        <v>344655.40378923377</v>
      </c>
      <c r="F26" s="61">
        <f t="shared" si="10"/>
        <v>349369.53685806005</v>
      </c>
      <c r="G26" s="61">
        <f t="shared" si="10"/>
        <v>346211.55247977679</v>
      </c>
      <c r="H26" s="61">
        <f t="shared" si="10"/>
        <v>350181.22100043757</v>
      </c>
      <c r="I26" s="61">
        <f t="shared" si="10"/>
        <v>353406.67887094949</v>
      </c>
      <c r="J26" s="61">
        <f t="shared" si="10"/>
        <v>355909.48715551593</v>
      </c>
      <c r="K26" s="61">
        <f t="shared" si="10"/>
        <v>360926.60444896226</v>
      </c>
      <c r="L26" s="61">
        <f t="shared" si="10"/>
        <v>363506.64889919269</v>
      </c>
      <c r="M26" s="61">
        <f t="shared" si="10"/>
        <v>365365.78896180936</v>
      </c>
      <c r="N26" s="61">
        <f t="shared" si="10"/>
        <v>363909.1938661749</v>
      </c>
      <c r="O26" s="61">
        <f t="shared" si="10"/>
        <v>375096.36811851326</v>
      </c>
      <c r="P26" s="61">
        <f t="shared" si="10"/>
        <v>381838.58825196524</v>
      </c>
      <c r="Q26" s="61">
        <f t="shared" si="10"/>
        <v>379618.03115994041</v>
      </c>
      <c r="R26" s="61">
        <f t="shared" si="10"/>
        <v>386276.92869508034</v>
      </c>
      <c r="S26" s="61">
        <f t="shared" si="10"/>
        <v>391686.17319864989</v>
      </c>
      <c r="T26" s="61">
        <f t="shared" si="10"/>
        <v>391475.73851032025</v>
      </c>
      <c r="U26" s="61">
        <f t="shared" si="10"/>
        <v>393596.37898898101</v>
      </c>
      <c r="V26" s="61">
        <f t="shared" si="10"/>
        <v>397266.18133794417</v>
      </c>
      <c r="W26" s="61">
        <f t="shared" si="10"/>
        <v>401116.63020113134</v>
      </c>
      <c r="X26" s="61">
        <f t="shared" si="10"/>
        <v>398601.10932107852</v>
      </c>
      <c r="Y26" s="61">
        <f t="shared" si="10"/>
        <v>397397.41933726403</v>
      </c>
      <c r="Z26" s="61">
        <f t="shared" si="10"/>
        <v>396852.52283432474</v>
      </c>
      <c r="AA26" s="62">
        <f t="shared" si="10"/>
        <v>393665.76384792791</v>
      </c>
    </row>
    <row r="27" spans="1:27" x14ac:dyDescent="0.25">
      <c r="B27" s="3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4"/>
    </row>
    <row r="28" spans="1:27" x14ac:dyDescent="0.25">
      <c r="B28" s="65" t="s">
        <v>104</v>
      </c>
      <c r="C28" s="66">
        <f t="shared" ref="C28:AA28" si="11">IF((C3&lt;System_Age),0,System_Size*Zone_Exp*Expense_Scale*(1+Inflation)^(C3-System_Age))</f>
        <v>77000</v>
      </c>
      <c r="D28" s="66">
        <f t="shared" si="11"/>
        <v>78540</v>
      </c>
      <c r="E28" s="66">
        <f t="shared" si="11"/>
        <v>80110.8</v>
      </c>
      <c r="F28" s="66">
        <f t="shared" si="11"/>
        <v>81713.015999999989</v>
      </c>
      <c r="G28" s="66">
        <f t="shared" si="11"/>
        <v>83347.276320000004</v>
      </c>
      <c r="H28" s="66">
        <f t="shared" si="11"/>
        <v>85014.221846400003</v>
      </c>
      <c r="I28" s="66">
        <f t="shared" si="11"/>
        <v>86714.50628332801</v>
      </c>
      <c r="J28" s="66">
        <f t="shared" si="11"/>
        <v>88448.796408994545</v>
      </c>
      <c r="K28" s="66">
        <f t="shared" si="11"/>
        <v>90217.772337174451</v>
      </c>
      <c r="L28" s="66">
        <f t="shared" si="11"/>
        <v>92022.127783917938</v>
      </c>
      <c r="M28" s="66">
        <f t="shared" si="11"/>
        <v>93862.570339596292</v>
      </c>
      <c r="N28" s="66">
        <f t="shared" si="11"/>
        <v>95739.821746388203</v>
      </c>
      <c r="O28" s="66">
        <f t="shared" si="11"/>
        <v>97654.618181315978</v>
      </c>
      <c r="P28" s="66">
        <f t="shared" si="11"/>
        <v>99607.710544942296</v>
      </c>
      <c r="Q28" s="66">
        <f t="shared" si="11"/>
        <v>101599.86475584116</v>
      </c>
      <c r="R28" s="66">
        <f t="shared" si="11"/>
        <v>103631.86205095795</v>
      </c>
      <c r="S28" s="66">
        <f t="shared" si="11"/>
        <v>105704.49929197713</v>
      </c>
      <c r="T28" s="66">
        <f t="shared" si="11"/>
        <v>107818.58927781667</v>
      </c>
      <c r="U28" s="66">
        <f t="shared" si="11"/>
        <v>109974.961063373</v>
      </c>
      <c r="V28" s="66">
        <f t="shared" si="11"/>
        <v>112174.46028464046</v>
      </c>
      <c r="W28" s="66">
        <f t="shared" si="11"/>
        <v>114417.94949033328</v>
      </c>
      <c r="X28" s="66">
        <f t="shared" si="11"/>
        <v>116706.30848013994</v>
      </c>
      <c r="Y28" s="66">
        <f t="shared" si="11"/>
        <v>119040.43464974273</v>
      </c>
      <c r="Z28" s="66">
        <f t="shared" si="11"/>
        <v>121421.24334273757</v>
      </c>
      <c r="AA28" s="67">
        <f t="shared" si="11"/>
        <v>123849.66820959233</v>
      </c>
    </row>
    <row r="29" spans="1:27" x14ac:dyDescent="0.25">
      <c r="B29" s="31" t="s">
        <v>23</v>
      </c>
      <c r="C29" s="63">
        <f t="shared" ref="C29:AA29" si="12">IF((C3&lt;System_Age),0,IF(ValGroup=5,(0.07*1000*System_Size)/25,(0.035*1000*System_Size)/25))</f>
        <v>3080</v>
      </c>
      <c r="D29" s="63">
        <f t="shared" si="12"/>
        <v>3080</v>
      </c>
      <c r="E29" s="63">
        <f t="shared" si="12"/>
        <v>3080</v>
      </c>
      <c r="F29" s="63">
        <f t="shared" si="12"/>
        <v>3080</v>
      </c>
      <c r="G29" s="63">
        <f t="shared" si="12"/>
        <v>3080</v>
      </c>
      <c r="H29" s="63">
        <f t="shared" si="12"/>
        <v>3080</v>
      </c>
      <c r="I29" s="63">
        <f t="shared" si="12"/>
        <v>3080</v>
      </c>
      <c r="J29" s="63">
        <f t="shared" si="12"/>
        <v>3080</v>
      </c>
      <c r="K29" s="63">
        <f t="shared" si="12"/>
        <v>3080</v>
      </c>
      <c r="L29" s="63">
        <f t="shared" si="12"/>
        <v>3080</v>
      </c>
      <c r="M29" s="63">
        <f t="shared" si="12"/>
        <v>3080</v>
      </c>
      <c r="N29" s="63">
        <f t="shared" si="12"/>
        <v>3080</v>
      </c>
      <c r="O29" s="63">
        <f t="shared" si="12"/>
        <v>3080</v>
      </c>
      <c r="P29" s="63">
        <f t="shared" si="12"/>
        <v>3080</v>
      </c>
      <c r="Q29" s="63">
        <f t="shared" si="12"/>
        <v>3080</v>
      </c>
      <c r="R29" s="63">
        <f t="shared" si="12"/>
        <v>3080</v>
      </c>
      <c r="S29" s="63">
        <f t="shared" si="12"/>
        <v>3080</v>
      </c>
      <c r="T29" s="63">
        <f t="shared" si="12"/>
        <v>3080</v>
      </c>
      <c r="U29" s="63">
        <f t="shared" si="12"/>
        <v>3080</v>
      </c>
      <c r="V29" s="63">
        <f t="shared" si="12"/>
        <v>3080</v>
      </c>
      <c r="W29" s="63">
        <f t="shared" si="12"/>
        <v>3080</v>
      </c>
      <c r="X29" s="63">
        <f t="shared" si="12"/>
        <v>3080</v>
      </c>
      <c r="Y29" s="63">
        <f t="shared" si="12"/>
        <v>3080</v>
      </c>
      <c r="Z29" s="63">
        <f t="shared" si="12"/>
        <v>3080</v>
      </c>
      <c r="AA29" s="64">
        <f t="shared" si="12"/>
        <v>3080</v>
      </c>
    </row>
    <row r="30" spans="1:27" x14ac:dyDescent="0.25">
      <c r="B30" s="31" t="s">
        <v>71</v>
      </c>
      <c r="C30" s="63">
        <f t="shared" ref="C30:AA30" si="13">IF(ValGroup&lt;5,IF((C3=Inv_Repl_Cycle),IF(System_Age&lt;Inv_Repl_Cycle,(Inv_Size*1000*Inv_cost),0),0),0)</f>
        <v>0</v>
      </c>
      <c r="D30" s="63">
        <f t="shared" si="13"/>
        <v>0</v>
      </c>
      <c r="E30" s="63">
        <f t="shared" si="13"/>
        <v>0</v>
      </c>
      <c r="F30" s="63">
        <f t="shared" si="13"/>
        <v>0</v>
      </c>
      <c r="G30" s="63">
        <f t="shared" si="13"/>
        <v>0</v>
      </c>
      <c r="H30" s="63">
        <f t="shared" si="13"/>
        <v>0</v>
      </c>
      <c r="I30" s="63">
        <f t="shared" si="13"/>
        <v>0</v>
      </c>
      <c r="J30" s="63">
        <f t="shared" si="13"/>
        <v>0</v>
      </c>
      <c r="K30" s="63">
        <f t="shared" si="13"/>
        <v>0</v>
      </c>
      <c r="L30" s="63">
        <f t="shared" si="13"/>
        <v>0</v>
      </c>
      <c r="M30" s="63">
        <f t="shared" si="13"/>
        <v>0</v>
      </c>
      <c r="N30" s="63">
        <f t="shared" si="13"/>
        <v>0</v>
      </c>
      <c r="O30" s="63">
        <f t="shared" si="13"/>
        <v>0</v>
      </c>
      <c r="P30" s="63">
        <f t="shared" si="13"/>
        <v>0</v>
      </c>
      <c r="Q30" s="63">
        <f t="shared" si="13"/>
        <v>220000</v>
      </c>
      <c r="R30" s="63">
        <f t="shared" si="13"/>
        <v>0</v>
      </c>
      <c r="S30" s="63">
        <f t="shared" si="13"/>
        <v>0</v>
      </c>
      <c r="T30" s="63">
        <f t="shared" si="13"/>
        <v>0</v>
      </c>
      <c r="U30" s="63">
        <f t="shared" si="13"/>
        <v>0</v>
      </c>
      <c r="V30" s="63">
        <f t="shared" si="13"/>
        <v>0</v>
      </c>
      <c r="W30" s="63">
        <f t="shared" si="13"/>
        <v>0</v>
      </c>
      <c r="X30" s="63">
        <f t="shared" si="13"/>
        <v>0</v>
      </c>
      <c r="Y30" s="63">
        <f t="shared" si="13"/>
        <v>0</v>
      </c>
      <c r="Z30" s="63">
        <f t="shared" si="13"/>
        <v>0</v>
      </c>
      <c r="AA30" s="64">
        <f t="shared" si="13"/>
        <v>0</v>
      </c>
    </row>
    <row r="31" spans="1:27" x14ac:dyDescent="0.25">
      <c r="A31" s="59"/>
      <c r="B31" s="68" t="s">
        <v>26</v>
      </c>
      <c r="C31" s="69">
        <f t="shared" ref="C31:AA31" si="14">SUM(C28:C30)</f>
        <v>80080</v>
      </c>
      <c r="D31" s="69">
        <f t="shared" si="14"/>
        <v>81620</v>
      </c>
      <c r="E31" s="69">
        <f t="shared" si="14"/>
        <v>83190.8</v>
      </c>
      <c r="F31" s="69">
        <f t="shared" si="14"/>
        <v>84793.015999999989</v>
      </c>
      <c r="G31" s="69">
        <f t="shared" si="14"/>
        <v>86427.276320000004</v>
      </c>
      <c r="H31" s="69">
        <f t="shared" si="14"/>
        <v>88094.221846400003</v>
      </c>
      <c r="I31" s="69">
        <f t="shared" si="14"/>
        <v>89794.50628332801</v>
      </c>
      <c r="J31" s="69">
        <f t="shared" si="14"/>
        <v>91528.796408994545</v>
      </c>
      <c r="K31" s="69">
        <f t="shared" si="14"/>
        <v>93297.772337174451</v>
      </c>
      <c r="L31" s="69">
        <f t="shared" si="14"/>
        <v>95102.127783917938</v>
      </c>
      <c r="M31" s="69">
        <f t="shared" si="14"/>
        <v>96942.570339596292</v>
      </c>
      <c r="N31" s="69">
        <f t="shared" si="14"/>
        <v>98819.821746388203</v>
      </c>
      <c r="O31" s="69">
        <f t="shared" si="14"/>
        <v>100734.61818131598</v>
      </c>
      <c r="P31" s="69">
        <f t="shared" si="14"/>
        <v>102687.7105449423</v>
      </c>
      <c r="Q31" s="69">
        <f t="shared" si="14"/>
        <v>324679.86475584115</v>
      </c>
      <c r="R31" s="69">
        <f t="shared" si="14"/>
        <v>106711.86205095795</v>
      </c>
      <c r="S31" s="69">
        <f t="shared" si="14"/>
        <v>108784.49929197713</v>
      </c>
      <c r="T31" s="69">
        <f t="shared" si="14"/>
        <v>110898.58927781667</v>
      </c>
      <c r="U31" s="69">
        <f t="shared" si="14"/>
        <v>113054.961063373</v>
      </c>
      <c r="V31" s="69">
        <f t="shared" si="14"/>
        <v>115254.46028464046</v>
      </c>
      <c r="W31" s="69">
        <f t="shared" si="14"/>
        <v>117497.94949033328</v>
      </c>
      <c r="X31" s="69">
        <f t="shared" si="14"/>
        <v>119786.30848013994</v>
      </c>
      <c r="Y31" s="69">
        <f t="shared" si="14"/>
        <v>122120.43464974273</v>
      </c>
      <c r="Z31" s="69">
        <f t="shared" si="14"/>
        <v>124501.24334273757</v>
      </c>
      <c r="AA31" s="70">
        <f t="shared" si="14"/>
        <v>126929.66820959233</v>
      </c>
    </row>
    <row r="32" spans="1:27" x14ac:dyDescent="0.25">
      <c r="B32" s="3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</row>
    <row r="33" spans="2:27" s="59" customFormat="1" x14ac:dyDescent="0.25">
      <c r="B33" s="60" t="s">
        <v>80</v>
      </c>
      <c r="C33" s="61">
        <f t="shared" ref="C33:AA33" si="15">(C26-C31)</f>
        <v>249944.17224132986</v>
      </c>
      <c r="D33" s="61">
        <f t="shared" si="15"/>
        <v>256687.28809371777</v>
      </c>
      <c r="E33" s="61">
        <f t="shared" si="15"/>
        <v>261464.60378923378</v>
      </c>
      <c r="F33" s="61">
        <f t="shared" si="15"/>
        <v>264576.52085806004</v>
      </c>
      <c r="G33" s="61">
        <f t="shared" si="15"/>
        <v>259784.27615977678</v>
      </c>
      <c r="H33" s="61">
        <f t="shared" si="15"/>
        <v>262086.99915403756</v>
      </c>
      <c r="I33" s="61">
        <f t="shared" si="15"/>
        <v>263612.17258762149</v>
      </c>
      <c r="J33" s="61">
        <f t="shared" si="15"/>
        <v>264380.6907465214</v>
      </c>
      <c r="K33" s="61">
        <f t="shared" si="15"/>
        <v>267628.83211178781</v>
      </c>
      <c r="L33" s="61">
        <f t="shared" si="15"/>
        <v>268404.52111527475</v>
      </c>
      <c r="M33" s="61">
        <f t="shared" si="15"/>
        <v>268423.21862221305</v>
      </c>
      <c r="N33" s="61">
        <f t="shared" si="15"/>
        <v>265089.37211978668</v>
      </c>
      <c r="O33" s="61">
        <f t="shared" si="15"/>
        <v>274361.74993719731</v>
      </c>
      <c r="P33" s="61">
        <f t="shared" si="15"/>
        <v>279150.87770702294</v>
      </c>
      <c r="Q33" s="61">
        <f t="shared" si="15"/>
        <v>54938.166404099262</v>
      </c>
      <c r="R33" s="61">
        <f t="shared" si="15"/>
        <v>279565.06664412236</v>
      </c>
      <c r="S33" s="61">
        <f t="shared" si="15"/>
        <v>282901.67390667275</v>
      </c>
      <c r="T33" s="61">
        <f t="shared" si="15"/>
        <v>280577.14923250361</v>
      </c>
      <c r="U33" s="61">
        <f t="shared" si="15"/>
        <v>280541.417925608</v>
      </c>
      <c r="V33" s="61">
        <f t="shared" si="15"/>
        <v>282011.72105330369</v>
      </c>
      <c r="W33" s="61">
        <f t="shared" si="15"/>
        <v>283618.68071079807</v>
      </c>
      <c r="X33" s="61">
        <f t="shared" si="15"/>
        <v>278814.80084093858</v>
      </c>
      <c r="Y33" s="61">
        <f t="shared" si="15"/>
        <v>275276.9846875213</v>
      </c>
      <c r="Z33" s="61">
        <f t="shared" si="15"/>
        <v>272351.27949158719</v>
      </c>
      <c r="AA33" s="62">
        <f t="shared" si="15"/>
        <v>266736.09563833557</v>
      </c>
    </row>
    <row r="34" spans="2:27" s="59" customFormat="1" x14ac:dyDescent="0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</row>
    <row r="35" spans="2:27" x14ac:dyDescent="0.25">
      <c r="B35" s="31" t="s">
        <v>81</v>
      </c>
      <c r="C35" s="74">
        <f t="shared" ref="C35:AA35" si="16">IF((C3&lt;System_Age),1,1/((1+BT_Disc_rt)^(C3-System_Age+1)))</f>
        <v>0.90497737556561086</v>
      </c>
      <c r="D35" s="74">
        <f t="shared" si="16"/>
        <v>0.81898405028562071</v>
      </c>
      <c r="E35" s="74">
        <f t="shared" si="16"/>
        <v>0.74116203645757528</v>
      </c>
      <c r="F35" s="74">
        <f t="shared" si="16"/>
        <v>0.67073487462224002</v>
      </c>
      <c r="G35" s="74">
        <f t="shared" si="16"/>
        <v>0.60699988653596382</v>
      </c>
      <c r="H35" s="74">
        <f t="shared" si="16"/>
        <v>0.54932116428594002</v>
      </c>
      <c r="I35" s="74">
        <f t="shared" si="16"/>
        <v>0.49712322559813582</v>
      </c>
      <c r="J35" s="74">
        <f t="shared" si="16"/>
        <v>0.44988527203451206</v>
      </c>
      <c r="K35" s="74">
        <f t="shared" si="16"/>
        <v>0.40713599279141366</v>
      </c>
      <c r="L35" s="74">
        <f t="shared" si="16"/>
        <v>0.36844886225467294</v>
      </c>
      <c r="M35" s="74">
        <f t="shared" si="16"/>
        <v>0.33343788439336919</v>
      </c>
      <c r="N35" s="74">
        <f t="shared" si="16"/>
        <v>0.30175374153246082</v>
      </c>
      <c r="O35" s="74">
        <f t="shared" si="16"/>
        <v>0.27308030907915004</v>
      </c>
      <c r="P35" s="74">
        <f t="shared" si="16"/>
        <v>0.24713150142909504</v>
      </c>
      <c r="Q35" s="74">
        <f t="shared" si="16"/>
        <v>0.22364841758289142</v>
      </c>
      <c r="R35" s="74">
        <f t="shared" si="16"/>
        <v>0.20239675799356693</v>
      </c>
      <c r="S35" s="74">
        <f t="shared" si="16"/>
        <v>0.18316448687200629</v>
      </c>
      <c r="T35" s="74">
        <f t="shared" si="16"/>
        <v>0.16575971662625003</v>
      </c>
      <c r="U35" s="74">
        <f t="shared" si="16"/>
        <v>0.1500087933269231</v>
      </c>
      <c r="V35" s="74">
        <f t="shared" si="16"/>
        <v>0.13575456409676298</v>
      </c>
      <c r="W35" s="74">
        <f t="shared" si="16"/>
        <v>0.12285480913734205</v>
      </c>
      <c r="X35" s="74">
        <f t="shared" si="16"/>
        <v>0.11118082274872583</v>
      </c>
      <c r="Y35" s="74">
        <f t="shared" si="16"/>
        <v>0.10061612918436728</v>
      </c>
      <c r="Z35" s="74">
        <f t="shared" si="16"/>
        <v>9.1055320528839162E-2</v>
      </c>
      <c r="AA35" s="75">
        <f t="shared" si="16"/>
        <v>8.2403005003474361E-2</v>
      </c>
    </row>
    <row r="36" spans="2:27" s="59" customFormat="1" x14ac:dyDescent="0.25">
      <c r="B36" s="60" t="s">
        <v>82</v>
      </c>
      <c r="C36" s="61">
        <f t="shared" ref="C36:AA36" si="17">C33*C35</f>
        <v>226193.82103287769</v>
      </c>
      <c r="D36" s="61">
        <f t="shared" si="17"/>
        <v>210222.79485982496</v>
      </c>
      <c r="E36" s="61">
        <f t="shared" si="17"/>
        <v>193787.63820600157</v>
      </c>
      <c r="F36" s="61">
        <f t="shared" si="17"/>
        <v>177460.69954571937</v>
      </c>
      <c r="G36" s="61">
        <f t="shared" si="17"/>
        <v>157689.026152812</v>
      </c>
      <c r="H36" s="61">
        <f t="shared" si="17"/>
        <v>143969.9355195041</v>
      </c>
      <c r="I36" s="61">
        <f t="shared" si="17"/>
        <v>131047.73354369088</v>
      </c>
      <c r="J36" s="61">
        <f t="shared" si="17"/>
        <v>118940.97897717099</v>
      </c>
      <c r="K36" s="61">
        <f t="shared" si="17"/>
        <v>108961.3302614393</v>
      </c>
      <c r="L36" s="61">
        <f t="shared" si="17"/>
        <v>98893.340428933327</v>
      </c>
      <c r="M36" s="61">
        <f t="shared" si="17"/>
        <v>89502.470139449535</v>
      </c>
      <c r="N36" s="61">
        <f t="shared" si="17"/>
        <v>79991.709877636429</v>
      </c>
      <c r="O36" s="61">
        <f t="shared" si="17"/>
        <v>74922.791472346318</v>
      </c>
      <c r="P36" s="61">
        <f t="shared" si="17"/>
        <v>68986.975532986282</v>
      </c>
      <c r="Q36" s="61">
        <f t="shared" si="17"/>
        <v>12286.833981182368</v>
      </c>
      <c r="R36" s="61">
        <f t="shared" si="17"/>
        <v>56583.063137025842</v>
      </c>
      <c r="S36" s="61">
        <f t="shared" si="17"/>
        <v>51817.539936347363</v>
      </c>
      <c r="T36" s="61">
        <f t="shared" si="17"/>
        <v>46508.388748580866</v>
      </c>
      <c r="U36" s="61">
        <f t="shared" si="17"/>
        <v>42083.679581244491</v>
      </c>
      <c r="V36" s="61">
        <f t="shared" si="17"/>
        <v>38284.378261769154</v>
      </c>
      <c r="W36" s="61">
        <f t="shared" si="17"/>
        <v>34843.918886509855</v>
      </c>
      <c r="X36" s="61">
        <f t="shared" si="17"/>
        <v>30998.858952017687</v>
      </c>
      <c r="Y36" s="61">
        <f t="shared" si="17"/>
        <v>27697.304652802737</v>
      </c>
      <c r="Z36" s="61">
        <f t="shared" si="17"/>
        <v>24799.033050545931</v>
      </c>
      <c r="AA36" s="62">
        <f t="shared" si="17"/>
        <v>21979.855823492981</v>
      </c>
    </row>
    <row r="37" spans="2:27" x14ac:dyDescent="0.25">
      <c r="B37" s="76"/>
      <c r="F37" s="78"/>
    </row>
    <row r="38" spans="2:27" x14ac:dyDescent="0.25">
      <c r="B38" s="159" t="s">
        <v>105</v>
      </c>
      <c r="C38" s="159"/>
      <c r="D38" s="160">
        <f>SUM(C36:AA36)</f>
        <v>2268454.1005619112</v>
      </c>
      <c r="E38" s="160"/>
      <c r="F38" s="78"/>
    </row>
    <row r="39" spans="2:27" x14ac:dyDescent="0.25">
      <c r="B39" s="153"/>
      <c r="C39" s="153"/>
      <c r="D39" s="154"/>
      <c r="E39" s="154"/>
      <c r="F39" s="78"/>
    </row>
    <row r="40" spans="2:27" x14ac:dyDescent="0.25">
      <c r="B40" s="123" t="s">
        <v>120</v>
      </c>
      <c r="F40" s="78"/>
    </row>
    <row r="41" spans="2:27" x14ac:dyDescent="0.25">
      <c r="B41" s="161" t="s">
        <v>24</v>
      </c>
      <c r="C41" s="161"/>
      <c r="D41" s="161"/>
      <c r="E41" s="161"/>
      <c r="F41" s="78"/>
    </row>
  </sheetData>
  <sheetProtection algorithmName="SHA-512" hashValue="q3kM5WhjNbrj2KZ3WIs0zmtBijN8wdzv3PI9Qu+ICpsCH6gsn2QhJWfQnkO8Ew4mOYcbAjPyydRY7tz+mSLZqQ==" saltValue="yRVWbGxV09ELhtF7N7N9dQ==" spinCount="100000" sheet="1" selectLockedCells="1"/>
  <mergeCells count="3">
    <mergeCell ref="B38:C38"/>
    <mergeCell ref="D38:E38"/>
    <mergeCell ref="B41:E41"/>
  </mergeCells>
  <pageMargins left="0.25" right="0.25" top="0.25" bottom="0.2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4686A-A3B7-4452-BC45-4C7C08C04E0C}">
  <sheetPr codeName="Sheet4"/>
  <dimension ref="A1:BD12"/>
  <sheetViews>
    <sheetView zoomScaleNormal="100" workbookViewId="0">
      <selection activeCell="I3" sqref="I3"/>
    </sheetView>
  </sheetViews>
  <sheetFormatPr defaultRowHeight="15" x14ac:dyDescent="0.25"/>
  <cols>
    <col min="1" max="1" width="15.5703125" bestFit="1" customWidth="1"/>
    <col min="2" max="2" width="20.42578125" bestFit="1" customWidth="1"/>
    <col min="3" max="3" width="8.85546875" bestFit="1" customWidth="1"/>
    <col min="4" max="4" width="9.5703125" bestFit="1" customWidth="1"/>
    <col min="5" max="5" width="5.85546875" bestFit="1" customWidth="1"/>
    <col min="6" max="6" width="3.140625" customWidth="1"/>
    <col min="7" max="7" width="6.5703125" bestFit="1" customWidth="1"/>
    <col min="8" max="8" width="11.5703125" bestFit="1" customWidth="1"/>
    <col min="9" max="9" width="11.42578125" bestFit="1" customWidth="1"/>
    <col min="10" max="10" width="3.140625" customWidth="1"/>
    <col min="11" max="11" width="6.5703125" bestFit="1" customWidth="1"/>
    <col min="12" max="12" width="11.5703125" bestFit="1" customWidth="1"/>
    <col min="13" max="13" width="11.42578125" bestFit="1" customWidth="1"/>
    <col min="14" max="14" width="3.140625" customWidth="1"/>
    <col min="15" max="15" width="18" bestFit="1" customWidth="1"/>
    <col min="16" max="16" width="29.7109375" bestFit="1" customWidth="1"/>
    <col min="17" max="17" width="20.7109375" bestFit="1" customWidth="1"/>
    <col min="18" max="18" width="27.7109375" bestFit="1" customWidth="1"/>
    <col min="19" max="19" width="3.140625" customWidth="1"/>
    <col min="20" max="20" width="10" bestFit="1" customWidth="1"/>
    <col min="21" max="21" width="3.140625" customWidth="1"/>
    <col min="22" max="22" width="18" bestFit="1" customWidth="1"/>
    <col min="23" max="51" width="5" bestFit="1" customWidth="1"/>
    <col min="52" max="52" width="3.140625" customWidth="1"/>
    <col min="53" max="53" width="16.140625" customWidth="1"/>
    <col min="54" max="54" width="3.140625" customWidth="1"/>
    <col min="55" max="55" width="17.42578125" customWidth="1"/>
    <col min="56" max="56" width="12.140625" customWidth="1"/>
    <col min="57" max="57" width="3.140625" customWidth="1"/>
  </cols>
  <sheetData>
    <row r="1" spans="1:56" x14ac:dyDescent="0.25">
      <c r="A1" s="14" t="s">
        <v>84</v>
      </c>
      <c r="B1" s="16" t="s">
        <v>84</v>
      </c>
      <c r="C1" s="16" t="s">
        <v>83</v>
      </c>
      <c r="D1" s="16" t="s">
        <v>31</v>
      </c>
      <c r="E1" s="15" t="s">
        <v>113</v>
      </c>
      <c r="G1" s="14" t="s">
        <v>115</v>
      </c>
      <c r="H1" s="17" t="s">
        <v>116</v>
      </c>
      <c r="I1" s="15" t="s">
        <v>114</v>
      </c>
      <c r="K1" s="14" t="s">
        <v>115</v>
      </c>
      <c r="L1" s="17" t="s">
        <v>116</v>
      </c>
      <c r="M1" s="15" t="s">
        <v>114</v>
      </c>
      <c r="O1" s="14" t="s">
        <v>50</v>
      </c>
      <c r="P1" s="17" t="s">
        <v>51</v>
      </c>
      <c r="Q1" s="16" t="s">
        <v>69</v>
      </c>
      <c r="R1" s="15" t="s">
        <v>70</v>
      </c>
      <c r="T1" s="13" t="s">
        <v>45</v>
      </c>
      <c r="V1" s="13" t="s">
        <v>107</v>
      </c>
      <c r="W1" s="1">
        <v>2022</v>
      </c>
      <c r="X1" s="1">
        <v>2023</v>
      </c>
      <c r="Y1" s="1">
        <v>2024</v>
      </c>
      <c r="Z1" s="1">
        <v>2025</v>
      </c>
      <c r="AA1" s="1">
        <v>2026</v>
      </c>
      <c r="AB1" s="1">
        <v>2027</v>
      </c>
      <c r="AC1" s="1">
        <v>2028</v>
      </c>
      <c r="AD1" s="1">
        <v>2029</v>
      </c>
      <c r="AE1" s="1">
        <v>2030</v>
      </c>
      <c r="AF1" s="1">
        <v>2031</v>
      </c>
      <c r="AG1" s="1">
        <v>2032</v>
      </c>
      <c r="AH1" s="1">
        <v>2033</v>
      </c>
      <c r="AI1" s="1">
        <v>2034</v>
      </c>
      <c r="AJ1" s="1">
        <v>2035</v>
      </c>
      <c r="AK1" s="1">
        <v>2036</v>
      </c>
      <c r="AL1" s="1">
        <v>2037</v>
      </c>
      <c r="AM1" s="1">
        <v>2038</v>
      </c>
      <c r="AN1" s="1">
        <v>2039</v>
      </c>
      <c r="AO1" s="1">
        <v>2040</v>
      </c>
      <c r="AP1" s="1">
        <v>2041</v>
      </c>
      <c r="AQ1" s="1">
        <v>2042</v>
      </c>
      <c r="AR1" s="1">
        <v>2043</v>
      </c>
      <c r="AS1" s="1">
        <v>2044</v>
      </c>
      <c r="AT1" s="1">
        <v>2045</v>
      </c>
      <c r="AU1" s="1">
        <v>2046</v>
      </c>
      <c r="AV1" s="1">
        <v>2047</v>
      </c>
      <c r="AW1" s="1">
        <v>2048</v>
      </c>
      <c r="AX1" s="1">
        <v>2049</v>
      </c>
      <c r="AY1" s="20">
        <v>2050</v>
      </c>
      <c r="BA1" s="13" t="s">
        <v>18</v>
      </c>
      <c r="BC1" s="14" t="s">
        <v>100</v>
      </c>
      <c r="BD1" s="15" t="s">
        <v>101</v>
      </c>
    </row>
    <row r="2" spans="1:56" x14ac:dyDescent="0.25">
      <c r="A2" s="4">
        <v>1</v>
      </c>
      <c r="B2" s="5" t="s">
        <v>21</v>
      </c>
      <c r="C2" s="5">
        <v>0.1948</v>
      </c>
      <c r="D2" s="5">
        <v>35</v>
      </c>
      <c r="E2" s="6">
        <v>0.19</v>
      </c>
      <c r="G2" s="148">
        <v>0</v>
      </c>
      <c r="H2" s="149">
        <v>5</v>
      </c>
      <c r="I2" s="150">
        <v>1</v>
      </c>
      <c r="K2" s="142">
        <v>0</v>
      </c>
      <c r="L2" s="143">
        <v>30</v>
      </c>
      <c r="M2" s="141">
        <v>1.27</v>
      </c>
      <c r="O2" s="4" t="s">
        <v>47</v>
      </c>
      <c r="P2" s="18">
        <v>0.05</v>
      </c>
      <c r="Q2" s="137">
        <v>4.8627659574468088E-2</v>
      </c>
      <c r="R2" s="139">
        <v>0.41975308641975306</v>
      </c>
      <c r="T2" s="11">
        <v>3.1040000000000002E-2</v>
      </c>
      <c r="V2" s="21" t="s">
        <v>47</v>
      </c>
      <c r="W2" s="3">
        <v>290</v>
      </c>
      <c r="X2" s="1">
        <v>290</v>
      </c>
      <c r="Y2" s="1">
        <v>290</v>
      </c>
      <c r="Z2" s="1">
        <v>290</v>
      </c>
      <c r="AA2" s="1">
        <v>295</v>
      </c>
      <c r="AB2" s="1">
        <v>295</v>
      </c>
      <c r="AC2" s="1">
        <v>290</v>
      </c>
      <c r="AD2" s="1">
        <v>290</v>
      </c>
      <c r="AE2" s="1">
        <v>290</v>
      </c>
      <c r="AF2" s="1">
        <v>290</v>
      </c>
      <c r="AG2" s="1">
        <v>295</v>
      </c>
      <c r="AH2" s="1">
        <v>290</v>
      </c>
      <c r="AI2" s="1">
        <v>290</v>
      </c>
      <c r="AJ2" s="1">
        <v>290</v>
      </c>
      <c r="AK2" s="1">
        <v>290</v>
      </c>
      <c r="AL2" s="1">
        <v>295</v>
      </c>
      <c r="AM2" s="1">
        <v>295</v>
      </c>
      <c r="AN2" s="1">
        <v>290</v>
      </c>
      <c r="AO2" s="1">
        <v>290</v>
      </c>
      <c r="AP2" s="1">
        <v>290</v>
      </c>
      <c r="AQ2" s="1">
        <v>290</v>
      </c>
      <c r="AR2" s="1">
        <v>295</v>
      </c>
      <c r="AS2" s="1">
        <v>290</v>
      </c>
      <c r="AT2" s="1">
        <v>290</v>
      </c>
      <c r="AU2" s="1">
        <v>290</v>
      </c>
      <c r="AV2" s="1">
        <v>290</v>
      </c>
      <c r="AW2" s="1">
        <v>295</v>
      </c>
      <c r="AX2" s="1">
        <v>295</v>
      </c>
      <c r="AY2" s="20">
        <v>290</v>
      </c>
      <c r="BA2" s="9" t="s">
        <v>77</v>
      </c>
      <c r="BC2" s="4" t="s">
        <v>96</v>
      </c>
      <c r="BD2" s="6" t="s">
        <v>8</v>
      </c>
    </row>
    <row r="3" spans="1:56" x14ac:dyDescent="0.25">
      <c r="A3" s="4">
        <v>2</v>
      </c>
      <c r="B3" s="5" t="s">
        <v>22</v>
      </c>
      <c r="C3" s="5">
        <v>0.23380000000000001</v>
      </c>
      <c r="D3" s="5">
        <v>40</v>
      </c>
      <c r="E3" s="6">
        <v>0.24</v>
      </c>
      <c r="G3" s="142">
        <v>5</v>
      </c>
      <c r="H3" s="143">
        <v>30</v>
      </c>
      <c r="I3" s="151">
        <v>1</v>
      </c>
      <c r="K3" s="142">
        <v>30</v>
      </c>
      <c r="L3" s="143">
        <v>100</v>
      </c>
      <c r="M3" s="141">
        <v>1.1299999999999999</v>
      </c>
      <c r="O3" s="4" t="s">
        <v>111</v>
      </c>
      <c r="P3" s="18">
        <v>0.85399999999999998</v>
      </c>
      <c r="Q3" s="137">
        <v>0.10575609756097559</v>
      </c>
      <c r="R3" s="139">
        <v>0</v>
      </c>
      <c r="T3" s="11">
        <v>2.741E-2</v>
      </c>
      <c r="V3" s="9" t="s">
        <v>111</v>
      </c>
      <c r="W3" s="4">
        <v>232</v>
      </c>
      <c r="X3" s="5">
        <v>232</v>
      </c>
      <c r="Y3" s="5">
        <v>232</v>
      </c>
      <c r="Z3" s="5">
        <v>232</v>
      </c>
      <c r="AA3" s="5">
        <v>236</v>
      </c>
      <c r="AB3" s="5">
        <v>236</v>
      </c>
      <c r="AC3" s="5">
        <v>232</v>
      </c>
      <c r="AD3" s="5">
        <v>232</v>
      </c>
      <c r="AE3" s="5">
        <v>232</v>
      </c>
      <c r="AF3" s="5">
        <v>232</v>
      </c>
      <c r="AG3" s="5">
        <v>236</v>
      </c>
      <c r="AH3" s="5">
        <v>232</v>
      </c>
      <c r="AI3" s="5">
        <v>232</v>
      </c>
      <c r="AJ3" s="5">
        <v>232</v>
      </c>
      <c r="AK3" s="5">
        <v>232</v>
      </c>
      <c r="AL3" s="5">
        <v>236</v>
      </c>
      <c r="AM3" s="5">
        <v>236</v>
      </c>
      <c r="AN3" s="5">
        <v>232</v>
      </c>
      <c r="AO3" s="5">
        <v>232</v>
      </c>
      <c r="AP3" s="5">
        <v>232</v>
      </c>
      <c r="AQ3" s="5">
        <v>232</v>
      </c>
      <c r="AR3" s="5">
        <v>236</v>
      </c>
      <c r="AS3" s="5">
        <v>232</v>
      </c>
      <c r="AT3" s="5">
        <v>232</v>
      </c>
      <c r="AU3" s="5">
        <v>232</v>
      </c>
      <c r="AV3" s="5">
        <v>232</v>
      </c>
      <c r="AW3" s="5">
        <v>236</v>
      </c>
      <c r="AX3" s="5">
        <v>236</v>
      </c>
      <c r="AY3" s="6">
        <v>232</v>
      </c>
      <c r="BA3" s="9" t="s">
        <v>76</v>
      </c>
      <c r="BC3" s="4" t="s">
        <v>97</v>
      </c>
      <c r="BD3" s="6" t="s">
        <v>9</v>
      </c>
    </row>
    <row r="4" spans="1:56" x14ac:dyDescent="0.25">
      <c r="A4" s="4">
        <v>3</v>
      </c>
      <c r="B4" s="5" t="s">
        <v>42</v>
      </c>
      <c r="C4" s="5">
        <v>0.1948</v>
      </c>
      <c r="D4" s="5">
        <v>35</v>
      </c>
      <c r="E4" s="6">
        <v>0.19</v>
      </c>
      <c r="G4" s="142">
        <v>30</v>
      </c>
      <c r="H4" s="143">
        <v>75</v>
      </c>
      <c r="I4" s="151">
        <v>0.93617021276595747</v>
      </c>
      <c r="K4" s="142">
        <v>100</v>
      </c>
      <c r="L4" s="143">
        <v>200</v>
      </c>
      <c r="M4" s="141">
        <v>1</v>
      </c>
      <c r="O4" s="4" t="s">
        <v>46</v>
      </c>
      <c r="P4" s="18">
        <v>0.21</v>
      </c>
      <c r="Q4" s="137">
        <v>2.2945483870967742E-2</v>
      </c>
      <c r="R4" s="139">
        <v>0.43738656987295826</v>
      </c>
      <c r="T4" s="12">
        <v>2.4140000000000002E-2</v>
      </c>
      <c r="V4" s="9" t="s">
        <v>46</v>
      </c>
      <c r="W4" s="4">
        <v>290</v>
      </c>
      <c r="X4" s="5">
        <v>290</v>
      </c>
      <c r="Y4" s="5">
        <v>290</v>
      </c>
      <c r="Z4" s="5">
        <v>290</v>
      </c>
      <c r="AA4" s="5">
        <v>295</v>
      </c>
      <c r="AB4" s="5">
        <v>295</v>
      </c>
      <c r="AC4" s="5">
        <v>290</v>
      </c>
      <c r="AD4" s="5">
        <v>290</v>
      </c>
      <c r="AE4" s="5">
        <v>290</v>
      </c>
      <c r="AF4" s="5">
        <v>290</v>
      </c>
      <c r="AG4" s="5">
        <v>295</v>
      </c>
      <c r="AH4" s="5">
        <v>290</v>
      </c>
      <c r="AI4" s="5">
        <v>290</v>
      </c>
      <c r="AJ4" s="5">
        <v>290</v>
      </c>
      <c r="AK4" s="5">
        <v>290</v>
      </c>
      <c r="AL4" s="5">
        <v>295</v>
      </c>
      <c r="AM4" s="5">
        <v>295</v>
      </c>
      <c r="AN4" s="5">
        <v>290</v>
      </c>
      <c r="AO4" s="5">
        <v>290</v>
      </c>
      <c r="AP4" s="5">
        <v>290</v>
      </c>
      <c r="AQ4" s="5">
        <v>290</v>
      </c>
      <c r="AR4" s="5">
        <v>295</v>
      </c>
      <c r="AS4" s="5">
        <v>290</v>
      </c>
      <c r="AT4" s="5">
        <v>290</v>
      </c>
      <c r="AU4" s="5">
        <v>290</v>
      </c>
      <c r="AV4" s="5">
        <v>290</v>
      </c>
      <c r="AW4" s="5">
        <v>295</v>
      </c>
      <c r="AX4" s="5">
        <v>295</v>
      </c>
      <c r="AY4" s="6">
        <v>290</v>
      </c>
      <c r="BA4" s="10" t="s">
        <v>59</v>
      </c>
      <c r="BC4" s="4" t="s">
        <v>98</v>
      </c>
      <c r="BD4" s="6" t="s">
        <v>7</v>
      </c>
    </row>
    <row r="5" spans="1:56" x14ac:dyDescent="0.25">
      <c r="A5" s="4">
        <v>4</v>
      </c>
      <c r="B5" s="5" t="s">
        <v>43</v>
      </c>
      <c r="C5" s="5">
        <v>0.23380000000000001</v>
      </c>
      <c r="D5" s="5">
        <v>40</v>
      </c>
      <c r="E5" s="6">
        <v>0.24</v>
      </c>
      <c r="G5" s="142">
        <v>75</v>
      </c>
      <c r="H5" s="143">
        <v>125</v>
      </c>
      <c r="I5" s="151">
        <v>0.91489361702127658</v>
      </c>
      <c r="K5" s="144">
        <v>200</v>
      </c>
      <c r="L5" s="145">
        <v>9999</v>
      </c>
      <c r="M5" s="146">
        <v>0.98</v>
      </c>
      <c r="O5" s="4" t="s">
        <v>112</v>
      </c>
      <c r="P5" s="18">
        <v>8.8999999999999996E-2</v>
      </c>
      <c r="Q5" s="137">
        <v>2.4211635220125788E-2</v>
      </c>
      <c r="R5" s="139">
        <v>0.20698254364089774</v>
      </c>
      <c r="V5" s="9" t="s">
        <v>112</v>
      </c>
      <c r="W5" s="4">
        <v>330</v>
      </c>
      <c r="X5" s="5">
        <v>332</v>
      </c>
      <c r="Y5" s="5">
        <v>332</v>
      </c>
      <c r="Z5" s="5">
        <v>332</v>
      </c>
      <c r="AA5" s="5">
        <v>335</v>
      </c>
      <c r="AB5" s="5">
        <v>333</v>
      </c>
      <c r="AC5" s="5">
        <v>330</v>
      </c>
      <c r="AD5" s="5">
        <v>332</v>
      </c>
      <c r="AE5" s="5">
        <v>332</v>
      </c>
      <c r="AF5" s="5">
        <v>332</v>
      </c>
      <c r="AG5" s="5">
        <v>335</v>
      </c>
      <c r="AH5" s="5">
        <v>330</v>
      </c>
      <c r="AI5" s="5">
        <v>332</v>
      </c>
      <c r="AJ5" s="5">
        <v>332</v>
      </c>
      <c r="AK5" s="5">
        <v>332</v>
      </c>
      <c r="AL5" s="5">
        <v>335</v>
      </c>
      <c r="AM5" s="5">
        <v>333</v>
      </c>
      <c r="AN5" s="5">
        <v>330</v>
      </c>
      <c r="AO5" s="5">
        <v>332</v>
      </c>
      <c r="AP5" s="5">
        <v>332</v>
      </c>
      <c r="AQ5" s="5">
        <v>332</v>
      </c>
      <c r="AR5" s="5">
        <v>335</v>
      </c>
      <c r="AS5" s="5">
        <v>328</v>
      </c>
      <c r="AT5" s="5">
        <v>332</v>
      </c>
      <c r="AU5" s="5">
        <v>332</v>
      </c>
      <c r="AV5" s="5">
        <v>332</v>
      </c>
      <c r="AW5" s="5">
        <v>337</v>
      </c>
      <c r="AX5" s="5">
        <v>333</v>
      </c>
      <c r="AY5" s="6">
        <v>330</v>
      </c>
      <c r="BC5" s="4" t="s">
        <v>99</v>
      </c>
      <c r="BD5" s="6" t="s">
        <v>10</v>
      </c>
    </row>
    <row r="6" spans="1:56" x14ac:dyDescent="0.25">
      <c r="A6" s="7">
        <v>5</v>
      </c>
      <c r="B6" s="2" t="s">
        <v>44</v>
      </c>
      <c r="C6" s="2">
        <f t="shared" ref="C6" si="0">IF(System_Age&lt;5,0.32,0.25)</f>
        <v>0.32</v>
      </c>
      <c r="D6" s="2">
        <v>59</v>
      </c>
      <c r="E6" s="8">
        <v>0.25</v>
      </c>
      <c r="G6" s="144">
        <v>125</v>
      </c>
      <c r="H6" s="145">
        <v>9999</v>
      </c>
      <c r="I6" s="152">
        <v>0.9042553191489362</v>
      </c>
      <c r="O6" s="4" t="s">
        <v>48</v>
      </c>
      <c r="P6" s="18">
        <v>0.222</v>
      </c>
      <c r="Q6" s="137">
        <v>7.3658208955223875E-2</v>
      </c>
      <c r="R6" s="139">
        <v>0.3963963963963964</v>
      </c>
      <c r="V6" s="9" t="s">
        <v>48</v>
      </c>
      <c r="W6" s="4">
        <v>290</v>
      </c>
      <c r="X6" s="5">
        <v>290</v>
      </c>
      <c r="Y6" s="5">
        <v>290</v>
      </c>
      <c r="Z6" s="5">
        <v>290</v>
      </c>
      <c r="AA6" s="5">
        <v>295</v>
      </c>
      <c r="AB6" s="5">
        <v>295</v>
      </c>
      <c r="AC6" s="5">
        <v>290</v>
      </c>
      <c r="AD6" s="5">
        <v>290</v>
      </c>
      <c r="AE6" s="5">
        <v>290</v>
      </c>
      <c r="AF6" s="5">
        <v>290</v>
      </c>
      <c r="AG6" s="5">
        <v>295</v>
      </c>
      <c r="AH6" s="5">
        <v>290</v>
      </c>
      <c r="AI6" s="5">
        <v>290</v>
      </c>
      <c r="AJ6" s="5">
        <v>290</v>
      </c>
      <c r="AK6" s="5">
        <v>290</v>
      </c>
      <c r="AL6" s="5">
        <v>295</v>
      </c>
      <c r="AM6" s="5">
        <v>295</v>
      </c>
      <c r="AN6" s="5">
        <v>290</v>
      </c>
      <c r="AO6" s="5">
        <v>290</v>
      </c>
      <c r="AP6" s="5">
        <v>290</v>
      </c>
      <c r="AQ6" s="5">
        <v>290</v>
      </c>
      <c r="AR6" s="5">
        <v>295</v>
      </c>
      <c r="AS6" s="5">
        <v>290</v>
      </c>
      <c r="AT6" s="5">
        <v>290</v>
      </c>
      <c r="AU6" s="5">
        <v>290</v>
      </c>
      <c r="AV6" s="5">
        <v>290</v>
      </c>
      <c r="AW6" s="5">
        <v>295</v>
      </c>
      <c r="AX6" s="5">
        <v>295</v>
      </c>
      <c r="AY6" s="6">
        <v>290</v>
      </c>
      <c r="BC6" s="4" t="s">
        <v>90</v>
      </c>
      <c r="BD6" s="6" t="s">
        <v>3</v>
      </c>
    </row>
    <row r="7" spans="1:56" x14ac:dyDescent="0.25">
      <c r="K7" t="s">
        <v>119</v>
      </c>
      <c r="O7" s="4" t="s">
        <v>52</v>
      </c>
      <c r="P7" s="18">
        <v>0.33800000000000002</v>
      </c>
      <c r="Q7" s="137">
        <v>0.05</v>
      </c>
      <c r="R7" s="139"/>
      <c r="V7" s="9" t="s">
        <v>52</v>
      </c>
      <c r="W7" s="4">
        <v>325</v>
      </c>
      <c r="X7" s="5">
        <v>325</v>
      </c>
      <c r="Y7" s="5">
        <v>320</v>
      </c>
      <c r="Z7" s="5">
        <v>320</v>
      </c>
      <c r="AA7" s="5">
        <v>330</v>
      </c>
      <c r="AB7" s="5">
        <v>330</v>
      </c>
      <c r="AC7" s="5">
        <v>325</v>
      </c>
      <c r="AD7" s="5">
        <v>325</v>
      </c>
      <c r="AE7" s="5">
        <v>320</v>
      </c>
      <c r="AF7" s="5">
        <v>320</v>
      </c>
      <c r="AG7" s="5">
        <v>330</v>
      </c>
      <c r="AH7" s="5">
        <v>325</v>
      </c>
      <c r="AI7" s="5">
        <v>325</v>
      </c>
      <c r="AJ7" s="5">
        <v>325</v>
      </c>
      <c r="AK7" s="5">
        <v>320</v>
      </c>
      <c r="AL7" s="5">
        <v>330</v>
      </c>
      <c r="AM7" s="5">
        <v>330</v>
      </c>
      <c r="AN7" s="5">
        <v>325</v>
      </c>
      <c r="AO7" s="5">
        <v>325</v>
      </c>
      <c r="AP7" s="5">
        <v>320</v>
      </c>
      <c r="AQ7" s="5">
        <v>320</v>
      </c>
      <c r="AR7" s="5">
        <v>330</v>
      </c>
      <c r="AS7" s="5">
        <v>325</v>
      </c>
      <c r="AT7" s="5">
        <v>325</v>
      </c>
      <c r="AU7" s="5">
        <v>325</v>
      </c>
      <c r="AV7" s="5">
        <v>320</v>
      </c>
      <c r="AW7" s="5">
        <v>330</v>
      </c>
      <c r="AX7" s="5">
        <v>330</v>
      </c>
      <c r="AY7" s="6">
        <v>325</v>
      </c>
      <c r="BC7" s="4" t="s">
        <v>91</v>
      </c>
      <c r="BD7" s="6" t="s">
        <v>6</v>
      </c>
    </row>
    <row r="8" spans="1:56" x14ac:dyDescent="0.25">
      <c r="G8" t="s">
        <v>118</v>
      </c>
      <c r="O8" s="7" t="s">
        <v>53</v>
      </c>
      <c r="P8" s="19">
        <v>0.109</v>
      </c>
      <c r="Q8" s="138">
        <v>2.7533466666666669E-2</v>
      </c>
      <c r="R8" s="140">
        <v>0</v>
      </c>
      <c r="V8" s="10" t="s">
        <v>53</v>
      </c>
      <c r="W8" s="7">
        <v>290</v>
      </c>
      <c r="X8" s="2">
        <v>290</v>
      </c>
      <c r="Y8" s="2">
        <v>290</v>
      </c>
      <c r="Z8" s="2">
        <v>290</v>
      </c>
      <c r="AA8" s="2">
        <v>295</v>
      </c>
      <c r="AB8" s="2">
        <v>295</v>
      </c>
      <c r="AC8" s="2">
        <v>290</v>
      </c>
      <c r="AD8" s="2">
        <v>290</v>
      </c>
      <c r="AE8" s="2">
        <v>290</v>
      </c>
      <c r="AF8" s="2">
        <v>290</v>
      </c>
      <c r="AG8" s="2">
        <v>295</v>
      </c>
      <c r="AH8" s="2">
        <v>290</v>
      </c>
      <c r="AI8" s="2">
        <v>290</v>
      </c>
      <c r="AJ8" s="2">
        <v>290</v>
      </c>
      <c r="AK8" s="2">
        <v>290</v>
      </c>
      <c r="AL8" s="2">
        <v>295</v>
      </c>
      <c r="AM8" s="2">
        <v>295</v>
      </c>
      <c r="AN8" s="2">
        <v>290</v>
      </c>
      <c r="AO8" s="2">
        <v>290</v>
      </c>
      <c r="AP8" s="2">
        <v>290</v>
      </c>
      <c r="AQ8" s="2">
        <v>290</v>
      </c>
      <c r="AR8" s="2">
        <v>295</v>
      </c>
      <c r="AS8" s="2">
        <v>290</v>
      </c>
      <c r="AT8" s="2">
        <v>290</v>
      </c>
      <c r="AU8" s="2">
        <v>290</v>
      </c>
      <c r="AV8" s="2">
        <v>290</v>
      </c>
      <c r="AW8" s="2">
        <v>295</v>
      </c>
      <c r="AX8" s="2">
        <v>295</v>
      </c>
      <c r="AY8" s="8">
        <v>290</v>
      </c>
      <c r="BC8" s="4" t="s">
        <v>92</v>
      </c>
      <c r="BD8" s="6" t="s">
        <v>4</v>
      </c>
    </row>
    <row r="9" spans="1:56" x14ac:dyDescent="0.25">
      <c r="BC9" s="4" t="s">
        <v>93</v>
      </c>
      <c r="BD9" s="6" t="s">
        <v>11</v>
      </c>
    </row>
    <row r="10" spans="1:56" x14ac:dyDescent="0.25">
      <c r="BC10" s="4" t="s">
        <v>94</v>
      </c>
      <c r="BD10" s="6" t="s">
        <v>28</v>
      </c>
    </row>
    <row r="11" spans="1:56" x14ac:dyDescent="0.25">
      <c r="BC11" s="4" t="s">
        <v>89</v>
      </c>
      <c r="BD11" s="6" t="s">
        <v>5</v>
      </c>
    </row>
    <row r="12" spans="1:56" x14ac:dyDescent="0.25">
      <c r="BC12" s="7" t="s">
        <v>95</v>
      </c>
      <c r="BD12" s="8" t="s">
        <v>29</v>
      </c>
    </row>
  </sheetData>
  <sheetProtection algorithmName="SHA-512" hashValue="dNfI8wOPAmhSeV5g0aOJCDyLTPyqos8MXzQhSIs8Z/ghfWLeggWUhMmVhhbgkCSWzo5oA5SsjTF89mUN60Jl0g==" saltValue="BMq+wFE0Z/x5+rOZJdqi2g==" spinCount="100000" sheet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25FD-593D-4F2C-8A5E-083BEE5C2CE6}">
  <dimension ref="A1:AF46"/>
  <sheetViews>
    <sheetView topLeftCell="A47" workbookViewId="0">
      <selection activeCell="E72" sqref="E72"/>
    </sheetView>
  </sheetViews>
  <sheetFormatPr defaultRowHeight="15" x14ac:dyDescent="0.25"/>
  <cols>
    <col min="1" max="1" width="30.28515625" style="22" bestFit="1" customWidth="1"/>
    <col min="2" max="2" width="10.5703125" style="22" bestFit="1" customWidth="1"/>
    <col min="3" max="32" width="7" style="22" bestFit="1" customWidth="1"/>
    <col min="33" max="33" width="6" style="22" bestFit="1" customWidth="1"/>
    <col min="34" max="16384" width="9.140625" style="22"/>
  </cols>
  <sheetData>
    <row r="1" spans="1:32" hidden="1" x14ac:dyDescent="0.25">
      <c r="A1" s="22" t="s">
        <v>40</v>
      </c>
      <c r="B1" s="22" t="s">
        <v>38</v>
      </c>
      <c r="C1" s="22">
        <v>2021</v>
      </c>
      <c r="D1" s="22">
        <v>2022</v>
      </c>
      <c r="E1" s="22">
        <v>2023</v>
      </c>
      <c r="F1" s="22">
        <v>2024</v>
      </c>
      <c r="G1" s="22">
        <v>2025</v>
      </c>
      <c r="H1" s="22">
        <v>2026</v>
      </c>
      <c r="I1" s="22">
        <v>2027</v>
      </c>
      <c r="J1" s="22">
        <v>2028</v>
      </c>
      <c r="K1" s="22">
        <v>2029</v>
      </c>
      <c r="L1" s="22">
        <v>2030</v>
      </c>
      <c r="M1" s="22">
        <v>2031</v>
      </c>
      <c r="N1" s="22">
        <v>2032</v>
      </c>
      <c r="O1" s="22">
        <v>2033</v>
      </c>
      <c r="P1" s="22">
        <v>2034</v>
      </c>
      <c r="Q1" s="22">
        <v>2035</v>
      </c>
      <c r="R1" s="22">
        <v>2036</v>
      </c>
      <c r="S1" s="22">
        <v>2037</v>
      </c>
      <c r="T1" s="22">
        <v>2038</v>
      </c>
      <c r="U1" s="22">
        <v>2039</v>
      </c>
      <c r="V1" s="22">
        <v>2040</v>
      </c>
      <c r="W1" s="22">
        <v>2041</v>
      </c>
      <c r="X1" s="22">
        <v>2042</v>
      </c>
      <c r="Y1" s="22">
        <v>2043</v>
      </c>
      <c r="Z1" s="22">
        <v>2044</v>
      </c>
      <c r="AA1" s="22">
        <v>2045</v>
      </c>
      <c r="AB1" s="22">
        <v>2046</v>
      </c>
      <c r="AC1" s="22">
        <v>2047</v>
      </c>
      <c r="AD1" s="22">
        <v>2048</v>
      </c>
      <c r="AE1" s="22">
        <v>2049</v>
      </c>
      <c r="AF1" s="22">
        <v>2050</v>
      </c>
    </row>
    <row r="2" spans="1:32" hidden="1" x14ac:dyDescent="0.25">
      <c r="A2" s="22" t="s">
        <v>41</v>
      </c>
      <c r="B2" s="22" t="s">
        <v>8</v>
      </c>
      <c r="C2" s="22">
        <v>31.1</v>
      </c>
      <c r="D2" s="22">
        <v>33</v>
      </c>
      <c r="E2" s="22">
        <v>32.770000000000003</v>
      </c>
      <c r="F2" s="22">
        <v>33.06</v>
      </c>
      <c r="G2" s="22">
        <v>33.4</v>
      </c>
      <c r="H2" s="22">
        <v>32.51</v>
      </c>
      <c r="I2" s="22">
        <v>33.049999999999997</v>
      </c>
      <c r="J2" s="22">
        <v>33.770000000000003</v>
      </c>
      <c r="K2" s="22">
        <v>34.32</v>
      </c>
      <c r="L2" s="22">
        <v>35.97</v>
      </c>
      <c r="M2" s="22">
        <v>36.67</v>
      </c>
      <c r="N2" s="22">
        <v>36.9</v>
      </c>
      <c r="O2" s="22">
        <v>36.979999999999997</v>
      </c>
      <c r="P2" s="22">
        <v>40.159999999999997</v>
      </c>
      <c r="Q2" s="22">
        <v>42.28</v>
      </c>
      <c r="R2" s="22">
        <v>41.9</v>
      </c>
      <c r="S2" s="22">
        <v>43.84</v>
      </c>
      <c r="T2" s="22">
        <v>45.55</v>
      </c>
      <c r="U2" s="22">
        <v>45.74</v>
      </c>
      <c r="V2" s="22">
        <v>46.53</v>
      </c>
      <c r="W2" s="22">
        <v>47.8</v>
      </c>
      <c r="X2" s="22">
        <v>49.13</v>
      </c>
      <c r="Y2" s="22">
        <v>48.68</v>
      </c>
      <c r="Z2" s="22">
        <v>48.59</v>
      </c>
      <c r="AA2" s="22">
        <v>48.68</v>
      </c>
      <c r="AB2" s="22">
        <v>48.01</v>
      </c>
      <c r="AC2" s="22">
        <v>47.56</v>
      </c>
      <c r="AD2" s="22">
        <v>48.75</v>
      </c>
      <c r="AE2" s="22">
        <v>46.86</v>
      </c>
      <c r="AF2" s="22">
        <v>47</v>
      </c>
    </row>
    <row r="3" spans="1:32" hidden="1" x14ac:dyDescent="0.25">
      <c r="A3" s="22" t="s">
        <v>41</v>
      </c>
      <c r="B3" s="22" t="s">
        <v>9</v>
      </c>
      <c r="C3" s="22">
        <v>32.15</v>
      </c>
      <c r="D3" s="22">
        <v>33.94</v>
      </c>
      <c r="E3" s="22">
        <v>33.619999999999997</v>
      </c>
      <c r="F3" s="22">
        <v>33.979999999999997</v>
      </c>
      <c r="G3" s="22">
        <v>34.119999999999997</v>
      </c>
      <c r="H3" s="22">
        <v>33.229999999999997</v>
      </c>
      <c r="I3" s="22">
        <v>33.78</v>
      </c>
      <c r="J3" s="22">
        <v>34.340000000000003</v>
      </c>
      <c r="K3" s="22">
        <v>34.869999999999997</v>
      </c>
      <c r="L3" s="22">
        <v>36.92</v>
      </c>
      <c r="M3" s="22">
        <v>37.619999999999997</v>
      </c>
      <c r="N3" s="22">
        <v>37.86</v>
      </c>
      <c r="O3" s="22">
        <v>37.94</v>
      </c>
      <c r="P3" s="22">
        <v>41.27</v>
      </c>
      <c r="Q3" s="22">
        <v>43.62</v>
      </c>
      <c r="R3" s="22">
        <v>43.14</v>
      </c>
      <c r="S3" s="22">
        <v>45.11</v>
      </c>
      <c r="T3" s="22">
        <v>46.8</v>
      </c>
      <c r="U3" s="22">
        <v>46.92</v>
      </c>
      <c r="V3" s="22">
        <v>47.72</v>
      </c>
      <c r="W3" s="22">
        <v>48.87</v>
      </c>
      <c r="X3" s="22">
        <v>50.34</v>
      </c>
      <c r="Y3" s="22">
        <v>49.73</v>
      </c>
      <c r="Z3" s="22">
        <v>49.7</v>
      </c>
      <c r="AA3" s="22">
        <v>49.06</v>
      </c>
      <c r="AB3" s="22">
        <v>48.32</v>
      </c>
      <c r="AC3" s="22">
        <v>47.47</v>
      </c>
      <c r="AD3" s="22">
        <v>49.18</v>
      </c>
      <c r="AE3" s="22">
        <v>46.82</v>
      </c>
      <c r="AF3" s="22">
        <v>47.18</v>
      </c>
    </row>
    <row r="4" spans="1:32" hidden="1" x14ac:dyDescent="0.25">
      <c r="A4" s="22" t="s">
        <v>41</v>
      </c>
      <c r="B4" s="22" t="s">
        <v>7</v>
      </c>
      <c r="C4" s="22">
        <v>32.11</v>
      </c>
      <c r="D4" s="22">
        <v>33.68</v>
      </c>
      <c r="E4" s="22">
        <v>33.159999999999997</v>
      </c>
      <c r="F4" s="22">
        <v>33.58</v>
      </c>
      <c r="G4" s="22">
        <v>33.68</v>
      </c>
      <c r="H4" s="22">
        <v>32.82</v>
      </c>
      <c r="I4" s="22">
        <v>33.26</v>
      </c>
      <c r="J4" s="22">
        <v>33.89</v>
      </c>
      <c r="K4" s="22">
        <v>34.33</v>
      </c>
      <c r="L4" s="22">
        <v>36.03</v>
      </c>
      <c r="M4" s="22">
        <v>36.25</v>
      </c>
      <c r="N4" s="22">
        <v>36.56</v>
      </c>
      <c r="O4" s="22">
        <v>36.69</v>
      </c>
      <c r="P4" s="22">
        <v>40.020000000000003</v>
      </c>
      <c r="Q4" s="22">
        <v>42.44</v>
      </c>
      <c r="R4" s="22">
        <v>41.9</v>
      </c>
      <c r="S4" s="22">
        <v>43.63</v>
      </c>
      <c r="T4" s="22">
        <v>45.18</v>
      </c>
      <c r="U4" s="22">
        <v>44.9</v>
      </c>
      <c r="V4" s="22">
        <v>45.9</v>
      </c>
      <c r="W4" s="22">
        <v>46.52</v>
      </c>
      <c r="X4" s="22">
        <v>48.08</v>
      </c>
      <c r="Y4" s="22">
        <v>46.94</v>
      </c>
      <c r="Z4" s="22">
        <v>47.05</v>
      </c>
      <c r="AA4" s="22">
        <v>47.7</v>
      </c>
      <c r="AB4" s="22">
        <v>47.35</v>
      </c>
      <c r="AC4" s="22">
        <v>46.64</v>
      </c>
      <c r="AD4" s="22">
        <v>48.3</v>
      </c>
      <c r="AE4" s="22">
        <v>45.93</v>
      </c>
      <c r="AF4" s="22">
        <v>46.35</v>
      </c>
    </row>
    <row r="5" spans="1:32" hidden="1" x14ac:dyDescent="0.25">
      <c r="A5" s="22" t="s">
        <v>41</v>
      </c>
      <c r="B5" s="22" t="s">
        <v>10</v>
      </c>
      <c r="C5" s="22">
        <v>29.61</v>
      </c>
      <c r="D5" s="22">
        <v>31.68</v>
      </c>
      <c r="E5" s="22">
        <v>31.33</v>
      </c>
      <c r="F5" s="22">
        <v>32.85</v>
      </c>
      <c r="G5" s="22">
        <v>33</v>
      </c>
      <c r="H5" s="22">
        <v>32.090000000000003</v>
      </c>
      <c r="I5" s="22">
        <v>32.58</v>
      </c>
      <c r="J5" s="22">
        <v>33.15</v>
      </c>
      <c r="K5" s="22">
        <v>33.61</v>
      </c>
      <c r="L5" s="22">
        <v>34.93</v>
      </c>
      <c r="M5" s="22">
        <v>35.18</v>
      </c>
      <c r="N5" s="22">
        <v>35.33</v>
      </c>
      <c r="O5" s="22">
        <v>35.590000000000003</v>
      </c>
      <c r="P5" s="22">
        <v>38.51</v>
      </c>
      <c r="Q5" s="22">
        <v>40.409999999999997</v>
      </c>
      <c r="R5" s="22">
        <v>39.75</v>
      </c>
      <c r="S5" s="22">
        <v>41.49</v>
      </c>
      <c r="T5" s="22">
        <v>42.79</v>
      </c>
      <c r="U5" s="22">
        <v>42.54</v>
      </c>
      <c r="V5" s="22">
        <v>43.54</v>
      </c>
      <c r="W5" s="22">
        <v>44.22</v>
      </c>
      <c r="X5" s="22">
        <v>45.59</v>
      </c>
      <c r="Y5" s="22">
        <v>44.67</v>
      </c>
      <c r="Z5" s="22">
        <v>44.73</v>
      </c>
      <c r="AA5" s="22">
        <v>45.42</v>
      </c>
      <c r="AB5" s="22">
        <v>44.88</v>
      </c>
      <c r="AC5" s="22">
        <v>44.26</v>
      </c>
      <c r="AD5" s="22">
        <v>45.74</v>
      </c>
      <c r="AE5" s="22">
        <v>43.64</v>
      </c>
      <c r="AF5" s="22">
        <v>43.77</v>
      </c>
    </row>
    <row r="6" spans="1:32" hidden="1" x14ac:dyDescent="0.25">
      <c r="A6" s="22" t="s">
        <v>41</v>
      </c>
      <c r="B6" s="22" t="s">
        <v>3</v>
      </c>
      <c r="C6" s="22">
        <v>33.22</v>
      </c>
      <c r="D6" s="22">
        <v>34.840000000000003</v>
      </c>
      <c r="E6" s="22">
        <v>34.299999999999997</v>
      </c>
      <c r="F6" s="22">
        <v>34.72</v>
      </c>
      <c r="G6" s="22">
        <v>34.840000000000003</v>
      </c>
      <c r="H6" s="22">
        <v>33.9</v>
      </c>
      <c r="I6" s="22">
        <v>34.409999999999997</v>
      </c>
      <c r="J6" s="22">
        <v>34.99</v>
      </c>
      <c r="K6" s="22">
        <v>35.479999999999997</v>
      </c>
      <c r="L6" s="22">
        <v>36.880000000000003</v>
      </c>
      <c r="M6" s="22">
        <v>37.15</v>
      </c>
      <c r="N6" s="22">
        <v>37.299999999999997</v>
      </c>
      <c r="O6" s="22">
        <v>37.590000000000003</v>
      </c>
      <c r="P6" s="22">
        <v>40.67</v>
      </c>
      <c r="Q6" s="22">
        <v>42.68</v>
      </c>
      <c r="R6" s="22">
        <v>41.99</v>
      </c>
      <c r="S6" s="22">
        <v>43.83</v>
      </c>
      <c r="T6" s="22">
        <v>45.19</v>
      </c>
      <c r="U6" s="22">
        <v>44.9</v>
      </c>
      <c r="V6" s="22">
        <v>45.95</v>
      </c>
      <c r="W6" s="22">
        <v>46.68</v>
      </c>
      <c r="X6" s="22">
        <v>48.1</v>
      </c>
      <c r="Y6" s="22">
        <v>47.1</v>
      </c>
      <c r="Z6" s="22">
        <v>47.15</v>
      </c>
      <c r="AA6" s="22">
        <v>47.92</v>
      </c>
      <c r="AB6" s="22">
        <v>47.3</v>
      </c>
      <c r="AC6" s="22">
        <v>46.64</v>
      </c>
      <c r="AD6" s="22">
        <v>48.24</v>
      </c>
      <c r="AE6" s="22">
        <v>46</v>
      </c>
      <c r="AF6" s="22">
        <v>46.13</v>
      </c>
    </row>
    <row r="7" spans="1:32" hidden="1" x14ac:dyDescent="0.25">
      <c r="A7" s="22" t="s">
        <v>41</v>
      </c>
      <c r="B7" s="22" t="s">
        <v>6</v>
      </c>
      <c r="C7" s="22">
        <v>37.25</v>
      </c>
      <c r="D7" s="22">
        <v>38.700000000000003</v>
      </c>
      <c r="E7" s="22">
        <v>38.31</v>
      </c>
      <c r="F7" s="22">
        <v>37.79</v>
      </c>
      <c r="G7" s="22">
        <v>37.74</v>
      </c>
      <c r="H7" s="22">
        <v>36.69</v>
      </c>
      <c r="I7" s="22">
        <v>37.340000000000003</v>
      </c>
      <c r="J7" s="22">
        <v>37.14</v>
      </c>
      <c r="K7" s="22">
        <v>37.35</v>
      </c>
      <c r="L7" s="22">
        <v>38.619999999999997</v>
      </c>
      <c r="M7" s="22">
        <v>38.57</v>
      </c>
      <c r="N7" s="22">
        <v>38.74</v>
      </c>
      <c r="O7" s="22">
        <v>39.049999999999997</v>
      </c>
      <c r="P7" s="22">
        <v>42.15</v>
      </c>
      <c r="Q7" s="22">
        <v>43.79</v>
      </c>
      <c r="R7" s="22">
        <v>43.04</v>
      </c>
      <c r="S7" s="22">
        <v>44.98</v>
      </c>
      <c r="T7" s="22">
        <v>46.28</v>
      </c>
      <c r="U7" s="22">
        <v>45.93</v>
      </c>
      <c r="V7" s="22">
        <v>47.03</v>
      </c>
      <c r="W7" s="22">
        <v>47.9</v>
      </c>
      <c r="X7" s="22">
        <v>49.28</v>
      </c>
      <c r="Y7" s="22">
        <v>48.33</v>
      </c>
      <c r="Z7" s="22">
        <v>48.23</v>
      </c>
      <c r="AA7" s="22">
        <v>49.05</v>
      </c>
      <c r="AB7" s="22">
        <v>48.42</v>
      </c>
      <c r="AC7" s="22">
        <v>47.72</v>
      </c>
      <c r="AD7" s="22">
        <v>49.34</v>
      </c>
      <c r="AE7" s="22">
        <v>47.14</v>
      </c>
      <c r="AF7" s="22">
        <v>47.23</v>
      </c>
    </row>
    <row r="8" spans="1:32" hidden="1" x14ac:dyDescent="0.25">
      <c r="A8" s="22" t="s">
        <v>41</v>
      </c>
      <c r="B8" s="22" t="s">
        <v>4</v>
      </c>
      <c r="C8" s="22">
        <v>38.36</v>
      </c>
      <c r="D8" s="22">
        <v>39.85</v>
      </c>
      <c r="E8" s="22">
        <v>39.770000000000003</v>
      </c>
      <c r="F8" s="22">
        <v>39.270000000000003</v>
      </c>
      <c r="G8" s="22">
        <v>39.1</v>
      </c>
      <c r="H8" s="22">
        <v>38.14</v>
      </c>
      <c r="I8" s="22">
        <v>38.78</v>
      </c>
      <c r="J8" s="22">
        <v>38.46</v>
      </c>
      <c r="K8" s="22">
        <v>38.630000000000003</v>
      </c>
      <c r="L8" s="22">
        <v>40</v>
      </c>
      <c r="M8" s="22">
        <v>39.94</v>
      </c>
      <c r="N8" s="22">
        <v>40.119999999999997</v>
      </c>
      <c r="O8" s="22">
        <v>40.39</v>
      </c>
      <c r="P8" s="22">
        <v>43.6</v>
      </c>
      <c r="Q8" s="22">
        <v>45.27</v>
      </c>
      <c r="R8" s="22">
        <v>44.57</v>
      </c>
      <c r="S8" s="22">
        <v>46.57</v>
      </c>
      <c r="T8" s="22">
        <v>47.78</v>
      </c>
      <c r="U8" s="22">
        <v>47.39</v>
      </c>
      <c r="V8" s="22">
        <v>48.59</v>
      </c>
      <c r="W8" s="22">
        <v>49.45</v>
      </c>
      <c r="X8" s="22">
        <v>50.77</v>
      </c>
      <c r="Y8" s="22">
        <v>49.81</v>
      </c>
      <c r="Z8" s="22">
        <v>49.66</v>
      </c>
      <c r="AA8" s="22">
        <v>50.59</v>
      </c>
      <c r="AB8" s="22">
        <v>49.96</v>
      </c>
      <c r="AC8" s="22">
        <v>49.34</v>
      </c>
      <c r="AD8" s="22">
        <v>51.06</v>
      </c>
      <c r="AE8" s="22">
        <v>48.93</v>
      </c>
      <c r="AF8" s="22">
        <v>49.03</v>
      </c>
    </row>
    <row r="9" spans="1:32" hidden="1" x14ac:dyDescent="0.25">
      <c r="A9" s="22" t="s">
        <v>41</v>
      </c>
      <c r="B9" s="22" t="s">
        <v>11</v>
      </c>
      <c r="C9" s="22">
        <v>38.590000000000003</v>
      </c>
      <c r="D9" s="22">
        <v>40.14</v>
      </c>
      <c r="E9" s="22">
        <v>40.11</v>
      </c>
      <c r="F9" s="22">
        <v>39.590000000000003</v>
      </c>
      <c r="G9" s="22">
        <v>39.42</v>
      </c>
      <c r="H9" s="22">
        <v>38.51</v>
      </c>
      <c r="I9" s="22">
        <v>39.28</v>
      </c>
      <c r="J9" s="22">
        <v>38.770000000000003</v>
      </c>
      <c r="K9" s="22">
        <v>38.97</v>
      </c>
      <c r="L9" s="22">
        <v>40.35</v>
      </c>
      <c r="M9" s="22">
        <v>40.28</v>
      </c>
      <c r="N9" s="22">
        <v>40.479999999999997</v>
      </c>
      <c r="O9" s="22">
        <v>40.82</v>
      </c>
      <c r="P9" s="22">
        <v>44.1</v>
      </c>
      <c r="Q9" s="22">
        <v>45.82</v>
      </c>
      <c r="R9" s="22">
        <v>45.17</v>
      </c>
      <c r="S9" s="22">
        <v>47.31</v>
      </c>
      <c r="T9" s="22">
        <v>48.75</v>
      </c>
      <c r="U9" s="22">
        <v>48.46</v>
      </c>
      <c r="V9" s="22">
        <v>49.97</v>
      </c>
      <c r="W9" s="22">
        <v>51.09</v>
      </c>
      <c r="X9" s="22">
        <v>52.69</v>
      </c>
      <c r="Y9" s="22">
        <v>51.86</v>
      </c>
      <c r="Z9" s="22">
        <v>51.84</v>
      </c>
      <c r="AA9" s="22">
        <v>53.09</v>
      </c>
      <c r="AB9" s="22">
        <v>52.54</v>
      </c>
      <c r="AC9" s="22">
        <v>52.22</v>
      </c>
      <c r="AD9" s="22">
        <v>54.12</v>
      </c>
      <c r="AE9" s="22">
        <v>52.31</v>
      </c>
      <c r="AF9" s="22">
        <v>52.44</v>
      </c>
    </row>
    <row r="10" spans="1:32" hidden="1" x14ac:dyDescent="0.25">
      <c r="A10" s="22" t="s">
        <v>41</v>
      </c>
      <c r="B10" s="22" t="s">
        <v>28</v>
      </c>
      <c r="C10" s="22">
        <v>38.72</v>
      </c>
      <c r="D10" s="22">
        <v>40.28</v>
      </c>
      <c r="E10" s="22">
        <v>40.25</v>
      </c>
      <c r="F10" s="22">
        <v>39.729999999999997</v>
      </c>
      <c r="G10" s="22">
        <v>39.549999999999997</v>
      </c>
      <c r="H10" s="22">
        <v>38.64</v>
      </c>
      <c r="I10" s="22">
        <v>39.42</v>
      </c>
      <c r="J10" s="22">
        <v>38.909999999999997</v>
      </c>
      <c r="K10" s="22">
        <v>39.1</v>
      </c>
      <c r="L10" s="22">
        <v>40.479999999999997</v>
      </c>
      <c r="M10" s="22">
        <v>40.409999999999997</v>
      </c>
      <c r="N10" s="22">
        <v>40.61</v>
      </c>
      <c r="O10" s="22">
        <v>40.950000000000003</v>
      </c>
      <c r="P10" s="22">
        <v>44.23</v>
      </c>
      <c r="Q10" s="22">
        <v>45.96</v>
      </c>
      <c r="R10" s="22">
        <v>45.3</v>
      </c>
      <c r="S10" s="22">
        <v>47.45</v>
      </c>
      <c r="T10" s="22">
        <v>48.88</v>
      </c>
      <c r="U10" s="22">
        <v>48.6</v>
      </c>
      <c r="V10" s="22">
        <v>50.11</v>
      </c>
      <c r="W10" s="22">
        <v>51.24</v>
      </c>
      <c r="X10" s="22">
        <v>52.83</v>
      </c>
      <c r="Y10" s="22">
        <v>52</v>
      </c>
      <c r="Z10" s="22">
        <v>51.98</v>
      </c>
      <c r="AA10" s="22">
        <v>53.23</v>
      </c>
      <c r="AB10" s="22">
        <v>52.68</v>
      </c>
      <c r="AC10" s="22">
        <v>52.35</v>
      </c>
      <c r="AD10" s="22">
        <v>54.26</v>
      </c>
      <c r="AE10" s="22">
        <v>52.44</v>
      </c>
      <c r="AF10" s="22">
        <v>52.57</v>
      </c>
    </row>
    <row r="11" spans="1:32" hidden="1" x14ac:dyDescent="0.25">
      <c r="A11" s="22" t="s">
        <v>41</v>
      </c>
      <c r="B11" s="22" t="s">
        <v>5</v>
      </c>
      <c r="C11" s="22">
        <v>39.36</v>
      </c>
      <c r="D11" s="22">
        <v>40.950000000000003</v>
      </c>
      <c r="E11" s="22">
        <v>40.99</v>
      </c>
      <c r="F11" s="22">
        <v>40.54</v>
      </c>
      <c r="G11" s="22">
        <v>40.32</v>
      </c>
      <c r="H11" s="22">
        <v>39.42</v>
      </c>
      <c r="I11" s="22">
        <v>40.18</v>
      </c>
      <c r="J11" s="22">
        <v>39.619999999999997</v>
      </c>
      <c r="K11" s="22">
        <v>39.79</v>
      </c>
      <c r="L11" s="22">
        <v>41.19</v>
      </c>
      <c r="M11" s="22">
        <v>41.14</v>
      </c>
      <c r="N11" s="22">
        <v>41.29</v>
      </c>
      <c r="O11" s="22">
        <v>41.69</v>
      </c>
      <c r="P11" s="22">
        <v>44.89</v>
      </c>
      <c r="Q11" s="22">
        <v>46.58</v>
      </c>
      <c r="R11" s="22">
        <v>45.88</v>
      </c>
      <c r="S11" s="22">
        <v>48.08</v>
      </c>
      <c r="T11" s="22">
        <v>49.52</v>
      </c>
      <c r="U11" s="22">
        <v>49.27</v>
      </c>
      <c r="V11" s="22">
        <v>50.89</v>
      </c>
      <c r="W11" s="22">
        <v>52.08</v>
      </c>
      <c r="X11" s="22">
        <v>53.62</v>
      </c>
      <c r="Y11" s="22">
        <v>52.78</v>
      </c>
      <c r="Z11" s="22">
        <v>52.79</v>
      </c>
      <c r="AA11" s="22">
        <v>53.98</v>
      </c>
      <c r="AB11" s="22">
        <v>53.4</v>
      </c>
      <c r="AC11" s="22">
        <v>53.01</v>
      </c>
      <c r="AD11" s="22">
        <v>54.86</v>
      </c>
      <c r="AE11" s="22">
        <v>53.05</v>
      </c>
      <c r="AF11" s="22">
        <v>53.1</v>
      </c>
    </row>
    <row r="12" spans="1:32" hidden="1" x14ac:dyDescent="0.25">
      <c r="A12" s="22" t="s">
        <v>41</v>
      </c>
      <c r="B12" s="22" t="s">
        <v>29</v>
      </c>
      <c r="C12" s="22">
        <v>46.07</v>
      </c>
      <c r="D12" s="22">
        <v>48.22</v>
      </c>
      <c r="E12" s="22">
        <v>48.52</v>
      </c>
      <c r="F12" s="22">
        <v>46.9</v>
      </c>
      <c r="G12" s="22">
        <v>46.45</v>
      </c>
      <c r="H12" s="22">
        <v>43.57</v>
      </c>
      <c r="I12" s="22">
        <v>44.58</v>
      </c>
      <c r="J12" s="22">
        <v>44.33</v>
      </c>
      <c r="K12" s="22">
        <v>43.79</v>
      </c>
      <c r="L12" s="22">
        <v>44.72</v>
      </c>
      <c r="M12" s="22">
        <v>43.05</v>
      </c>
      <c r="N12" s="22">
        <v>42.11</v>
      </c>
      <c r="O12" s="22">
        <v>40.81</v>
      </c>
      <c r="P12" s="22">
        <v>43.9</v>
      </c>
      <c r="Q12" s="22">
        <v>44.21</v>
      </c>
      <c r="R12" s="22">
        <v>45.09</v>
      </c>
      <c r="S12" s="22">
        <v>46.62</v>
      </c>
      <c r="T12" s="22">
        <v>47.92</v>
      </c>
      <c r="U12" s="22">
        <v>47.87</v>
      </c>
      <c r="V12" s="22">
        <v>49.01</v>
      </c>
      <c r="W12" s="22">
        <v>50.41</v>
      </c>
      <c r="X12" s="22">
        <v>52.51</v>
      </c>
      <c r="Y12" s="22">
        <v>52.64</v>
      </c>
      <c r="Z12" s="22">
        <v>53.5</v>
      </c>
      <c r="AA12" s="22">
        <v>53.65</v>
      </c>
      <c r="AB12" s="22">
        <v>52.56</v>
      </c>
      <c r="AC12" s="22">
        <v>52.8</v>
      </c>
      <c r="AD12" s="22">
        <v>54.13</v>
      </c>
      <c r="AE12" s="22">
        <v>52.38</v>
      </c>
      <c r="AF12" s="22">
        <v>52.52</v>
      </c>
    </row>
    <row r="13" spans="1:32" hidden="1" x14ac:dyDescent="0.25"/>
    <row r="14" spans="1:32" hidden="1" x14ac:dyDescent="0.25"/>
    <row r="15" spans="1:32" hidden="1" x14ac:dyDescent="0.25"/>
    <row r="16" spans="1:32" hidden="1" x14ac:dyDescent="0.25"/>
    <row r="17" spans="1:32" hidden="1" x14ac:dyDescent="0.25"/>
    <row r="18" spans="1:32" hidden="1" x14ac:dyDescent="0.25">
      <c r="B18" s="22" t="s">
        <v>38</v>
      </c>
      <c r="C18" s="22">
        <v>2021</v>
      </c>
      <c r="D18" s="22">
        <v>2022</v>
      </c>
      <c r="E18" s="22">
        <v>2023</v>
      </c>
      <c r="F18" s="22">
        <v>2024</v>
      </c>
      <c r="G18" s="22">
        <v>2025</v>
      </c>
      <c r="H18" s="22">
        <v>2026</v>
      </c>
      <c r="I18" s="22">
        <v>2027</v>
      </c>
      <c r="J18" s="22">
        <v>2028</v>
      </c>
      <c r="K18" s="22">
        <v>2029</v>
      </c>
      <c r="L18" s="22">
        <v>2030</v>
      </c>
      <c r="M18" s="22">
        <v>2031</v>
      </c>
      <c r="N18" s="22">
        <v>2032</v>
      </c>
      <c r="O18" s="22">
        <v>2033</v>
      </c>
      <c r="P18" s="22">
        <v>2034</v>
      </c>
      <c r="Q18" s="22">
        <v>2035</v>
      </c>
      <c r="R18" s="22">
        <v>2036</v>
      </c>
      <c r="S18" s="22">
        <v>2037</v>
      </c>
      <c r="T18" s="22">
        <v>2038</v>
      </c>
      <c r="U18" s="22">
        <v>2039</v>
      </c>
      <c r="V18" s="22">
        <v>2040</v>
      </c>
      <c r="W18" s="22">
        <v>2041</v>
      </c>
      <c r="X18" s="22">
        <v>2042</v>
      </c>
      <c r="Y18" s="22">
        <v>2043</v>
      </c>
      <c r="Z18" s="22">
        <v>2044</v>
      </c>
      <c r="AA18" s="22">
        <v>2045</v>
      </c>
      <c r="AB18" s="22">
        <v>2046</v>
      </c>
      <c r="AC18" s="22">
        <v>2047</v>
      </c>
      <c r="AD18" s="22">
        <v>2048</v>
      </c>
      <c r="AE18" s="22">
        <v>2049</v>
      </c>
      <c r="AF18" s="22">
        <v>2050</v>
      </c>
    </row>
    <row r="19" spans="1:32" hidden="1" x14ac:dyDescent="0.25">
      <c r="A19" s="22" t="s">
        <v>39</v>
      </c>
      <c r="B19" s="22" t="s">
        <v>8</v>
      </c>
      <c r="C19" s="22">
        <v>10.18</v>
      </c>
      <c r="D19" s="22">
        <v>14.08</v>
      </c>
      <c r="E19" s="22">
        <v>39.97</v>
      </c>
      <c r="F19" s="22">
        <v>56.31</v>
      </c>
      <c r="G19" s="22">
        <v>68.3</v>
      </c>
      <c r="H19" s="22">
        <v>72.959999999999994</v>
      </c>
      <c r="I19" s="22">
        <v>81.319999999999993</v>
      </c>
      <c r="J19" s="22">
        <v>86.29</v>
      </c>
      <c r="K19" s="22">
        <v>91.16</v>
      </c>
      <c r="L19" s="22">
        <v>92.05</v>
      </c>
      <c r="M19" s="22">
        <v>95.9</v>
      </c>
      <c r="N19" s="22">
        <v>102.34</v>
      </c>
      <c r="O19" s="22">
        <v>102.22</v>
      </c>
      <c r="P19" s="22">
        <v>104.63</v>
      </c>
      <c r="Q19" s="22">
        <v>106.14</v>
      </c>
      <c r="R19" s="22">
        <v>108.53</v>
      </c>
      <c r="S19" s="22">
        <v>111.71</v>
      </c>
      <c r="T19" s="22">
        <v>114.1</v>
      </c>
      <c r="U19" s="22">
        <v>116.44</v>
      </c>
      <c r="V19" s="22">
        <v>119.18</v>
      </c>
      <c r="W19" s="22">
        <v>121.57</v>
      </c>
      <c r="X19" s="22">
        <v>124</v>
      </c>
      <c r="Y19" s="22">
        <v>126.48</v>
      </c>
      <c r="Z19" s="22">
        <v>129.01</v>
      </c>
      <c r="AA19" s="22">
        <v>131.59</v>
      </c>
      <c r="AB19" s="22">
        <v>134.22</v>
      </c>
      <c r="AC19" s="22">
        <v>136.9</v>
      </c>
      <c r="AD19" s="22">
        <v>139.63999999999999</v>
      </c>
      <c r="AE19" s="22">
        <v>142.43</v>
      </c>
      <c r="AF19" s="22">
        <v>145.28</v>
      </c>
    </row>
    <row r="20" spans="1:32" hidden="1" x14ac:dyDescent="0.25">
      <c r="A20" s="22" t="s">
        <v>39</v>
      </c>
      <c r="B20" s="22" t="s">
        <v>9</v>
      </c>
      <c r="C20" s="22">
        <v>10.18</v>
      </c>
      <c r="D20" s="22">
        <v>14.08</v>
      </c>
      <c r="E20" s="22">
        <v>39.97</v>
      </c>
      <c r="F20" s="22">
        <v>56.31</v>
      </c>
      <c r="G20" s="22">
        <v>68.3</v>
      </c>
      <c r="H20" s="22">
        <v>72.959999999999994</v>
      </c>
      <c r="I20" s="22">
        <v>81.319999999999993</v>
      </c>
      <c r="J20" s="22">
        <v>86.29</v>
      </c>
      <c r="K20" s="22">
        <v>91.16</v>
      </c>
      <c r="L20" s="22">
        <v>92.05</v>
      </c>
      <c r="M20" s="22">
        <v>95.9</v>
      </c>
      <c r="N20" s="22">
        <v>102.34</v>
      </c>
      <c r="O20" s="22">
        <v>102.22</v>
      </c>
      <c r="P20" s="22">
        <v>104.63</v>
      </c>
      <c r="Q20" s="22">
        <v>106.14</v>
      </c>
      <c r="R20" s="22">
        <v>108.53</v>
      </c>
      <c r="S20" s="22">
        <v>111.71</v>
      </c>
      <c r="T20" s="22">
        <v>114.1</v>
      </c>
      <c r="U20" s="22">
        <v>116.44</v>
      </c>
      <c r="V20" s="22">
        <v>119.18</v>
      </c>
      <c r="W20" s="22">
        <v>121.57</v>
      </c>
      <c r="X20" s="22">
        <v>124</v>
      </c>
      <c r="Y20" s="22">
        <v>126.48</v>
      </c>
      <c r="Z20" s="22">
        <v>129.01</v>
      </c>
      <c r="AA20" s="22">
        <v>131.59</v>
      </c>
      <c r="AB20" s="22">
        <v>134.22</v>
      </c>
      <c r="AC20" s="22">
        <v>136.9</v>
      </c>
      <c r="AD20" s="22">
        <v>139.63999999999999</v>
      </c>
      <c r="AE20" s="22">
        <v>142.43</v>
      </c>
      <c r="AF20" s="22">
        <v>145.28</v>
      </c>
    </row>
    <row r="21" spans="1:32" hidden="1" x14ac:dyDescent="0.25">
      <c r="A21" s="22" t="s">
        <v>39</v>
      </c>
      <c r="B21" s="22" t="s">
        <v>7</v>
      </c>
      <c r="C21" s="22">
        <v>10.18</v>
      </c>
      <c r="D21" s="22">
        <v>14.08</v>
      </c>
      <c r="E21" s="22">
        <v>39.97</v>
      </c>
      <c r="F21" s="22">
        <v>56.31</v>
      </c>
      <c r="G21" s="22">
        <v>68.3</v>
      </c>
      <c r="H21" s="22">
        <v>72.959999999999994</v>
      </c>
      <c r="I21" s="22">
        <v>81.319999999999993</v>
      </c>
      <c r="J21" s="22">
        <v>86.29</v>
      </c>
      <c r="K21" s="22">
        <v>91.16</v>
      </c>
      <c r="L21" s="22">
        <v>92.05</v>
      </c>
      <c r="M21" s="22">
        <v>95.9</v>
      </c>
      <c r="N21" s="22">
        <v>102.34</v>
      </c>
      <c r="O21" s="22">
        <v>102.22</v>
      </c>
      <c r="P21" s="22">
        <v>104.63</v>
      </c>
      <c r="Q21" s="22">
        <v>106.14</v>
      </c>
      <c r="R21" s="22">
        <v>108.53</v>
      </c>
      <c r="S21" s="22">
        <v>111.71</v>
      </c>
      <c r="T21" s="22">
        <v>114.1</v>
      </c>
      <c r="U21" s="22">
        <v>116.44</v>
      </c>
      <c r="V21" s="22">
        <v>119.18</v>
      </c>
      <c r="W21" s="22">
        <v>121.57</v>
      </c>
      <c r="X21" s="22">
        <v>124</v>
      </c>
      <c r="Y21" s="22">
        <v>126.48</v>
      </c>
      <c r="Z21" s="22">
        <v>129.01</v>
      </c>
      <c r="AA21" s="22">
        <v>131.59</v>
      </c>
      <c r="AB21" s="22">
        <v>134.22</v>
      </c>
      <c r="AC21" s="22">
        <v>136.9</v>
      </c>
      <c r="AD21" s="22">
        <v>139.63999999999999</v>
      </c>
      <c r="AE21" s="22">
        <v>142.43</v>
      </c>
      <c r="AF21" s="22">
        <v>145.28</v>
      </c>
    </row>
    <row r="22" spans="1:32" hidden="1" x14ac:dyDescent="0.25">
      <c r="A22" s="22" t="s">
        <v>39</v>
      </c>
      <c r="B22" s="22" t="s">
        <v>10</v>
      </c>
      <c r="C22" s="22">
        <v>10.18</v>
      </c>
      <c r="D22" s="22">
        <v>14.08</v>
      </c>
      <c r="E22" s="22">
        <v>39.97</v>
      </c>
      <c r="F22" s="22">
        <v>56.31</v>
      </c>
      <c r="G22" s="22">
        <v>68.3</v>
      </c>
      <c r="H22" s="22">
        <v>72.959999999999994</v>
      </c>
      <c r="I22" s="22">
        <v>81.319999999999993</v>
      </c>
      <c r="J22" s="22">
        <v>86.29</v>
      </c>
      <c r="K22" s="22">
        <v>91.16</v>
      </c>
      <c r="L22" s="22">
        <v>92.05</v>
      </c>
      <c r="M22" s="22">
        <v>95.9</v>
      </c>
      <c r="N22" s="22">
        <v>102.34</v>
      </c>
      <c r="O22" s="22">
        <v>102.22</v>
      </c>
      <c r="P22" s="22">
        <v>104.63</v>
      </c>
      <c r="Q22" s="22">
        <v>106.14</v>
      </c>
      <c r="R22" s="22">
        <v>108.53</v>
      </c>
      <c r="S22" s="22">
        <v>111.71</v>
      </c>
      <c r="T22" s="22">
        <v>114.1</v>
      </c>
      <c r="U22" s="22">
        <v>116.44</v>
      </c>
      <c r="V22" s="22">
        <v>119.18</v>
      </c>
      <c r="W22" s="22">
        <v>121.57</v>
      </c>
      <c r="X22" s="22">
        <v>124</v>
      </c>
      <c r="Y22" s="22">
        <v>126.48</v>
      </c>
      <c r="Z22" s="22">
        <v>129.01</v>
      </c>
      <c r="AA22" s="22">
        <v>131.59</v>
      </c>
      <c r="AB22" s="22">
        <v>134.22</v>
      </c>
      <c r="AC22" s="22">
        <v>136.9</v>
      </c>
      <c r="AD22" s="22">
        <v>139.63999999999999</v>
      </c>
      <c r="AE22" s="22">
        <v>142.43</v>
      </c>
      <c r="AF22" s="22">
        <v>145.28</v>
      </c>
    </row>
    <row r="23" spans="1:32" hidden="1" x14ac:dyDescent="0.25">
      <c r="A23" s="22" t="s">
        <v>39</v>
      </c>
      <c r="B23" s="22" t="s">
        <v>3</v>
      </c>
      <c r="C23" s="22">
        <v>10.18</v>
      </c>
      <c r="D23" s="22">
        <v>14.08</v>
      </c>
      <c r="E23" s="22">
        <v>39.97</v>
      </c>
      <c r="F23" s="22">
        <v>56.31</v>
      </c>
      <c r="G23" s="22">
        <v>68.3</v>
      </c>
      <c r="H23" s="22">
        <v>72.959999999999994</v>
      </c>
      <c r="I23" s="22">
        <v>81.319999999999993</v>
      </c>
      <c r="J23" s="22">
        <v>86.29</v>
      </c>
      <c r="K23" s="22">
        <v>91.16</v>
      </c>
      <c r="L23" s="22">
        <v>92.05</v>
      </c>
      <c r="M23" s="22">
        <v>95.9</v>
      </c>
      <c r="N23" s="22">
        <v>102.34</v>
      </c>
      <c r="O23" s="22">
        <v>102.22</v>
      </c>
      <c r="P23" s="22">
        <v>104.63</v>
      </c>
      <c r="Q23" s="22">
        <v>106.14</v>
      </c>
      <c r="R23" s="22">
        <v>108.53</v>
      </c>
      <c r="S23" s="22">
        <v>111.71</v>
      </c>
      <c r="T23" s="22">
        <v>114.1</v>
      </c>
      <c r="U23" s="22">
        <v>116.44</v>
      </c>
      <c r="V23" s="22">
        <v>119.18</v>
      </c>
      <c r="W23" s="22">
        <v>121.57</v>
      </c>
      <c r="X23" s="22">
        <v>124</v>
      </c>
      <c r="Y23" s="22">
        <v>126.48</v>
      </c>
      <c r="Z23" s="22">
        <v>129.01</v>
      </c>
      <c r="AA23" s="22">
        <v>131.59</v>
      </c>
      <c r="AB23" s="22">
        <v>134.22</v>
      </c>
      <c r="AC23" s="22">
        <v>136.9</v>
      </c>
      <c r="AD23" s="22">
        <v>139.63999999999999</v>
      </c>
      <c r="AE23" s="22">
        <v>142.43</v>
      </c>
      <c r="AF23" s="22">
        <v>145.28</v>
      </c>
    </row>
    <row r="24" spans="1:32" hidden="1" x14ac:dyDescent="0.25">
      <c r="A24" s="22" t="s">
        <v>39</v>
      </c>
      <c r="B24" s="22" t="s">
        <v>6</v>
      </c>
      <c r="C24" s="22">
        <v>10.18</v>
      </c>
      <c r="D24" s="22">
        <v>14.08</v>
      </c>
      <c r="E24" s="22">
        <v>39.97</v>
      </c>
      <c r="F24" s="22">
        <v>56.31</v>
      </c>
      <c r="G24" s="22">
        <v>68.3</v>
      </c>
      <c r="H24" s="22">
        <v>72.959999999999994</v>
      </c>
      <c r="I24" s="22">
        <v>81.319999999999993</v>
      </c>
      <c r="J24" s="22">
        <v>86.29</v>
      </c>
      <c r="K24" s="22">
        <v>91.16</v>
      </c>
      <c r="L24" s="22">
        <v>92.05</v>
      </c>
      <c r="M24" s="22">
        <v>95.9</v>
      </c>
      <c r="N24" s="22">
        <v>102.34</v>
      </c>
      <c r="O24" s="22">
        <v>102.22</v>
      </c>
      <c r="P24" s="22">
        <v>104.63</v>
      </c>
      <c r="Q24" s="22">
        <v>106.14</v>
      </c>
      <c r="R24" s="22">
        <v>108.53</v>
      </c>
      <c r="S24" s="22">
        <v>111.71</v>
      </c>
      <c r="T24" s="22">
        <v>114.1</v>
      </c>
      <c r="U24" s="22">
        <v>116.44</v>
      </c>
      <c r="V24" s="22">
        <v>119.18</v>
      </c>
      <c r="W24" s="22">
        <v>121.57</v>
      </c>
      <c r="X24" s="22">
        <v>124</v>
      </c>
      <c r="Y24" s="22">
        <v>126.48</v>
      </c>
      <c r="Z24" s="22">
        <v>129.01</v>
      </c>
      <c r="AA24" s="22">
        <v>131.59</v>
      </c>
      <c r="AB24" s="22">
        <v>134.22</v>
      </c>
      <c r="AC24" s="22">
        <v>136.9</v>
      </c>
      <c r="AD24" s="22">
        <v>139.63999999999999</v>
      </c>
      <c r="AE24" s="22">
        <v>142.43</v>
      </c>
      <c r="AF24" s="22">
        <v>145.28</v>
      </c>
    </row>
    <row r="25" spans="1:32" hidden="1" x14ac:dyDescent="0.25">
      <c r="A25" s="22" t="s">
        <v>39</v>
      </c>
      <c r="B25" s="22" t="s">
        <v>4</v>
      </c>
      <c r="C25" s="22">
        <v>15.33</v>
      </c>
      <c r="D25" s="22">
        <v>20.43</v>
      </c>
      <c r="E25" s="22">
        <v>43.04</v>
      </c>
      <c r="F25" s="22">
        <v>57.43</v>
      </c>
      <c r="G25" s="22">
        <v>69.69</v>
      </c>
      <c r="H25" s="22">
        <v>76.2</v>
      </c>
      <c r="I25" s="22">
        <v>84.02</v>
      </c>
      <c r="J25" s="22">
        <v>88.44</v>
      </c>
      <c r="K25" s="22">
        <v>93.54</v>
      </c>
      <c r="L25" s="22">
        <v>95.99</v>
      </c>
      <c r="M25" s="22">
        <v>101.01</v>
      </c>
      <c r="N25" s="22">
        <v>106.89</v>
      </c>
      <c r="O25" s="22">
        <v>106.07</v>
      </c>
      <c r="P25" s="22">
        <v>107.79</v>
      </c>
      <c r="Q25" s="22">
        <v>108.78</v>
      </c>
      <c r="R25" s="22">
        <v>116.4</v>
      </c>
      <c r="S25" s="22">
        <v>119</v>
      </c>
      <c r="T25" s="22">
        <v>121.68</v>
      </c>
      <c r="U25" s="22">
        <v>124.08</v>
      </c>
      <c r="V25" s="22">
        <v>126.94</v>
      </c>
      <c r="W25" s="22">
        <v>129.47999999999999</v>
      </c>
      <c r="X25" s="22">
        <v>132.07</v>
      </c>
      <c r="Y25" s="22">
        <v>134.71</v>
      </c>
      <c r="Z25" s="22">
        <v>137.4</v>
      </c>
      <c r="AA25" s="22">
        <v>140.15</v>
      </c>
      <c r="AB25" s="22">
        <v>142.94999999999999</v>
      </c>
      <c r="AC25" s="22">
        <v>145.81</v>
      </c>
      <c r="AD25" s="22">
        <v>148.72999999999999</v>
      </c>
      <c r="AE25" s="22">
        <v>151.69999999999999</v>
      </c>
      <c r="AF25" s="22">
        <v>154.74</v>
      </c>
    </row>
    <row r="26" spans="1:32" hidden="1" x14ac:dyDescent="0.25">
      <c r="A26" s="22" t="s">
        <v>39</v>
      </c>
      <c r="B26" s="22" t="s">
        <v>11</v>
      </c>
      <c r="C26" s="22">
        <v>15.33</v>
      </c>
      <c r="D26" s="22">
        <v>20.43</v>
      </c>
      <c r="E26" s="22">
        <v>43.04</v>
      </c>
      <c r="F26" s="22">
        <v>57.43</v>
      </c>
      <c r="G26" s="22">
        <v>69.69</v>
      </c>
      <c r="H26" s="22">
        <v>76.2</v>
      </c>
      <c r="I26" s="22">
        <v>84.02</v>
      </c>
      <c r="J26" s="22">
        <v>88.44</v>
      </c>
      <c r="K26" s="22">
        <v>93.54</v>
      </c>
      <c r="L26" s="22">
        <v>95.99</v>
      </c>
      <c r="M26" s="22">
        <v>101.01</v>
      </c>
      <c r="N26" s="22">
        <v>106.89</v>
      </c>
      <c r="O26" s="22">
        <v>106.07</v>
      </c>
      <c r="P26" s="22">
        <v>107.79</v>
      </c>
      <c r="Q26" s="22">
        <v>108.78</v>
      </c>
      <c r="R26" s="22">
        <v>116.4</v>
      </c>
      <c r="S26" s="22">
        <v>119</v>
      </c>
      <c r="T26" s="22">
        <v>121.68</v>
      </c>
      <c r="U26" s="22">
        <v>124.08</v>
      </c>
      <c r="V26" s="22">
        <v>126.94</v>
      </c>
      <c r="W26" s="22">
        <v>129.47999999999999</v>
      </c>
      <c r="X26" s="22">
        <v>132.07</v>
      </c>
      <c r="Y26" s="22">
        <v>134.71</v>
      </c>
      <c r="Z26" s="22">
        <v>137.4</v>
      </c>
      <c r="AA26" s="22">
        <v>140.15</v>
      </c>
      <c r="AB26" s="22">
        <v>142.94999999999999</v>
      </c>
      <c r="AC26" s="22">
        <v>145.81</v>
      </c>
      <c r="AD26" s="22">
        <v>148.72999999999999</v>
      </c>
      <c r="AE26" s="22">
        <v>151.69999999999999</v>
      </c>
      <c r="AF26" s="22">
        <v>154.74</v>
      </c>
    </row>
    <row r="27" spans="1:32" hidden="1" x14ac:dyDescent="0.25">
      <c r="A27" s="22" t="s">
        <v>39</v>
      </c>
      <c r="B27" s="22" t="s">
        <v>28</v>
      </c>
      <c r="C27" s="22">
        <v>15.33</v>
      </c>
      <c r="D27" s="22">
        <v>20.43</v>
      </c>
      <c r="E27" s="22">
        <v>43.04</v>
      </c>
      <c r="F27" s="22">
        <v>57.43</v>
      </c>
      <c r="G27" s="22">
        <v>69.69</v>
      </c>
      <c r="H27" s="22">
        <v>76.2</v>
      </c>
      <c r="I27" s="22">
        <v>84.02</v>
      </c>
      <c r="J27" s="22">
        <v>88.44</v>
      </c>
      <c r="K27" s="22">
        <v>93.54</v>
      </c>
      <c r="L27" s="22">
        <v>95.99</v>
      </c>
      <c r="M27" s="22">
        <v>101.01</v>
      </c>
      <c r="N27" s="22">
        <v>106.89</v>
      </c>
      <c r="O27" s="22">
        <v>106.07</v>
      </c>
      <c r="P27" s="22">
        <v>107.79</v>
      </c>
      <c r="Q27" s="22">
        <v>108.78</v>
      </c>
      <c r="R27" s="22">
        <v>116.4</v>
      </c>
      <c r="S27" s="22">
        <v>119</v>
      </c>
      <c r="T27" s="22">
        <v>121.68</v>
      </c>
      <c r="U27" s="22">
        <v>124.08</v>
      </c>
      <c r="V27" s="22">
        <v>126.94</v>
      </c>
      <c r="W27" s="22">
        <v>129.47999999999999</v>
      </c>
      <c r="X27" s="22">
        <v>132.07</v>
      </c>
      <c r="Y27" s="22">
        <v>134.71</v>
      </c>
      <c r="Z27" s="22">
        <v>137.4</v>
      </c>
      <c r="AA27" s="22">
        <v>140.15</v>
      </c>
      <c r="AB27" s="22">
        <v>142.94999999999999</v>
      </c>
      <c r="AC27" s="22">
        <v>145.81</v>
      </c>
      <c r="AD27" s="22">
        <v>148.72999999999999</v>
      </c>
      <c r="AE27" s="22">
        <v>151.69999999999999</v>
      </c>
      <c r="AF27" s="22">
        <v>154.74</v>
      </c>
    </row>
    <row r="28" spans="1:32" hidden="1" x14ac:dyDescent="0.25">
      <c r="A28" s="22" t="s">
        <v>39</v>
      </c>
      <c r="B28" s="22" t="s">
        <v>5</v>
      </c>
      <c r="C28" s="22">
        <v>125.74</v>
      </c>
      <c r="D28" s="22">
        <v>106.29</v>
      </c>
      <c r="E28" s="22">
        <v>111.38</v>
      </c>
      <c r="F28" s="22">
        <v>120.81</v>
      </c>
      <c r="G28" s="22">
        <v>138.09</v>
      </c>
      <c r="H28" s="22">
        <v>141.62</v>
      </c>
      <c r="I28" s="22">
        <v>146.05000000000001</v>
      </c>
      <c r="J28" s="22">
        <v>150.05000000000001</v>
      </c>
      <c r="K28" s="22">
        <v>154.1</v>
      </c>
      <c r="L28" s="22">
        <v>152.32</v>
      </c>
      <c r="M28" s="22">
        <v>159.34</v>
      </c>
      <c r="N28" s="22">
        <v>164.98</v>
      </c>
      <c r="O28" s="22">
        <v>168.99</v>
      </c>
      <c r="P28" s="22">
        <v>173.79</v>
      </c>
      <c r="Q28" s="22">
        <v>176.3</v>
      </c>
      <c r="R28" s="22">
        <v>182.8</v>
      </c>
      <c r="S28" s="22">
        <v>186.73</v>
      </c>
      <c r="T28" s="22">
        <v>190.72</v>
      </c>
      <c r="U28" s="22">
        <v>194.52</v>
      </c>
      <c r="V28" s="22">
        <v>198.69</v>
      </c>
      <c r="W28" s="22">
        <v>202.67</v>
      </c>
      <c r="X28" s="22">
        <v>206.72</v>
      </c>
      <c r="Y28" s="22">
        <v>210.85</v>
      </c>
      <c r="Z28" s="22">
        <v>215.07</v>
      </c>
      <c r="AA28" s="22">
        <v>219.37</v>
      </c>
      <c r="AB28" s="22">
        <v>223.76</v>
      </c>
      <c r="AC28" s="22">
        <v>228.24</v>
      </c>
      <c r="AD28" s="22">
        <v>232.8</v>
      </c>
      <c r="AE28" s="22">
        <v>237.46</v>
      </c>
      <c r="AF28" s="22">
        <v>242.21</v>
      </c>
    </row>
    <row r="29" spans="1:32" hidden="1" x14ac:dyDescent="0.25">
      <c r="A29" s="22" t="s">
        <v>39</v>
      </c>
      <c r="B29" s="22" t="s">
        <v>29</v>
      </c>
      <c r="C29" s="22">
        <v>11.03</v>
      </c>
      <c r="D29" s="22">
        <v>17.2</v>
      </c>
      <c r="E29" s="22">
        <v>41.71</v>
      </c>
      <c r="F29" s="22">
        <v>57.86</v>
      </c>
      <c r="G29" s="22">
        <v>75.39</v>
      </c>
      <c r="H29" s="22">
        <v>87.11</v>
      </c>
      <c r="I29" s="22">
        <v>98.78</v>
      </c>
      <c r="J29" s="22">
        <v>119.13</v>
      </c>
      <c r="K29" s="22">
        <v>119.92</v>
      </c>
      <c r="L29" s="22">
        <v>124.1</v>
      </c>
      <c r="M29" s="22">
        <v>128.94999999999999</v>
      </c>
      <c r="N29" s="22">
        <v>132.81</v>
      </c>
      <c r="O29" s="22">
        <v>135.11000000000001</v>
      </c>
      <c r="P29" s="22">
        <v>138.78</v>
      </c>
      <c r="Q29" s="22">
        <v>141.47999999999999</v>
      </c>
      <c r="R29" s="22">
        <v>148.26</v>
      </c>
      <c r="S29" s="22">
        <v>151.82</v>
      </c>
      <c r="T29" s="22">
        <v>154.83000000000001</v>
      </c>
      <c r="U29" s="22">
        <v>157.91</v>
      </c>
      <c r="V29" s="22">
        <v>161.4</v>
      </c>
      <c r="W29" s="22">
        <v>164.63</v>
      </c>
      <c r="X29" s="22">
        <v>167.92</v>
      </c>
      <c r="Y29" s="22">
        <v>171.28</v>
      </c>
      <c r="Z29" s="22">
        <v>174.7</v>
      </c>
      <c r="AA29" s="22">
        <v>178.2</v>
      </c>
      <c r="AB29" s="22">
        <v>181.76</v>
      </c>
      <c r="AC29" s="22">
        <v>185.4</v>
      </c>
      <c r="AD29" s="22">
        <v>189.1</v>
      </c>
      <c r="AE29" s="22">
        <v>192.89</v>
      </c>
      <c r="AF29" s="22">
        <v>196.74</v>
      </c>
    </row>
    <row r="30" spans="1:32" hidden="1" x14ac:dyDescent="0.25"/>
    <row r="31" spans="1:32" hidden="1" x14ac:dyDescent="0.25"/>
    <row r="32" spans="1: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sheetProtection algorithmName="SHA-512" hashValue="DQTCoQEo7nmAqxvjOet9ITae1VOAiKrS5B2wI0EV8sXMhiKd8XAM73RXZKvvGvLpZiYnQ4vejxV8BGbs7rZl8A==" saltValue="403eSMDizMt60ed9IIXzLg==" spinCount="100000" sheet="1" selectLockedCells="1" selectUnlockedCell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6 d f 4 f 3 f - 8 9 8 a - 4 c d e - a b 8 1 - 7 a 8 1 7 d 9 7 7 2 b 9 "   x m l n s = " h t t p : / / s c h e m a s . m i c r o s o f t . c o m / D a t a M a s h u p " > A A A A A B M D A A B Q S w M E F A A C A A g A t n q c U i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C 2 e p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n q c U i i K R 7 g O A A A A E Q A A A B M A H A B G b 3 J t d W x h c y 9 T Z W N 0 a W 9 u M S 5 t I K I Y A C i g F A A A A A A A A A A A A A A A A A A A A A A A A A A A A C t O T S 7 J z M 9 T C I b Q h t Y A U E s B A i 0 A F A A C A A g A t n q c U i o e J 9 O j A A A A 9 Q A A A B I A A A A A A A A A A A A A A A A A A A A A A E N v b m Z p Z y 9 Q Y W N r Y W d l L n h t b F B L A Q I t A B Q A A g A I A L Z 6 n F I P y u m r p A A A A O k A A A A T A A A A A A A A A A A A A A A A A O 8 A A A B b Q 2 9 u d G V u d F 9 U e X B l c 1 0 u e G 1 s U E s B A i 0 A F A A C A A g A t n q c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5 a W G k u T f F B r R V f I e x M T z E A A A A A A g A A A A A A A 2 Y A A M A A A A A Q A A A A u Y f X Q E F N G K w z 4 + U 3 P Q X 8 B Q A A A A A E g A A A o A A A A B A A A A D d 0 I m F 7 F u K 9 O q 0 L w Q J J 2 F 3 U A A A A D n R d s i + 9 G G L u 5 U 5 4 v i z m g e X 3 K v 3 K 3 z p C Z d d X E l e k z K o c v u i K J 0 k 8 3 i Y i 0 h t S R K / H r 3 X 7 i I L 7 g J m U y E A G 9 6 F 3 Z D m R N b c k I x 2 t b r r 9 7 4 N T 5 f A F A A A A O m M r 1 B W W 5 6 U v X x 4 e S l H J u 0 E E V H n < / D a t a M a s h u p > 
</file>

<file path=customXml/itemProps1.xml><?xml version="1.0" encoding="utf-8"?>
<ds:datastoreItem xmlns:ds="http://schemas.openxmlformats.org/officeDocument/2006/customXml" ds:itemID="{CB5A0299-EC24-4EFE-8CF0-8F21D125AB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Inputs</vt:lpstr>
      <vt:lpstr>Model</vt:lpstr>
      <vt:lpstr>ModelFactors</vt:lpstr>
      <vt:lpstr>Forecasts</vt:lpstr>
      <vt:lpstr>BT_Disc_rt</vt:lpstr>
      <vt:lpstr>Degradation</vt:lpstr>
      <vt:lpstr>DRV_Hours_Year</vt:lpstr>
      <vt:lpstr>DRV_MTC_Table</vt:lpstr>
      <vt:lpstr>DRV_Utility_list</vt:lpstr>
      <vt:lpstr>DRV_Years</vt:lpstr>
      <vt:lpstr>E_Table</vt:lpstr>
      <vt:lpstr>Expense_Scale</vt:lpstr>
      <vt:lpstr>Forecast_Energy</vt:lpstr>
      <vt:lpstr>Forecast_Energy_Header</vt:lpstr>
      <vt:lpstr>Forecast_ICAP</vt:lpstr>
      <vt:lpstr>Forecast_ICAP_Header</vt:lpstr>
      <vt:lpstr>Inflation</vt:lpstr>
      <vt:lpstr>Inv_cost</vt:lpstr>
      <vt:lpstr>Inv_Repl_Cycle</vt:lpstr>
      <vt:lpstr>Inv_Size</vt:lpstr>
      <vt:lpstr>NYISO_Name</vt:lpstr>
      <vt:lpstr>NYISO_Zone_Lookup</vt:lpstr>
      <vt:lpstr>NYISOzone</vt:lpstr>
      <vt:lpstr>Plant_Type_Tbl</vt:lpstr>
      <vt:lpstr>SolarExpFctrList</vt:lpstr>
      <vt:lpstr>System_Age</vt:lpstr>
      <vt:lpstr>System_Size</vt:lpstr>
      <vt:lpstr>Tax_Stat_Dt</vt:lpstr>
      <vt:lpstr>Tier1_Contract_Start</vt:lpstr>
      <vt:lpstr>Tier1_Contract_Term</vt:lpstr>
      <vt:lpstr>Tier1_Fixed_REC_price</vt:lpstr>
      <vt:lpstr>Tier1_Index_REC_Price</vt:lpstr>
      <vt:lpstr>Tier1_Max_Cntrct_Qty</vt:lpstr>
      <vt:lpstr>UCAP_Capacity_Factor</vt:lpstr>
      <vt:lpstr>Utility_List</vt:lpstr>
      <vt:lpstr>Utility_Nm</vt:lpstr>
      <vt:lpstr>ValGroup</vt:lpstr>
      <vt:lpstr>ValGroup_Tbl</vt:lpstr>
      <vt:lpstr>WindExpFctrList</vt:lpstr>
      <vt:lpstr>Zone_Eff</vt:lpstr>
      <vt:lpstr>Zone_Exp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2021-07-27T16:35:46Z</dcterms:created>
  <dcterms:modified xsi:type="dcterms:W3CDTF">2021-08-02T13:31:15Z</dcterms:modified>
</cp:coreProperties>
</file>