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C6A2BA6B-E586-4E2F-BB96-8F04387881FD}" xr6:coauthVersionLast="47" xr6:coauthVersionMax="47" xr10:uidLastSave="{00000000-0000-0000-0000-000000000000}"/>
  <workbookProtection workbookAlgorithmName="SHA-512" workbookHashValue="EW8QPSjRM1T+zwBv8OB8QihXmGEOevG1ogTWOcekwuFxpi4RHhzDBKJpasBOaSa31gj1Ehl5GNJPUtZRqNqUwg==" workbookSaltValue="FZp6FVQlp8iWuawI/Q+R8A==" workbookSpinCount="100000" lockStructure="1"/>
  <bookViews>
    <workbookView xWindow="345" yWindow="750" windowWidth="28800" windowHeight="15435" xr2:uid="{D5F63189-019B-4EFC-ACF0-38BE49B6A9F7}"/>
  </bookViews>
  <sheets>
    <sheet name="Inputs" sheetId="4" r:id="rId1"/>
    <sheet name="Model" sheetId="3" r:id="rId2"/>
    <sheet name="ModelFactors" sheetId="2" r:id="rId3"/>
    <sheet name="Forecasts" sheetId="1" r:id="rId4"/>
  </sheets>
  <definedNames>
    <definedName name="Cash_Flow_Base_Year">Inputs!$C$55</definedName>
    <definedName name="Cash_Flow_Label">Inputs!$C$57</definedName>
    <definedName name="CC_MTC">Inputs!$C$20</definedName>
    <definedName name="Community_Adder">Inputs!$C$23</definedName>
    <definedName name="Cost_Base_Year">Inputs!$C$54</definedName>
    <definedName name="Date_of_Operation">Inputs!$C$7</definedName>
    <definedName name="Days_per_Year">ModelFactors!$AA$1:$AB$52</definedName>
    <definedName name="Decomm_Cost_Rate">Inputs!$C$42</definedName>
    <definedName name="Degradation">Inputs!$C$45</definedName>
    <definedName name="DRV_Factors">Forecasts!$C$93:$AG$137</definedName>
    <definedName name="DRV_Rate">Inputs!$C$19</definedName>
    <definedName name="DRV_Ref_Year">Inputs!$C$56</definedName>
    <definedName name="DRV_Renewal_Rate">Inputs!$C$46</definedName>
    <definedName name="DRV_Table">ModelFactors!$P$1:$S$11</definedName>
    <definedName name="Forecast_Energy_Header">Forecasts!$C$1:$AG$1</definedName>
    <definedName name="Forecast_Energy_Tier1">Forecasts!$C$24:$AG$56</definedName>
    <definedName name="Forecast_Energy_VDER">Forecasts!$C$2:$AG$23</definedName>
    <definedName name="Forecast_ICAP">Forecasts!$C$58:$AG$91</definedName>
    <definedName name="Forecast_ICAP_Header">Forecasts!$C$58:$AG$58</definedName>
    <definedName name="Forecast_NEM_Commercial">Forecasts!$C$149:$AG$156</definedName>
    <definedName name="Forecast_NEM_Header">Forecasts!$C$140:$AG$140</definedName>
    <definedName name="Forecast_NEM_Residential">Forecasts!$C$141:$AG$148</definedName>
    <definedName name="Fraction_of_Credits">Inputs!$C$47</definedName>
    <definedName name="Ground_Lease_Ann">Inputs!$C$13</definedName>
    <definedName name="Ground_Lease_Esc">Inputs!$C$14</definedName>
    <definedName name="Inf_Base_Year">Inputs!$C$54</definedName>
    <definedName name="Inflation">Inputs!$C$44</definedName>
    <definedName name="Inverter_Age">Inputs!$C$50</definedName>
    <definedName name="Inverter_Cost">Inputs!$C$53</definedName>
    <definedName name="Inverter_Repl_Cycle">Inputs!$C$51</definedName>
    <definedName name="Inverter_Size">Inputs!$C$49</definedName>
    <definedName name="Inverter_Size_Step">Inputs!$C$52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aded_Discount_Rate">Inputs!$C$12</definedName>
    <definedName name="NEM_Utility_Name">Inputs!$C$30</definedName>
    <definedName name="Nominal_Real_Switch">Inputs!$E$57</definedName>
    <definedName name="NYISO_Name">ModelFactors!$X$2:$X$12</definedName>
    <definedName name="NYISO_Zone">Inputs!$C$37</definedName>
    <definedName name="Plant_Type">Inputs!$C$5</definedName>
    <definedName name="Plant_Type_Table">ModelFactors!$V$4:$V$8</definedName>
    <definedName name="Residential_Share">Inputs!$C$48</definedName>
    <definedName name="Revenue_Model">Inputs!$C$4</definedName>
    <definedName name="System_Age">Inputs!$C$9</definedName>
    <definedName name="System_Size">Inputs!$C$6</definedName>
    <definedName name="Tax_Status_Year">Inputs!$C$8</definedName>
    <definedName name="Utility_Loss_Adjustment">Inputs!$C$41</definedName>
    <definedName name="ValGroup">Inputs!$C$36</definedName>
    <definedName name="ValGroup_Table">ModelFactors!$D$1:$E$72</definedName>
    <definedName name="ValGroup_Zone">Inputs!$C$38</definedName>
    <definedName name="VDER_Utility_Name">Inputs!$C$18</definedName>
    <definedName name="Zone_Capacity_Factor">Inputs!$C$39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1" i="3" l="1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C137" i="3"/>
  <c r="C136" i="3"/>
  <c r="C135" i="3" s="1"/>
  <c r="B13" i="3"/>
  <c r="B5" i="3"/>
  <c r="C139" i="3" l="1"/>
  <c r="C138" i="3"/>
  <c r="K3" i="2"/>
  <c r="K4" i="2"/>
  <c r="N4" i="2"/>
  <c r="M4" i="2"/>
  <c r="B20" i="4"/>
  <c r="C140" i="3" l="1"/>
  <c r="K5" i="2"/>
  <c r="C37" i="4"/>
  <c r="C36" i="4"/>
  <c r="C42" i="4" s="1"/>
  <c r="E6" i="4"/>
  <c r="E21" i="4"/>
  <c r="C20" i="4"/>
  <c r="F36" i="3"/>
  <c r="B17" i="3"/>
  <c r="B64" i="3"/>
  <c r="B73" i="3"/>
  <c r="B87" i="3"/>
  <c r="B96" i="3"/>
  <c r="B105" i="3"/>
  <c r="B121" i="3"/>
  <c r="B130" i="3"/>
  <c r="B114" i="3"/>
  <c r="B144" i="3"/>
  <c r="B152" i="3"/>
  <c r="B161" i="3"/>
  <c r="B170" i="3"/>
  <c r="B175" i="3"/>
  <c r="B178" i="3"/>
  <c r="B181" i="3"/>
  <c r="C47" i="4"/>
  <c r="B12" i="4"/>
  <c r="C55" i="4"/>
  <c r="C57" i="4" s="1"/>
  <c r="B40" i="3" s="1"/>
  <c r="C9" i="4"/>
  <c r="V160" i="3" l="1"/>
  <c r="N160" i="3"/>
  <c r="F160" i="3"/>
  <c r="Y160" i="3"/>
  <c r="X160" i="3"/>
  <c r="G160" i="3"/>
  <c r="U160" i="3"/>
  <c r="M160" i="3"/>
  <c r="E160" i="3"/>
  <c r="T160" i="3"/>
  <c r="L160" i="3"/>
  <c r="D160" i="3"/>
  <c r="AA160" i="3"/>
  <c r="S160" i="3"/>
  <c r="K160" i="3"/>
  <c r="C160" i="3"/>
  <c r="I160" i="3"/>
  <c r="P160" i="3"/>
  <c r="W160" i="3"/>
  <c r="Z160" i="3"/>
  <c r="R160" i="3"/>
  <c r="J160" i="3"/>
  <c r="Q160" i="3"/>
  <c r="H160" i="3"/>
  <c r="O160" i="3"/>
  <c r="C141" i="3"/>
  <c r="C40" i="4" s="1"/>
  <c r="C38" i="4" a="1"/>
  <c r="C38" i="4" s="1"/>
  <c r="C100" i="3"/>
  <c r="AA104" i="3"/>
  <c r="Z104" i="3"/>
  <c r="R104" i="3"/>
  <c r="J104" i="3"/>
  <c r="X104" i="3"/>
  <c r="F104" i="3"/>
  <c r="U104" i="3"/>
  <c r="K104" i="3"/>
  <c r="Y104" i="3"/>
  <c r="Q104" i="3"/>
  <c r="I104" i="3"/>
  <c r="P104" i="3"/>
  <c r="H104" i="3"/>
  <c r="M104" i="3"/>
  <c r="T104" i="3"/>
  <c r="L104" i="3"/>
  <c r="S104" i="3"/>
  <c r="W104" i="3"/>
  <c r="O104" i="3"/>
  <c r="G104" i="3"/>
  <c r="V104" i="3"/>
  <c r="N104" i="3"/>
  <c r="C158" i="3"/>
  <c r="C80" i="3"/>
  <c r="C78" i="3" l="1"/>
  <c r="C101" i="3"/>
  <c r="C92" i="3"/>
  <c r="C125" i="3" l="1"/>
  <c r="C51" i="3"/>
  <c r="C117" i="3"/>
  <c r="C155" i="3"/>
  <c r="C149" i="3"/>
  <c r="C148" i="3"/>
  <c r="C133" i="3"/>
  <c r="C109" i="3"/>
  <c r="C68" i="3" l="1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C77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C41" i="4"/>
  <c r="C19" i="4"/>
  <c r="C79" i="3" s="1"/>
  <c r="E5" i="4"/>
  <c r="C53" i="4" l="1"/>
  <c r="C167" i="3" s="1"/>
  <c r="C157" i="3"/>
  <c r="C51" i="4"/>
  <c r="C50" i="4" s="1"/>
  <c r="C165" i="3" s="1"/>
  <c r="Z118" i="3"/>
  <c r="Z111" i="3"/>
  <c r="Z110" i="3"/>
  <c r="T118" i="3"/>
  <c r="T111" i="3"/>
  <c r="T110" i="3"/>
  <c r="AA118" i="3"/>
  <c r="AA111" i="3"/>
  <c r="AA110" i="3"/>
  <c r="E111" i="3"/>
  <c r="E110" i="3"/>
  <c r="E118" i="3"/>
  <c r="M111" i="3"/>
  <c r="M110" i="3"/>
  <c r="M118" i="3"/>
  <c r="U111" i="3"/>
  <c r="U110" i="3"/>
  <c r="U118" i="3"/>
  <c r="R118" i="3"/>
  <c r="R111" i="3"/>
  <c r="R110" i="3"/>
  <c r="S118" i="3"/>
  <c r="S111" i="3"/>
  <c r="S110" i="3"/>
  <c r="F110" i="3"/>
  <c r="F118" i="3"/>
  <c r="F111" i="3"/>
  <c r="V110" i="3"/>
  <c r="V118" i="3"/>
  <c r="V111" i="3"/>
  <c r="J118" i="3"/>
  <c r="J111" i="3"/>
  <c r="J110" i="3"/>
  <c r="C118" i="3"/>
  <c r="C111" i="3"/>
  <c r="C110" i="3"/>
  <c r="D118" i="3"/>
  <c r="D111" i="3"/>
  <c r="D110" i="3"/>
  <c r="G110" i="3"/>
  <c r="G111" i="3"/>
  <c r="G118" i="3"/>
  <c r="O111" i="3"/>
  <c r="O118" i="3"/>
  <c r="O110" i="3"/>
  <c r="W110" i="3"/>
  <c r="W118" i="3"/>
  <c r="W111" i="3"/>
  <c r="K118" i="3"/>
  <c r="K111" i="3"/>
  <c r="K110" i="3"/>
  <c r="L118" i="3"/>
  <c r="L111" i="3"/>
  <c r="L110" i="3"/>
  <c r="H118" i="3"/>
  <c r="H111" i="3"/>
  <c r="H110" i="3"/>
  <c r="P110" i="3"/>
  <c r="P118" i="3"/>
  <c r="P111" i="3"/>
  <c r="X110" i="3"/>
  <c r="X118" i="3"/>
  <c r="X111" i="3"/>
  <c r="N110" i="3"/>
  <c r="N118" i="3"/>
  <c r="N111" i="3"/>
  <c r="I118" i="3"/>
  <c r="I111" i="3"/>
  <c r="I110" i="3"/>
  <c r="Q118" i="3"/>
  <c r="Q111" i="3"/>
  <c r="Q110" i="3"/>
  <c r="Y118" i="3"/>
  <c r="Y111" i="3"/>
  <c r="Y110" i="3"/>
  <c r="C45" i="4"/>
  <c r="AA83" i="3"/>
  <c r="S83" i="3"/>
  <c r="K83" i="3"/>
  <c r="C83" i="3"/>
  <c r="Z83" i="3"/>
  <c r="R83" i="3"/>
  <c r="J83" i="3"/>
  <c r="C10" i="4"/>
  <c r="C12" i="4" s="1"/>
  <c r="Y83" i="3"/>
  <c r="Q83" i="3"/>
  <c r="I83" i="3"/>
  <c r="X83" i="3"/>
  <c r="P83" i="3"/>
  <c r="H83" i="3"/>
  <c r="W83" i="3"/>
  <c r="O83" i="3"/>
  <c r="G83" i="3"/>
  <c r="D83" i="3"/>
  <c r="V83" i="3"/>
  <c r="N83" i="3"/>
  <c r="F83" i="3"/>
  <c r="U83" i="3"/>
  <c r="M83" i="3"/>
  <c r="E83" i="3"/>
  <c r="T83" i="3"/>
  <c r="L83" i="3"/>
  <c r="C84" i="3"/>
  <c r="C49" i="4"/>
  <c r="C164" i="3" s="1"/>
  <c r="J48" i="3"/>
  <c r="J84" i="3"/>
  <c r="G48" i="3"/>
  <c r="G84" i="3"/>
  <c r="O48" i="3"/>
  <c r="O84" i="3"/>
  <c r="S48" i="3"/>
  <c r="S84" i="3"/>
  <c r="W48" i="3"/>
  <c r="W84" i="3"/>
  <c r="AA48" i="3"/>
  <c r="AA84" i="3"/>
  <c r="D48" i="3"/>
  <c r="D84" i="3"/>
  <c r="H48" i="3"/>
  <c r="H84" i="3"/>
  <c r="L48" i="3"/>
  <c r="L84" i="3"/>
  <c r="P48" i="3"/>
  <c r="P84" i="3"/>
  <c r="T48" i="3"/>
  <c r="T84" i="3"/>
  <c r="X48" i="3"/>
  <c r="X84" i="3"/>
  <c r="F48" i="3"/>
  <c r="F84" i="3"/>
  <c r="N48" i="3"/>
  <c r="N84" i="3"/>
  <c r="R48" i="3"/>
  <c r="R84" i="3"/>
  <c r="V48" i="3"/>
  <c r="V84" i="3"/>
  <c r="Z48" i="3"/>
  <c r="Z84" i="3"/>
  <c r="K48" i="3"/>
  <c r="K84" i="3"/>
  <c r="E48" i="3"/>
  <c r="E84" i="3"/>
  <c r="I48" i="3"/>
  <c r="I84" i="3"/>
  <c r="M48" i="3"/>
  <c r="M84" i="3"/>
  <c r="Q48" i="3"/>
  <c r="Q84" i="3"/>
  <c r="U48" i="3"/>
  <c r="U84" i="3"/>
  <c r="Y48" i="3"/>
  <c r="Y84" i="3"/>
  <c r="C99" i="3"/>
  <c r="Z47" i="3"/>
  <c r="Z105" i="3" s="1"/>
  <c r="Z10" i="3" s="1"/>
  <c r="V47" i="3"/>
  <c r="V105" i="3" s="1"/>
  <c r="V10" i="3" s="1"/>
  <c r="R47" i="3"/>
  <c r="R105" i="3" s="1"/>
  <c r="R10" i="3" s="1"/>
  <c r="N47" i="3"/>
  <c r="N105" i="3" s="1"/>
  <c r="N10" i="3" s="1"/>
  <c r="J47" i="3"/>
  <c r="J105" i="3" s="1"/>
  <c r="J10" i="3" s="1"/>
  <c r="F47" i="3"/>
  <c r="F105" i="3" s="1"/>
  <c r="F10" i="3" s="1"/>
  <c r="Y47" i="3"/>
  <c r="Y105" i="3" s="1"/>
  <c r="Y10" i="3" s="1"/>
  <c r="Q47" i="3"/>
  <c r="Q105" i="3" s="1"/>
  <c r="Q10" i="3" s="1"/>
  <c r="I47" i="3"/>
  <c r="I105" i="3" s="1"/>
  <c r="I10" i="3" s="1"/>
  <c r="U47" i="3"/>
  <c r="U105" i="3" s="1"/>
  <c r="U10" i="3" s="1"/>
  <c r="M47" i="3"/>
  <c r="M105" i="3" s="1"/>
  <c r="M10" i="3" s="1"/>
  <c r="E47" i="3"/>
  <c r="AA47" i="3"/>
  <c r="AA105" i="3" s="1"/>
  <c r="AA10" i="3" s="1"/>
  <c r="S47" i="3"/>
  <c r="S105" i="3" s="1"/>
  <c r="S10" i="3" s="1"/>
  <c r="K47" i="3"/>
  <c r="K105" i="3" s="1"/>
  <c r="K10" i="3" s="1"/>
  <c r="C47" i="3"/>
  <c r="X47" i="3"/>
  <c r="X105" i="3" s="1"/>
  <c r="X10" i="3" s="1"/>
  <c r="P47" i="3"/>
  <c r="P105" i="3" s="1"/>
  <c r="P10" i="3" s="1"/>
  <c r="H47" i="3"/>
  <c r="H105" i="3" s="1"/>
  <c r="H10" i="3" s="1"/>
  <c r="W47" i="3"/>
  <c r="W105" i="3" s="1"/>
  <c r="W10" i="3" s="1"/>
  <c r="O47" i="3"/>
  <c r="O105" i="3" s="1"/>
  <c r="O10" i="3" s="1"/>
  <c r="G47" i="3"/>
  <c r="G105" i="3" s="1"/>
  <c r="G10" i="3" s="1"/>
  <c r="T47" i="3"/>
  <c r="T105" i="3" s="1"/>
  <c r="T10" i="3" s="1"/>
  <c r="L47" i="3"/>
  <c r="L105" i="3" s="1"/>
  <c r="L10" i="3" s="1"/>
  <c r="D47" i="3"/>
  <c r="C59" i="3"/>
  <c r="D104" i="3"/>
  <c r="C104" i="3"/>
  <c r="C91" i="3"/>
  <c r="E104" i="3"/>
  <c r="D127" i="3"/>
  <c r="C124" i="3"/>
  <c r="AA151" i="3"/>
  <c r="W151" i="3"/>
  <c r="K151" i="3"/>
  <c r="G151" i="3"/>
  <c r="C127" i="3"/>
  <c r="Z151" i="3"/>
  <c r="V151" i="3"/>
  <c r="R151" i="3"/>
  <c r="N151" i="3"/>
  <c r="J151" i="3"/>
  <c r="E151" i="3"/>
  <c r="C147" i="3"/>
  <c r="C156" i="3"/>
  <c r="T151" i="3"/>
  <c r="P151" i="3"/>
  <c r="H151" i="3"/>
  <c r="O151" i="3"/>
  <c r="F127" i="3"/>
  <c r="Y151" i="3"/>
  <c r="U151" i="3"/>
  <c r="Q151" i="3"/>
  <c r="M151" i="3"/>
  <c r="I151" i="3"/>
  <c r="D151" i="3"/>
  <c r="C134" i="3"/>
  <c r="E127" i="3"/>
  <c r="X151" i="3"/>
  <c r="L151" i="3"/>
  <c r="C151" i="3"/>
  <c r="S151" i="3"/>
  <c r="S152" i="3" s="1"/>
  <c r="F151" i="3"/>
  <c r="E61" i="3"/>
  <c r="D70" i="3"/>
  <c r="C70" i="3"/>
  <c r="F61" i="3"/>
  <c r="E70" i="3"/>
  <c r="D61" i="3"/>
  <c r="C61" i="3"/>
  <c r="F70" i="3"/>
  <c r="O127" i="3"/>
  <c r="AA127" i="3"/>
  <c r="K127" i="3"/>
  <c r="S127" i="3"/>
  <c r="W127" i="3"/>
  <c r="H127" i="3"/>
  <c r="L127" i="3"/>
  <c r="P127" i="3"/>
  <c r="T127" i="3"/>
  <c r="X127" i="3"/>
  <c r="I127" i="3"/>
  <c r="M127" i="3"/>
  <c r="Q127" i="3"/>
  <c r="U127" i="3"/>
  <c r="Y127" i="3"/>
  <c r="C90" i="3"/>
  <c r="C108" i="3"/>
  <c r="J127" i="3"/>
  <c r="N127" i="3"/>
  <c r="R127" i="3"/>
  <c r="V127" i="3"/>
  <c r="Z127" i="3"/>
  <c r="C76" i="3"/>
  <c r="C60" i="3"/>
  <c r="G127" i="3"/>
  <c r="I55" i="3"/>
  <c r="Q55" i="3"/>
  <c r="Y55" i="3"/>
  <c r="F55" i="3"/>
  <c r="N55" i="3"/>
  <c r="V55" i="3"/>
  <c r="C48" i="3"/>
  <c r="C55" i="3"/>
  <c r="G55" i="3"/>
  <c r="K55" i="3"/>
  <c r="O55" i="3"/>
  <c r="S55" i="3"/>
  <c r="W55" i="3"/>
  <c r="AA55" i="3"/>
  <c r="E55" i="3"/>
  <c r="M55" i="3"/>
  <c r="U55" i="3"/>
  <c r="J55" i="3"/>
  <c r="R55" i="3"/>
  <c r="Z55" i="3"/>
  <c r="D55" i="3"/>
  <c r="H55" i="3"/>
  <c r="L55" i="3"/>
  <c r="P55" i="3"/>
  <c r="T55" i="3"/>
  <c r="X55" i="3"/>
  <c r="W70" i="3"/>
  <c r="S70" i="3"/>
  <c r="R70" i="3"/>
  <c r="J70" i="3"/>
  <c r="Z70" i="3"/>
  <c r="K70" i="3"/>
  <c r="AA70" i="3"/>
  <c r="C67" i="3"/>
  <c r="N70" i="3"/>
  <c r="V70" i="3"/>
  <c r="G70" i="3"/>
  <c r="O70" i="3"/>
  <c r="H70" i="3"/>
  <c r="L70" i="3"/>
  <c r="P70" i="3"/>
  <c r="T70" i="3"/>
  <c r="X70" i="3"/>
  <c r="I70" i="3"/>
  <c r="M70" i="3"/>
  <c r="Q70" i="3"/>
  <c r="U70" i="3"/>
  <c r="Y70" i="3"/>
  <c r="I61" i="3"/>
  <c r="M61" i="3"/>
  <c r="Q61" i="3"/>
  <c r="U61" i="3"/>
  <c r="Y61" i="3"/>
  <c r="J61" i="3"/>
  <c r="N61" i="3"/>
  <c r="R61" i="3"/>
  <c r="V61" i="3"/>
  <c r="Z61" i="3"/>
  <c r="G61" i="3"/>
  <c r="K61" i="3"/>
  <c r="O61" i="3"/>
  <c r="S61" i="3"/>
  <c r="W61" i="3"/>
  <c r="AA61" i="3"/>
  <c r="H61" i="3"/>
  <c r="L61" i="3"/>
  <c r="P61" i="3"/>
  <c r="T61" i="3"/>
  <c r="X61" i="3"/>
  <c r="W126" i="3" l="1"/>
  <c r="W130" i="3" s="1"/>
  <c r="W129" i="3" s="1"/>
  <c r="W19" i="3" s="1"/>
  <c r="O126" i="3"/>
  <c r="O130" i="3" s="1"/>
  <c r="O129" i="3" s="1"/>
  <c r="O19" i="3" s="1"/>
  <c r="G126" i="3"/>
  <c r="G130" i="3" s="1"/>
  <c r="G129" i="3" s="1"/>
  <c r="G19" i="3" s="1"/>
  <c r="X82" i="3"/>
  <c r="P82" i="3"/>
  <c r="H82" i="3"/>
  <c r="Z69" i="3"/>
  <c r="Z73" i="3" s="1"/>
  <c r="Z7" i="3" s="1"/>
  <c r="R69" i="3"/>
  <c r="R73" i="3" s="1"/>
  <c r="R7" i="3" s="1"/>
  <c r="J69" i="3"/>
  <c r="J73" i="3" s="1"/>
  <c r="J7" i="3" s="1"/>
  <c r="AA54" i="3"/>
  <c r="S54" i="3"/>
  <c r="K54" i="3"/>
  <c r="C54" i="3"/>
  <c r="Z126" i="3"/>
  <c r="Z130" i="3" s="1"/>
  <c r="Z129" i="3" s="1"/>
  <c r="Z19" i="3" s="1"/>
  <c r="R126" i="3"/>
  <c r="R130" i="3" s="1"/>
  <c r="R129" i="3" s="1"/>
  <c r="R19" i="3" s="1"/>
  <c r="J126" i="3"/>
  <c r="J130" i="3" s="1"/>
  <c r="J129" i="3" s="1"/>
  <c r="J19" i="3" s="1"/>
  <c r="K82" i="3"/>
  <c r="C82" i="3"/>
  <c r="E69" i="3"/>
  <c r="E73" i="3" s="1"/>
  <c r="E7" i="3" s="1"/>
  <c r="V54" i="3"/>
  <c r="Y126" i="3"/>
  <c r="Y130" i="3" s="1"/>
  <c r="Y129" i="3" s="1"/>
  <c r="Y19" i="3" s="1"/>
  <c r="I126" i="3"/>
  <c r="I130" i="3" s="1"/>
  <c r="I129" i="3" s="1"/>
  <c r="I19" i="3" s="1"/>
  <c r="D69" i="3"/>
  <c r="D73" i="3" s="1"/>
  <c r="D7" i="3" s="1"/>
  <c r="H126" i="3"/>
  <c r="H130" i="3" s="1"/>
  <c r="H129" i="3" s="1"/>
  <c r="H19" i="3" s="1"/>
  <c r="S69" i="3"/>
  <c r="S73" i="3" s="1"/>
  <c r="S7" i="3" s="1"/>
  <c r="D54" i="3"/>
  <c r="V126" i="3"/>
  <c r="V130" i="3" s="1"/>
  <c r="V129" i="3" s="1"/>
  <c r="V19" i="3" s="1"/>
  <c r="N126" i="3"/>
  <c r="N130" i="3" s="1"/>
  <c r="N129" i="3" s="1"/>
  <c r="N19" i="3" s="1"/>
  <c r="F126" i="3"/>
  <c r="F130" i="3" s="1"/>
  <c r="F129" i="3" s="1"/>
  <c r="F19" i="3" s="1"/>
  <c r="W82" i="3"/>
  <c r="O82" i="3"/>
  <c r="G82" i="3"/>
  <c r="Y69" i="3"/>
  <c r="Y73" i="3" s="1"/>
  <c r="Y7" i="3" s="1"/>
  <c r="Q69" i="3"/>
  <c r="Q73" i="3" s="1"/>
  <c r="Q7" i="3" s="1"/>
  <c r="I69" i="3"/>
  <c r="I73" i="3" s="1"/>
  <c r="I7" i="3" s="1"/>
  <c r="Z54" i="3"/>
  <c r="R54" i="3"/>
  <c r="J54" i="3"/>
  <c r="Y54" i="3"/>
  <c r="I54" i="3"/>
  <c r="H54" i="3"/>
  <c r="J82" i="3"/>
  <c r="U54" i="3"/>
  <c r="P126" i="3"/>
  <c r="P130" i="3" s="1"/>
  <c r="P129" i="3" s="1"/>
  <c r="P19" i="3" s="1"/>
  <c r="I82" i="3"/>
  <c r="T54" i="3"/>
  <c r="U126" i="3"/>
  <c r="U130" i="3" s="1"/>
  <c r="U129" i="3" s="1"/>
  <c r="U19" i="3" s="1"/>
  <c r="M126" i="3"/>
  <c r="M130" i="3" s="1"/>
  <c r="M129" i="3" s="1"/>
  <c r="M19" i="3" s="1"/>
  <c r="E126" i="3"/>
  <c r="E130" i="3" s="1"/>
  <c r="E129" i="3" s="1"/>
  <c r="E19" i="3" s="1"/>
  <c r="V82" i="3"/>
  <c r="N82" i="3"/>
  <c r="F82" i="3"/>
  <c r="X69" i="3"/>
  <c r="X73" i="3" s="1"/>
  <c r="X7" i="3" s="1"/>
  <c r="P69" i="3"/>
  <c r="P73" i="3" s="1"/>
  <c r="P7" i="3" s="1"/>
  <c r="H69" i="3"/>
  <c r="H73" i="3" s="1"/>
  <c r="H7" i="3" s="1"/>
  <c r="Q54" i="3"/>
  <c r="R82" i="3"/>
  <c r="E54" i="3"/>
  <c r="X126" i="3"/>
  <c r="X130" i="3" s="1"/>
  <c r="X129" i="3" s="1"/>
  <c r="X19" i="3" s="1"/>
  <c r="Y82" i="3"/>
  <c r="K69" i="3"/>
  <c r="K73" i="3" s="1"/>
  <c r="K7" i="3" s="1"/>
  <c r="T126" i="3"/>
  <c r="T130" i="3" s="1"/>
  <c r="T129" i="3" s="1"/>
  <c r="T19" i="3" s="1"/>
  <c r="L126" i="3"/>
  <c r="L130" i="3" s="1"/>
  <c r="L129" i="3" s="1"/>
  <c r="L19" i="3" s="1"/>
  <c r="D126" i="3"/>
  <c r="D130" i="3" s="1"/>
  <c r="D129" i="3" s="1"/>
  <c r="D19" i="3" s="1"/>
  <c r="U82" i="3"/>
  <c r="U86" i="3" s="1"/>
  <c r="U87" i="3" s="1"/>
  <c r="U8" i="3" s="1"/>
  <c r="M82" i="3"/>
  <c r="E82" i="3"/>
  <c r="W69" i="3"/>
  <c r="O69" i="3"/>
  <c r="O73" i="3" s="1"/>
  <c r="O7" i="3" s="1"/>
  <c r="G69" i="3"/>
  <c r="G73" i="3" s="1"/>
  <c r="G7" i="3" s="1"/>
  <c r="X54" i="3"/>
  <c r="P54" i="3"/>
  <c r="AA82" i="3"/>
  <c r="M69" i="3"/>
  <c r="M73" i="3" s="1"/>
  <c r="M7" i="3" s="1"/>
  <c r="F54" i="3"/>
  <c r="Q126" i="3"/>
  <c r="Q130" i="3" s="1"/>
  <c r="Q129" i="3" s="1"/>
  <c r="Q19" i="3" s="1"/>
  <c r="T69" i="3"/>
  <c r="T73" i="3" s="1"/>
  <c r="T72" i="3" s="1"/>
  <c r="M54" i="3"/>
  <c r="Q82" i="3"/>
  <c r="Q86" i="3" s="1"/>
  <c r="C69" i="3"/>
  <c r="C73" i="3" s="1"/>
  <c r="C7" i="3" s="1"/>
  <c r="AA126" i="3"/>
  <c r="AA130" i="3" s="1"/>
  <c r="AA129" i="3" s="1"/>
  <c r="AA19" i="3" s="1"/>
  <c r="S126" i="3"/>
  <c r="S130" i="3" s="1"/>
  <c r="S129" i="3" s="1"/>
  <c r="S19" i="3" s="1"/>
  <c r="K126" i="3"/>
  <c r="K130" i="3" s="1"/>
  <c r="K129" i="3" s="1"/>
  <c r="K19" i="3" s="1"/>
  <c r="C126" i="3"/>
  <c r="C130" i="3" s="1"/>
  <c r="C129" i="3" s="1"/>
  <c r="C19" i="3" s="1"/>
  <c r="T82" i="3"/>
  <c r="L82" i="3"/>
  <c r="D82" i="3"/>
  <c r="D86" i="3" s="1"/>
  <c r="V69" i="3"/>
  <c r="V73" i="3" s="1"/>
  <c r="V7" i="3" s="1"/>
  <c r="N69" i="3"/>
  <c r="N73" i="3" s="1"/>
  <c r="N7" i="3" s="1"/>
  <c r="F69" i="3"/>
  <c r="F73" i="3" s="1"/>
  <c r="F7" i="3" s="1"/>
  <c r="W54" i="3"/>
  <c r="O54" i="3"/>
  <c r="G54" i="3"/>
  <c r="S82" i="3"/>
  <c r="U69" i="3"/>
  <c r="U73" i="3" s="1"/>
  <c r="U7" i="3" s="1"/>
  <c r="N54" i="3"/>
  <c r="Z82" i="3"/>
  <c r="L69" i="3"/>
  <c r="L73" i="3" s="1"/>
  <c r="L7" i="3" s="1"/>
  <c r="AA69" i="3"/>
  <c r="AA73" i="3" s="1"/>
  <c r="AA7" i="3" s="1"/>
  <c r="L54" i="3"/>
  <c r="W73" i="3"/>
  <c r="W7" i="3" s="1"/>
  <c r="J152" i="3"/>
  <c r="J25" i="3" s="1"/>
  <c r="M152" i="3"/>
  <c r="M25" i="3" s="1"/>
  <c r="C169" i="3"/>
  <c r="C170" i="3" s="1"/>
  <c r="Y169" i="3"/>
  <c r="Y170" i="3" s="1"/>
  <c r="I169" i="3"/>
  <c r="I170" i="3" s="1"/>
  <c r="V169" i="3"/>
  <c r="V170" i="3" s="1"/>
  <c r="X169" i="3"/>
  <c r="X170" i="3" s="1"/>
  <c r="H169" i="3"/>
  <c r="H170" i="3" s="1"/>
  <c r="S169" i="3"/>
  <c r="S170" i="3" s="1"/>
  <c r="C166" i="3"/>
  <c r="Q169" i="3"/>
  <c r="Q170" i="3" s="1"/>
  <c r="K169" i="3"/>
  <c r="K170" i="3" s="1"/>
  <c r="N169" i="3"/>
  <c r="N170" i="3" s="1"/>
  <c r="P169" i="3"/>
  <c r="P170" i="3" s="1"/>
  <c r="AA169" i="3"/>
  <c r="AA170" i="3" s="1"/>
  <c r="G169" i="3"/>
  <c r="G170" i="3" s="1"/>
  <c r="M169" i="3"/>
  <c r="M170" i="3" s="1"/>
  <c r="Z169" i="3"/>
  <c r="Z170" i="3" s="1"/>
  <c r="F169" i="3"/>
  <c r="F170" i="3" s="1"/>
  <c r="L169" i="3"/>
  <c r="L170" i="3" s="1"/>
  <c r="L27" i="3" s="1"/>
  <c r="W169" i="3"/>
  <c r="W170" i="3" s="1"/>
  <c r="J169" i="3"/>
  <c r="J170" i="3" s="1"/>
  <c r="U169" i="3"/>
  <c r="U170" i="3" s="1"/>
  <c r="E169" i="3"/>
  <c r="E170" i="3" s="1"/>
  <c r="R169" i="3"/>
  <c r="R170" i="3" s="1"/>
  <c r="T169" i="3"/>
  <c r="T170" i="3" s="1"/>
  <c r="D169" i="3"/>
  <c r="D170" i="3" s="1"/>
  <c r="O169" i="3"/>
  <c r="O170" i="3" s="1"/>
  <c r="R152" i="3"/>
  <c r="R25" i="3" s="1"/>
  <c r="T152" i="3"/>
  <c r="T25" i="3" s="1"/>
  <c r="Z152" i="3"/>
  <c r="Z25" i="3" s="1"/>
  <c r="G152" i="3"/>
  <c r="G25" i="3" s="1"/>
  <c r="L152" i="3"/>
  <c r="L25" i="3" s="1"/>
  <c r="U152" i="3"/>
  <c r="U25" i="3" s="1"/>
  <c r="C152" i="3"/>
  <c r="C25" i="3" s="1"/>
  <c r="Q152" i="3"/>
  <c r="Q25" i="3" s="1"/>
  <c r="Y152" i="3"/>
  <c r="Y25" i="3" s="1"/>
  <c r="K152" i="3"/>
  <c r="K25" i="3" s="1"/>
  <c r="H152" i="3"/>
  <c r="H25" i="3" s="1"/>
  <c r="X152" i="3"/>
  <c r="X25" i="3" s="1"/>
  <c r="E152" i="3"/>
  <c r="E25" i="3" s="1"/>
  <c r="O152" i="3"/>
  <c r="O25" i="3" s="1"/>
  <c r="N152" i="3"/>
  <c r="N25" i="3" s="1"/>
  <c r="AA152" i="3"/>
  <c r="AA25" i="3" s="1"/>
  <c r="W152" i="3"/>
  <c r="W25" i="3" s="1"/>
  <c r="D152" i="3"/>
  <c r="D25" i="3" s="1"/>
  <c r="F152" i="3"/>
  <c r="F25" i="3" s="1"/>
  <c r="I152" i="3"/>
  <c r="I25" i="3" s="1"/>
  <c r="P152" i="3"/>
  <c r="P25" i="3" s="1"/>
  <c r="V152" i="3"/>
  <c r="V25" i="3" s="1"/>
  <c r="E105" i="3"/>
  <c r="E10" i="3" s="1"/>
  <c r="C105" i="3"/>
  <c r="C10" i="3" s="1"/>
  <c r="D105" i="3"/>
  <c r="D10" i="3" s="1"/>
  <c r="F86" i="3"/>
  <c r="C86" i="3"/>
  <c r="V161" i="3"/>
  <c r="N161" i="3"/>
  <c r="AA46" i="3"/>
  <c r="S45" i="3"/>
  <c r="R46" i="3"/>
  <c r="AA45" i="3"/>
  <c r="V45" i="3"/>
  <c r="I46" i="3"/>
  <c r="S46" i="3"/>
  <c r="H45" i="3"/>
  <c r="F46" i="3"/>
  <c r="K46" i="3"/>
  <c r="U46" i="3"/>
  <c r="P45" i="3"/>
  <c r="T45" i="3"/>
  <c r="I45" i="3"/>
  <c r="E46" i="3"/>
  <c r="O45" i="3"/>
  <c r="U45" i="3"/>
  <c r="G45" i="3"/>
  <c r="X45" i="3"/>
  <c r="V46" i="3"/>
  <c r="K45" i="3"/>
  <c r="J46" i="3"/>
  <c r="Y46" i="3"/>
  <c r="M46" i="3"/>
  <c r="N45" i="3"/>
  <c r="Q45" i="3"/>
  <c r="H46" i="3"/>
  <c r="C45" i="3"/>
  <c r="W45" i="3"/>
  <c r="Q46" i="3"/>
  <c r="C46" i="3"/>
  <c r="T46" i="3"/>
  <c r="F45" i="3"/>
  <c r="N46" i="3"/>
  <c r="E45" i="3"/>
  <c r="W46" i="3"/>
  <c r="Z46" i="3"/>
  <c r="X46" i="3"/>
  <c r="J45" i="3"/>
  <c r="P46" i="3"/>
  <c r="M45" i="3"/>
  <c r="R45" i="3"/>
  <c r="L45" i="3"/>
  <c r="O46" i="3"/>
  <c r="Z45" i="3"/>
  <c r="C53" i="3"/>
  <c r="L46" i="3"/>
  <c r="D45" i="3"/>
  <c r="X161" i="3"/>
  <c r="Y161" i="3"/>
  <c r="G46" i="3"/>
  <c r="Y45" i="3"/>
  <c r="D46" i="3"/>
  <c r="K161" i="3"/>
  <c r="L161" i="3"/>
  <c r="U161" i="3"/>
  <c r="Z161" i="3"/>
  <c r="AA161" i="3"/>
  <c r="S161" i="3"/>
  <c r="I161" i="3"/>
  <c r="O161" i="3"/>
  <c r="J161" i="3"/>
  <c r="W161" i="3"/>
  <c r="M161" i="3"/>
  <c r="T161" i="3"/>
  <c r="H161" i="3"/>
  <c r="Q161" i="3"/>
  <c r="G161" i="3"/>
  <c r="P161" i="3"/>
  <c r="R161" i="3"/>
  <c r="S25" i="3"/>
  <c r="C39" i="4"/>
  <c r="S72" i="3" l="1"/>
  <c r="U72" i="3"/>
  <c r="N72" i="3"/>
  <c r="R72" i="3"/>
  <c r="T7" i="3"/>
  <c r="P72" i="3"/>
  <c r="Z72" i="3"/>
  <c r="E72" i="3"/>
  <c r="L72" i="3"/>
  <c r="W72" i="3"/>
  <c r="J72" i="3"/>
  <c r="F72" i="3"/>
  <c r="X72" i="3"/>
  <c r="O72" i="3"/>
  <c r="V72" i="3"/>
  <c r="Y72" i="3"/>
  <c r="AA72" i="3"/>
  <c r="D72" i="3"/>
  <c r="G72" i="3"/>
  <c r="I72" i="3"/>
  <c r="Q72" i="3"/>
  <c r="K72" i="3"/>
  <c r="M72" i="3"/>
  <c r="C72" i="3"/>
  <c r="H72" i="3"/>
  <c r="X86" i="3"/>
  <c r="X87" i="3" s="1"/>
  <c r="X8" i="3" s="1"/>
  <c r="L86" i="3"/>
  <c r="L87" i="3" s="1"/>
  <c r="L8" i="3" s="1"/>
  <c r="I86" i="3"/>
  <c r="I87" i="3" s="1"/>
  <c r="I8" i="3" s="1"/>
  <c r="V86" i="3"/>
  <c r="V87" i="3" s="1"/>
  <c r="V8" i="3" s="1"/>
  <c r="Z86" i="3"/>
  <c r="Z87" i="3" s="1"/>
  <c r="Z8" i="3" s="1"/>
  <c r="Y86" i="3"/>
  <c r="Y87" i="3" s="1"/>
  <c r="Y8" i="3" s="1"/>
  <c r="T86" i="3"/>
  <c r="T87" i="3" s="1"/>
  <c r="T8" i="3" s="1"/>
  <c r="O86" i="3"/>
  <c r="O87" i="3" s="1"/>
  <c r="O8" i="3" s="1"/>
  <c r="P86" i="3"/>
  <c r="P87" i="3" s="1"/>
  <c r="P8" i="3" s="1"/>
  <c r="J86" i="3"/>
  <c r="J87" i="3" s="1"/>
  <c r="J8" i="3" s="1"/>
  <c r="H86" i="3"/>
  <c r="H87" i="3" s="1"/>
  <c r="H8" i="3" s="1"/>
  <c r="R86" i="3"/>
  <c r="R87" i="3" s="1"/>
  <c r="R8" i="3" s="1"/>
  <c r="M86" i="3"/>
  <c r="M87" i="3" s="1"/>
  <c r="M8" i="3" s="1"/>
  <c r="W86" i="3"/>
  <c r="W87" i="3" s="1"/>
  <c r="W8" i="3" s="1"/>
  <c r="K86" i="3"/>
  <c r="K87" i="3" s="1"/>
  <c r="K8" i="3" s="1"/>
  <c r="E86" i="3"/>
  <c r="E87" i="3" s="1"/>
  <c r="E8" i="3" s="1"/>
  <c r="N86" i="3"/>
  <c r="N87" i="3" s="1"/>
  <c r="N8" i="3" s="1"/>
  <c r="G86" i="3"/>
  <c r="G87" i="3" s="1"/>
  <c r="G8" i="3" s="1"/>
  <c r="AA86" i="3"/>
  <c r="AA87" i="3" s="1"/>
  <c r="AA8" i="3" s="1"/>
  <c r="S86" i="3"/>
  <c r="S87" i="3" s="1"/>
  <c r="S8" i="3" s="1"/>
  <c r="P56" i="3"/>
  <c r="C56" i="3"/>
  <c r="J56" i="3"/>
  <c r="T56" i="3"/>
  <c r="M56" i="3"/>
  <c r="Z56" i="3"/>
  <c r="AA56" i="3"/>
  <c r="X56" i="3"/>
  <c r="L56" i="3"/>
  <c r="S56" i="3"/>
  <c r="U56" i="3"/>
  <c r="V56" i="3"/>
  <c r="D56" i="3"/>
  <c r="H56" i="3"/>
  <c r="Y56" i="3"/>
  <c r="K56" i="3"/>
  <c r="R56" i="3"/>
  <c r="N56" i="3"/>
  <c r="O56" i="3"/>
  <c r="E56" i="3"/>
  <c r="W56" i="3"/>
  <c r="I56" i="3"/>
  <c r="F56" i="3"/>
  <c r="Q56" i="3"/>
  <c r="G56" i="3"/>
  <c r="F161" i="3"/>
  <c r="F26" i="3" s="1"/>
  <c r="E161" i="3"/>
  <c r="E26" i="3" s="1"/>
  <c r="C161" i="3"/>
  <c r="C26" i="3" s="1"/>
  <c r="D161" i="3"/>
  <c r="D26" i="3" s="1"/>
  <c r="F87" i="3"/>
  <c r="F8" i="3" s="1"/>
  <c r="C87" i="3"/>
  <c r="C8" i="3" s="1"/>
  <c r="D87" i="3"/>
  <c r="D8" i="3" s="1"/>
  <c r="Q87" i="3"/>
  <c r="Q8" i="3" s="1"/>
  <c r="U33" i="3"/>
  <c r="H33" i="3"/>
  <c r="Y33" i="3"/>
  <c r="D33" i="3"/>
  <c r="N33" i="3"/>
  <c r="V33" i="3"/>
  <c r="C33" i="3"/>
  <c r="K33" i="3"/>
  <c r="AA33" i="3"/>
  <c r="P33" i="3"/>
  <c r="L33" i="3"/>
  <c r="J33" i="3"/>
  <c r="O33" i="3"/>
  <c r="E33" i="3"/>
  <c r="X33" i="3"/>
  <c r="I33" i="3"/>
  <c r="T33" i="3"/>
  <c r="F33" i="3"/>
  <c r="R33" i="3"/>
  <c r="S33" i="3"/>
  <c r="M33" i="3"/>
  <c r="Q33" i="3"/>
  <c r="Z33" i="3"/>
  <c r="G33" i="3"/>
  <c r="W33" i="3"/>
  <c r="S27" i="3"/>
  <c r="N27" i="3"/>
  <c r="L26" i="3"/>
  <c r="O26" i="3"/>
  <c r="P26" i="3"/>
  <c r="P27" i="3"/>
  <c r="J27" i="3"/>
  <c r="AA27" i="3"/>
  <c r="V26" i="3"/>
  <c r="K26" i="3"/>
  <c r="X27" i="3"/>
  <c r="O27" i="3"/>
  <c r="Q27" i="3"/>
  <c r="H27" i="3"/>
  <c r="J26" i="3"/>
  <c r="X26" i="3"/>
  <c r="R26" i="3"/>
  <c r="M26" i="3"/>
  <c r="G26" i="3"/>
  <c r="D27" i="3"/>
  <c r="K27" i="3"/>
  <c r="U27" i="3"/>
  <c r="R27" i="3"/>
  <c r="E27" i="3"/>
  <c r="I26" i="3"/>
  <c r="AA26" i="3"/>
  <c r="Z26" i="3"/>
  <c r="V27" i="3"/>
  <c r="I27" i="3"/>
  <c r="F27" i="3"/>
  <c r="U26" i="3"/>
  <c r="Q26" i="3"/>
  <c r="W26" i="3"/>
  <c r="M27" i="3"/>
  <c r="G27" i="3"/>
  <c r="T27" i="3"/>
  <c r="Y27" i="3"/>
  <c r="W27" i="3"/>
  <c r="S26" i="3"/>
  <c r="H26" i="3"/>
  <c r="T26" i="3"/>
  <c r="N26" i="3"/>
  <c r="Y26" i="3"/>
  <c r="C52" i="3"/>
  <c r="N64" i="3" l="1"/>
  <c r="N6" i="3" s="1"/>
  <c r="N4" i="3"/>
  <c r="S64" i="3"/>
  <c r="S4" i="3"/>
  <c r="C64" i="3"/>
  <c r="C63" i="3" s="1"/>
  <c r="C4" i="3"/>
  <c r="U64" i="3"/>
  <c r="U6" i="3" s="1"/>
  <c r="U4" i="3"/>
  <c r="G64" i="3"/>
  <c r="G6" i="3" s="1"/>
  <c r="G4" i="3"/>
  <c r="R64" i="3"/>
  <c r="R63" i="3" s="1"/>
  <c r="R4" i="3"/>
  <c r="L64" i="3"/>
  <c r="L6" i="3" s="1"/>
  <c r="L4" i="3"/>
  <c r="P64" i="3"/>
  <c r="P6" i="3" s="1"/>
  <c r="P4" i="3"/>
  <c r="Q64" i="3"/>
  <c r="Q63" i="3" s="1"/>
  <c r="Q4" i="3"/>
  <c r="K64" i="3"/>
  <c r="K6" i="3" s="1"/>
  <c r="K4" i="3"/>
  <c r="X64" i="3"/>
  <c r="X6" i="3" s="1"/>
  <c r="X4" i="3"/>
  <c r="J64" i="3"/>
  <c r="J6" i="3" s="1"/>
  <c r="J4" i="3"/>
  <c r="F64" i="3"/>
  <c r="F6" i="3" s="1"/>
  <c r="F4" i="3"/>
  <c r="Y64" i="3"/>
  <c r="Y6" i="3" s="1"/>
  <c r="Y4" i="3"/>
  <c r="AA64" i="3"/>
  <c r="AA6" i="3" s="1"/>
  <c r="AA4" i="3"/>
  <c r="H64" i="3"/>
  <c r="H6" i="3" s="1"/>
  <c r="H4" i="3"/>
  <c r="Z64" i="3"/>
  <c r="Z6" i="3" s="1"/>
  <c r="Z4" i="3"/>
  <c r="I64" i="3"/>
  <c r="I4" i="3"/>
  <c r="W64" i="3"/>
  <c r="W6" i="3" s="1"/>
  <c r="W4" i="3"/>
  <c r="D64" i="3"/>
  <c r="D6" i="3" s="1"/>
  <c r="D4" i="3"/>
  <c r="M64" i="3"/>
  <c r="M6" i="3" s="1"/>
  <c r="M4" i="3"/>
  <c r="O64" i="3"/>
  <c r="O63" i="3" s="1"/>
  <c r="O4" i="3"/>
  <c r="E64" i="3"/>
  <c r="E6" i="3" s="1"/>
  <c r="E4" i="3"/>
  <c r="V64" i="3"/>
  <c r="V6" i="3" s="1"/>
  <c r="V4" i="3"/>
  <c r="T64" i="3"/>
  <c r="T6" i="3" s="1"/>
  <c r="T4" i="3"/>
  <c r="AA144" i="3"/>
  <c r="AA143" i="3" s="1"/>
  <c r="O144" i="3"/>
  <c r="O143" i="3" s="1"/>
  <c r="Z144" i="3"/>
  <c r="Z143" i="3" s="1"/>
  <c r="N144" i="3"/>
  <c r="N143" i="3" s="1"/>
  <c r="Y144" i="3"/>
  <c r="Y143" i="3" s="1"/>
  <c r="M144" i="3"/>
  <c r="M143" i="3" s="1"/>
  <c r="L144" i="3"/>
  <c r="L143" i="3" s="1"/>
  <c r="X144" i="3"/>
  <c r="X143" i="3" s="1"/>
  <c r="W144" i="3"/>
  <c r="W143" i="3" s="1"/>
  <c r="K144" i="3"/>
  <c r="K143" i="3" s="1"/>
  <c r="F144" i="3"/>
  <c r="F143" i="3" s="1"/>
  <c r="V144" i="3"/>
  <c r="V143" i="3" s="1"/>
  <c r="J144" i="3"/>
  <c r="J143" i="3" s="1"/>
  <c r="R144" i="3"/>
  <c r="R143" i="3" s="1"/>
  <c r="U144" i="3"/>
  <c r="U143" i="3" s="1"/>
  <c r="I144" i="3"/>
  <c r="I143" i="3" s="1"/>
  <c r="T144" i="3"/>
  <c r="T143" i="3" s="1"/>
  <c r="H144" i="3"/>
  <c r="H143" i="3" s="1"/>
  <c r="C144" i="3"/>
  <c r="C143" i="3" s="1"/>
  <c r="D144" i="3"/>
  <c r="D143" i="3" s="1"/>
  <c r="S144" i="3"/>
  <c r="S143" i="3" s="1"/>
  <c r="G144" i="3"/>
  <c r="G143" i="3" s="1"/>
  <c r="Q144" i="3"/>
  <c r="Q143" i="3" s="1"/>
  <c r="E144" i="3"/>
  <c r="E143" i="3" s="1"/>
  <c r="P144" i="3"/>
  <c r="P143" i="3" s="1"/>
  <c r="Q121" i="3"/>
  <c r="Q114" i="3"/>
  <c r="Q95" i="3"/>
  <c r="Q96" i="3" s="1"/>
  <c r="Q9" i="3" s="1"/>
  <c r="K121" i="3"/>
  <c r="K120" i="3" s="1"/>
  <c r="K114" i="3"/>
  <c r="K95" i="3"/>
  <c r="K96" i="3" s="1"/>
  <c r="K9" i="3" s="1"/>
  <c r="F95" i="3"/>
  <c r="F96" i="3" s="1"/>
  <c r="F9" i="3" s="1"/>
  <c r="F121" i="3"/>
  <c r="F120" i="3" s="1"/>
  <c r="F114" i="3"/>
  <c r="Y121" i="3"/>
  <c r="Y120" i="3" s="1"/>
  <c r="Y114" i="3"/>
  <c r="Y95" i="3"/>
  <c r="Y96" i="3" s="1"/>
  <c r="Y9" i="3" s="1"/>
  <c r="AA121" i="3"/>
  <c r="AA114" i="3"/>
  <c r="AA113" i="3" s="1"/>
  <c r="AA95" i="3"/>
  <c r="X121" i="3"/>
  <c r="X114" i="3"/>
  <c r="X95" i="3"/>
  <c r="X96" i="3" s="1"/>
  <c r="I6" i="3"/>
  <c r="I121" i="3"/>
  <c r="I114" i="3"/>
  <c r="I113" i="3" s="1"/>
  <c r="I95" i="3"/>
  <c r="I96" i="3" s="1"/>
  <c r="H121" i="3"/>
  <c r="H114" i="3"/>
  <c r="H113" i="3" s="1"/>
  <c r="H95" i="3"/>
  <c r="H96" i="3" s="1"/>
  <c r="Z121" i="3"/>
  <c r="Z120" i="3" s="1"/>
  <c r="Z114" i="3"/>
  <c r="Z113" i="3" s="1"/>
  <c r="Z95" i="3"/>
  <c r="W121" i="3"/>
  <c r="W120" i="3" s="1"/>
  <c r="W114" i="3"/>
  <c r="W113" i="3" s="1"/>
  <c r="W95" i="3"/>
  <c r="W96" i="3" s="1"/>
  <c r="W9" i="3" s="1"/>
  <c r="D114" i="3"/>
  <c r="D121" i="3"/>
  <c r="D120" i="3" s="1"/>
  <c r="D95" i="3"/>
  <c r="D96" i="3" s="1"/>
  <c r="D9" i="3" s="1"/>
  <c r="M95" i="3"/>
  <c r="M96" i="3" s="1"/>
  <c r="M114" i="3"/>
  <c r="M121" i="3"/>
  <c r="E95" i="3"/>
  <c r="E96" i="3" s="1"/>
  <c r="E9" i="3" s="1"/>
  <c r="E114" i="3"/>
  <c r="E121" i="3"/>
  <c r="E120" i="3" s="1"/>
  <c r="V95" i="3"/>
  <c r="V96" i="3" s="1"/>
  <c r="V9" i="3" s="1"/>
  <c r="V121" i="3"/>
  <c r="V120" i="3" s="1"/>
  <c r="V114" i="3"/>
  <c r="T114" i="3"/>
  <c r="T95" i="3"/>
  <c r="T96" i="3" s="1"/>
  <c r="T9" i="3" s="1"/>
  <c r="T121" i="3"/>
  <c r="T120" i="3" s="1"/>
  <c r="O121" i="3"/>
  <c r="O120" i="3" s="1"/>
  <c r="O114" i="3"/>
  <c r="O113" i="3" s="1"/>
  <c r="O95" i="3"/>
  <c r="O96" i="3" s="1"/>
  <c r="O9" i="3" s="1"/>
  <c r="U95" i="3"/>
  <c r="U96" i="3" s="1"/>
  <c r="U9" i="3" s="1"/>
  <c r="U121" i="3"/>
  <c r="U120" i="3" s="1"/>
  <c r="U114" i="3"/>
  <c r="U113" i="3" s="1"/>
  <c r="J121" i="3"/>
  <c r="J114" i="3"/>
  <c r="J113" i="3" s="1"/>
  <c r="J95" i="3"/>
  <c r="J96" i="3" s="1"/>
  <c r="N95" i="3"/>
  <c r="N96" i="3" s="1"/>
  <c r="N121" i="3"/>
  <c r="N181" i="3" s="1"/>
  <c r="N114" i="3"/>
  <c r="S121" i="3"/>
  <c r="S120" i="3" s="1"/>
  <c r="S114" i="3"/>
  <c r="S95" i="3"/>
  <c r="S96" i="3" s="1"/>
  <c r="S9" i="3" s="1"/>
  <c r="S6" i="3"/>
  <c r="C121" i="3"/>
  <c r="C120" i="3" s="1"/>
  <c r="C114" i="3"/>
  <c r="C95" i="3"/>
  <c r="C6" i="3"/>
  <c r="G121" i="3"/>
  <c r="G114" i="3"/>
  <c r="G95" i="3"/>
  <c r="G96" i="3" s="1"/>
  <c r="R121" i="3"/>
  <c r="R120" i="3" s="1"/>
  <c r="R114" i="3"/>
  <c r="R113" i="3" s="1"/>
  <c r="R95" i="3"/>
  <c r="R96" i="3" s="1"/>
  <c r="R9" i="3" s="1"/>
  <c r="R6" i="3"/>
  <c r="L114" i="3"/>
  <c r="L113" i="3" s="1"/>
  <c r="L95" i="3"/>
  <c r="L96" i="3" s="1"/>
  <c r="L9" i="3" s="1"/>
  <c r="L121" i="3"/>
  <c r="L120" i="3" s="1"/>
  <c r="P121" i="3"/>
  <c r="P120" i="3" s="1"/>
  <c r="P114" i="3"/>
  <c r="P113" i="3" s="1"/>
  <c r="P95" i="3"/>
  <c r="P96" i="3" s="1"/>
  <c r="X63" i="3"/>
  <c r="E63" i="3"/>
  <c r="N24" i="3"/>
  <c r="N29" i="3" s="1"/>
  <c r="Z27" i="3"/>
  <c r="C27" i="3"/>
  <c r="O6" i="3" l="1"/>
  <c r="Z63" i="3"/>
  <c r="Z174" i="3" s="1"/>
  <c r="AA63" i="3"/>
  <c r="W63" i="3"/>
  <c r="W174" i="3" s="1"/>
  <c r="D63" i="3"/>
  <c r="D174" i="3" s="1"/>
  <c r="U63" i="3"/>
  <c r="U174" i="3" s="1"/>
  <c r="N63" i="3"/>
  <c r="N174" i="3" s="1"/>
  <c r="Q6" i="3"/>
  <c r="F63" i="3"/>
  <c r="F174" i="3" s="1"/>
  <c r="Z177" i="3"/>
  <c r="H24" i="3"/>
  <c r="H29" i="3" s="1"/>
  <c r="C180" i="3"/>
  <c r="Z180" i="3"/>
  <c r="L180" i="3"/>
  <c r="M178" i="3"/>
  <c r="C24" i="3"/>
  <c r="C29" i="3" s="1"/>
  <c r="L177" i="3"/>
  <c r="U177" i="3"/>
  <c r="U180" i="3"/>
  <c r="I24" i="3"/>
  <c r="I29" i="3" s="1"/>
  <c r="I177" i="3"/>
  <c r="M181" i="3"/>
  <c r="D24" i="3"/>
  <c r="D29" i="3" s="1"/>
  <c r="X24" i="3"/>
  <c r="X29" i="3" s="1"/>
  <c r="Y180" i="3"/>
  <c r="S24" i="3"/>
  <c r="S29" i="3" s="1"/>
  <c r="W177" i="3"/>
  <c r="F180" i="3"/>
  <c r="R177" i="3"/>
  <c r="R180" i="3"/>
  <c r="O177" i="3"/>
  <c r="O180" i="3"/>
  <c r="T180" i="3"/>
  <c r="K24" i="3"/>
  <c r="K29" i="3" s="1"/>
  <c r="G178" i="3"/>
  <c r="G181" i="3"/>
  <c r="K180" i="3"/>
  <c r="W180" i="3"/>
  <c r="D180" i="3"/>
  <c r="S180" i="3"/>
  <c r="Q24" i="3"/>
  <c r="Q29" i="3" s="1"/>
  <c r="F24" i="3"/>
  <c r="F29" i="3" s="1"/>
  <c r="J177" i="3"/>
  <c r="M24" i="3"/>
  <c r="M29" i="3" s="1"/>
  <c r="E24" i="3"/>
  <c r="E29" i="3" s="1"/>
  <c r="J181" i="3"/>
  <c r="V180" i="3"/>
  <c r="H177" i="3"/>
  <c r="V24" i="3"/>
  <c r="V29" i="3" s="1"/>
  <c r="H181" i="3"/>
  <c r="AA177" i="3"/>
  <c r="P24" i="3"/>
  <c r="P29" i="3" s="1"/>
  <c r="E180" i="3"/>
  <c r="J24" i="3"/>
  <c r="J29" i="3" s="1"/>
  <c r="P177" i="3"/>
  <c r="P180" i="3"/>
  <c r="T181" i="3"/>
  <c r="Y63" i="3"/>
  <c r="Y174" i="3" s="1"/>
  <c r="G63" i="3"/>
  <c r="G174" i="3" s="1"/>
  <c r="H63" i="3"/>
  <c r="H174" i="3" s="1"/>
  <c r="V63" i="3"/>
  <c r="V174" i="3" s="1"/>
  <c r="M63" i="3"/>
  <c r="M174" i="3" s="1"/>
  <c r="T63" i="3"/>
  <c r="T174" i="3" s="1"/>
  <c r="P63" i="3"/>
  <c r="P174" i="3" s="1"/>
  <c r="I63" i="3"/>
  <c r="I174" i="3" s="1"/>
  <c r="G175" i="3"/>
  <c r="G9" i="3"/>
  <c r="H175" i="3"/>
  <c r="H9" i="3"/>
  <c r="X175" i="3"/>
  <c r="X9" i="3"/>
  <c r="L63" i="3"/>
  <c r="L174" i="3" s="1"/>
  <c r="I175" i="3"/>
  <c r="I9" i="3"/>
  <c r="N175" i="3"/>
  <c r="N9" i="3"/>
  <c r="P175" i="3"/>
  <c r="P9" i="3"/>
  <c r="K63" i="3"/>
  <c r="K174" i="3" s="1"/>
  <c r="J175" i="3"/>
  <c r="J9" i="3"/>
  <c r="J63" i="3"/>
  <c r="J174" i="3" s="1"/>
  <c r="S63" i="3"/>
  <c r="S174" i="3" s="1"/>
  <c r="M175" i="3"/>
  <c r="M9" i="3"/>
  <c r="L178" i="3"/>
  <c r="J120" i="3"/>
  <c r="J180" i="3" s="1"/>
  <c r="G120" i="3"/>
  <c r="G180" i="3" s="1"/>
  <c r="O181" i="3"/>
  <c r="G113" i="3"/>
  <c r="G177" i="3" s="1"/>
  <c r="D175" i="3"/>
  <c r="P178" i="3"/>
  <c r="P181" i="3"/>
  <c r="U178" i="3"/>
  <c r="J178" i="3"/>
  <c r="M120" i="3"/>
  <c r="M180" i="3" s="1"/>
  <c r="K175" i="3"/>
  <c r="R178" i="3"/>
  <c r="M113" i="3"/>
  <c r="M177" i="3" s="1"/>
  <c r="I178" i="3"/>
  <c r="W178" i="3"/>
  <c r="AA178" i="3"/>
  <c r="Z181" i="3"/>
  <c r="F175" i="3"/>
  <c r="AA24" i="3"/>
  <c r="AA29" i="3" s="1"/>
  <c r="Z24" i="3"/>
  <c r="Z29" i="3" s="1"/>
  <c r="T24" i="3"/>
  <c r="T29" i="3" s="1"/>
  <c r="T175" i="3"/>
  <c r="H120" i="3"/>
  <c r="H180" i="3" s="1"/>
  <c r="R24" i="3"/>
  <c r="R29" i="3" s="1"/>
  <c r="H178" i="3"/>
  <c r="Y181" i="3"/>
  <c r="O24" i="3"/>
  <c r="O29" i="3" s="1"/>
  <c r="V175" i="3"/>
  <c r="L24" i="3"/>
  <c r="L29" i="3" s="1"/>
  <c r="Y24" i="3"/>
  <c r="Y29" i="3" s="1"/>
  <c r="W24" i="3"/>
  <c r="W29" i="3" s="1"/>
  <c r="U24" i="3"/>
  <c r="U29" i="3" s="1"/>
  <c r="Q175" i="3"/>
  <c r="L175" i="3"/>
  <c r="D181" i="3"/>
  <c r="Y175" i="3"/>
  <c r="E175" i="3"/>
  <c r="R175" i="3"/>
  <c r="O175" i="3"/>
  <c r="S175" i="3"/>
  <c r="O178" i="3"/>
  <c r="W175" i="3"/>
  <c r="U175" i="3"/>
  <c r="Z178" i="3"/>
  <c r="N113" i="3"/>
  <c r="N177" i="3" s="1"/>
  <c r="N178" i="3"/>
  <c r="C113" i="3"/>
  <c r="C177" i="3" s="1"/>
  <c r="C178" i="3"/>
  <c r="X113" i="3"/>
  <c r="X177" i="3" s="1"/>
  <c r="X178" i="3"/>
  <c r="Q113" i="3"/>
  <c r="Q177" i="3" s="1"/>
  <c r="Q178" i="3"/>
  <c r="Q174" i="3"/>
  <c r="X174" i="3"/>
  <c r="C174" i="3"/>
  <c r="F113" i="3"/>
  <c r="F177" i="3" s="1"/>
  <c r="F178" i="3"/>
  <c r="E181" i="3"/>
  <c r="E174" i="3"/>
  <c r="D113" i="3"/>
  <c r="D177" i="3" s="1"/>
  <c r="D178" i="3"/>
  <c r="I120" i="3"/>
  <c r="I180" i="3" s="1"/>
  <c r="I181" i="3"/>
  <c r="AA120" i="3"/>
  <c r="AA180" i="3" s="1"/>
  <c r="AA181" i="3"/>
  <c r="C181" i="3"/>
  <c r="L181" i="3"/>
  <c r="R174" i="3"/>
  <c r="V181" i="3"/>
  <c r="V113" i="3"/>
  <c r="V177" i="3" s="1"/>
  <c r="V178" i="3"/>
  <c r="T113" i="3"/>
  <c r="T177" i="3" s="1"/>
  <c r="T178" i="3"/>
  <c r="W181" i="3"/>
  <c r="U181" i="3"/>
  <c r="N120" i="3"/>
  <c r="N180" i="3" s="1"/>
  <c r="O174" i="3"/>
  <c r="Y113" i="3"/>
  <c r="Y177" i="3" s="1"/>
  <c r="Y178" i="3"/>
  <c r="F181" i="3"/>
  <c r="S181" i="3"/>
  <c r="R181" i="3"/>
  <c r="K181" i="3"/>
  <c r="K113" i="3"/>
  <c r="K177" i="3" s="1"/>
  <c r="K178" i="3"/>
  <c r="E113" i="3"/>
  <c r="E177" i="3" s="1"/>
  <c r="E178" i="3"/>
  <c r="AA174" i="3"/>
  <c r="Q120" i="3"/>
  <c r="Q180" i="3" s="1"/>
  <c r="Q181" i="3"/>
  <c r="X120" i="3"/>
  <c r="X180" i="3" s="1"/>
  <c r="X181" i="3"/>
  <c r="S113" i="3"/>
  <c r="S177" i="3" s="1"/>
  <c r="S178" i="3"/>
  <c r="C96" i="3"/>
  <c r="AA96" i="3"/>
  <c r="Z96" i="3"/>
  <c r="G24" i="3"/>
  <c r="Z175" i="3" l="1"/>
  <c r="Z9" i="3"/>
  <c r="Z11" i="3" s="1"/>
  <c r="C175" i="3"/>
  <c r="C9" i="3"/>
  <c r="AA175" i="3"/>
  <c r="AA9" i="3"/>
  <c r="AA11" i="3" s="1"/>
  <c r="C14" i="3"/>
  <c r="C15" i="3" s="1"/>
  <c r="D11" i="3"/>
  <c r="D22" i="3" s="1"/>
  <c r="G11" i="3"/>
  <c r="C18" i="3"/>
  <c r="V11" i="3"/>
  <c r="M14" i="3"/>
  <c r="M15" i="3" s="1"/>
  <c r="O14" i="3"/>
  <c r="O15" i="3" s="1"/>
  <c r="P18" i="3"/>
  <c r="P20" i="3" s="1"/>
  <c r="K18" i="3"/>
  <c r="K20" i="3" s="1"/>
  <c r="H14" i="3"/>
  <c r="H15" i="3" s="1"/>
  <c r="N11" i="3"/>
  <c r="S11" i="3"/>
  <c r="V14" i="3"/>
  <c r="V15" i="3" s="1"/>
  <c r="L14" i="3"/>
  <c r="L15" i="3" s="1"/>
  <c r="E14" i="3"/>
  <c r="E15" i="3" s="1"/>
  <c r="S18" i="3"/>
  <c r="S20" i="3" s="1"/>
  <c r="W18" i="3"/>
  <c r="W20" i="3" s="1"/>
  <c r="P11" i="3"/>
  <c r="P22" i="3" s="1"/>
  <c r="K11" i="3"/>
  <c r="U14" i="3"/>
  <c r="U15" i="3" s="1"/>
  <c r="AA14" i="3"/>
  <c r="AA15" i="3" s="1"/>
  <c r="Z18" i="3"/>
  <c r="Z20" i="3" s="1"/>
  <c r="T18" i="3"/>
  <c r="T20" i="3" s="1"/>
  <c r="J18" i="3"/>
  <c r="J20" i="3" s="1"/>
  <c r="O11" i="3"/>
  <c r="I11" i="3"/>
  <c r="P14" i="3"/>
  <c r="P15" i="3" s="1"/>
  <c r="E11" i="3"/>
  <c r="U11" i="3"/>
  <c r="W11" i="3"/>
  <c r="L11" i="3"/>
  <c r="M11" i="3"/>
  <c r="R11" i="3"/>
  <c r="K14" i="3"/>
  <c r="K15" i="3" s="1"/>
  <c r="T14" i="3"/>
  <c r="T15" i="3" s="1"/>
  <c r="X14" i="3"/>
  <c r="X15" i="3" s="1"/>
  <c r="D14" i="3"/>
  <c r="D15" i="3" s="1"/>
  <c r="D18" i="3"/>
  <c r="D20" i="3" s="1"/>
  <c r="M18" i="3"/>
  <c r="M20" i="3" s="1"/>
  <c r="R18" i="3"/>
  <c r="R20" i="3" s="1"/>
  <c r="U18" i="3"/>
  <c r="U20" i="3" s="1"/>
  <c r="O18" i="3"/>
  <c r="O20" i="3" s="1"/>
  <c r="Y18" i="3"/>
  <c r="Y20" i="3" s="1"/>
  <c r="E18" i="3"/>
  <c r="E20" i="3" s="1"/>
  <c r="N18" i="3"/>
  <c r="N20" i="3" s="1"/>
  <c r="L18" i="3"/>
  <c r="L20" i="3" s="1"/>
  <c r="T11" i="3"/>
  <c r="T22" i="3" s="1"/>
  <c r="X11" i="3"/>
  <c r="Y11" i="3"/>
  <c r="Y22" i="3" s="1"/>
  <c r="J11" i="3"/>
  <c r="J22" i="3" s="1"/>
  <c r="J14" i="3"/>
  <c r="J15" i="3" s="1"/>
  <c r="N14" i="3"/>
  <c r="N15" i="3" s="1"/>
  <c r="Q14" i="3"/>
  <c r="Q15" i="3" s="1"/>
  <c r="W14" i="3"/>
  <c r="W15" i="3" s="1"/>
  <c r="G14" i="3"/>
  <c r="G15" i="3" s="1"/>
  <c r="F14" i="3"/>
  <c r="F15" i="3" s="1"/>
  <c r="AA18" i="3"/>
  <c r="AA20" i="3" s="1"/>
  <c r="V18" i="3"/>
  <c r="V20" i="3" s="1"/>
  <c r="Z14" i="3"/>
  <c r="Z15" i="3" s="1"/>
  <c r="G29" i="3"/>
  <c r="F11" i="3"/>
  <c r="H11" i="3"/>
  <c r="R14" i="3"/>
  <c r="R15" i="3" s="1"/>
  <c r="Y14" i="3"/>
  <c r="Y15" i="3" s="1"/>
  <c r="F18" i="3"/>
  <c r="F20" i="3" s="1"/>
  <c r="I18" i="3"/>
  <c r="I20" i="3" s="1"/>
  <c r="X18" i="3"/>
  <c r="X20" i="3" s="1"/>
  <c r="Q18" i="3"/>
  <c r="Q20" i="3" s="1"/>
  <c r="Q11" i="3"/>
  <c r="S14" i="3"/>
  <c r="S15" i="3" s="1"/>
  <c r="H18" i="3"/>
  <c r="H20" i="3" s="1"/>
  <c r="Q22" i="3" l="1"/>
  <c r="X22" i="3"/>
  <c r="X31" i="3" s="1"/>
  <c r="X34" i="3" s="1"/>
  <c r="U22" i="3"/>
  <c r="U31" i="3" s="1"/>
  <c r="U34" i="3" s="1"/>
  <c r="R22" i="3"/>
  <c r="R31" i="3" s="1"/>
  <c r="R34" i="3" s="1"/>
  <c r="O22" i="3"/>
  <c r="O31" i="3" s="1"/>
  <c r="O34" i="3" s="1"/>
  <c r="H22" i="3"/>
  <c r="V22" i="3"/>
  <c r="V31" i="3" s="1"/>
  <c r="V34" i="3" s="1"/>
  <c r="F22" i="3"/>
  <c r="F31" i="3" s="1"/>
  <c r="F34" i="3" s="1"/>
  <c r="E22" i="3"/>
  <c r="E31" i="3" s="1"/>
  <c r="E34" i="3" s="1"/>
  <c r="M22" i="3"/>
  <c r="M31" i="3" s="1"/>
  <c r="M34" i="3" s="1"/>
  <c r="AA22" i="3"/>
  <c r="AA31" i="3" s="1"/>
  <c r="AA34" i="3" s="1"/>
  <c r="L22" i="3"/>
  <c r="L31" i="3" s="1"/>
  <c r="L34" i="3" s="1"/>
  <c r="S22" i="3"/>
  <c r="S31" i="3" s="1"/>
  <c r="S34" i="3" s="1"/>
  <c r="Z22" i="3"/>
  <c r="Z31" i="3" s="1"/>
  <c r="Z34" i="3" s="1"/>
  <c r="W22" i="3"/>
  <c r="W31" i="3" s="1"/>
  <c r="W34" i="3" s="1"/>
  <c r="K22" i="3"/>
  <c r="K31" i="3" s="1"/>
  <c r="K34" i="3" s="1"/>
  <c r="N22" i="3"/>
  <c r="N31" i="3" s="1"/>
  <c r="N34" i="3" s="1"/>
  <c r="G22" i="3"/>
  <c r="D31" i="3"/>
  <c r="D34" i="3" s="1"/>
  <c r="Y31" i="3"/>
  <c r="Y34" i="3" s="1"/>
  <c r="J31" i="3"/>
  <c r="J34" i="3" s="1"/>
  <c r="P31" i="3"/>
  <c r="P34" i="3" s="1"/>
  <c r="H31" i="3"/>
  <c r="H34" i="3" s="1"/>
  <c r="Q31" i="3"/>
  <c r="Q34" i="3" s="1"/>
  <c r="T31" i="3"/>
  <c r="T34" i="3" s="1"/>
  <c r="C20" i="3"/>
  <c r="I14" i="3"/>
  <c r="I15" i="3" s="1"/>
  <c r="I22" i="3" s="1"/>
  <c r="G18" i="3"/>
  <c r="G20" i="3" s="1"/>
  <c r="C11" i="3"/>
  <c r="C22" i="3" s="1"/>
  <c r="C31" i="3" l="1"/>
  <c r="C34" i="3" s="1"/>
  <c r="I31" i="3"/>
  <c r="I34" i="3" s="1"/>
  <c r="G31" i="3"/>
  <c r="G34" i="3" l="1"/>
  <c r="D36" i="3" s="1"/>
  <c r="D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<sst xmlns="http://schemas.openxmlformats.org/spreadsheetml/2006/main" count="1254" uniqueCount="387">
  <si>
    <t>Blue cells require user input</t>
  </si>
  <si>
    <t>Inputs for All Project Revenue Types</t>
  </si>
  <si>
    <t>Project Revenue Type</t>
  </si>
  <si>
    <t>VDER</t>
  </si>
  <si>
    <t>Plant Type</t>
  </si>
  <si>
    <t>Solar - Fixed Axis</t>
  </si>
  <si>
    <t>System Size</t>
  </si>
  <si>
    <t>Taxable Status Year</t>
  </si>
  <si>
    <t>System Age at Taxable Status Date</t>
  </si>
  <si>
    <t>Year(s)</t>
  </si>
  <si>
    <t>Before Tax Discount Rate  - Real WACC</t>
  </si>
  <si>
    <t>Tax Load</t>
  </si>
  <si>
    <t>Annual Ground Lease Payment (if applicable)</t>
  </si>
  <si>
    <t>Annual Ground Lease Escalator (if applicable)</t>
  </si>
  <si>
    <t>NYISO Zone</t>
  </si>
  <si>
    <t>A - West</t>
  </si>
  <si>
    <t>Utility Company</t>
  </si>
  <si>
    <t>NYSEG</t>
  </si>
  <si>
    <t>DRV Rate</t>
  </si>
  <si>
    <t>$</t>
  </si>
  <si>
    <t>Additional Input for Tier 1 Projects</t>
  </si>
  <si>
    <t>Utility for Retail Rate</t>
  </si>
  <si>
    <t>Residential Share</t>
  </si>
  <si>
    <t>Data for Model Operation</t>
  </si>
  <si>
    <t>Fraction of Off-taker Credits to Owner</t>
  </si>
  <si>
    <t>Group-Zone</t>
  </si>
  <si>
    <t>Utility Loss Adjustment Factor</t>
  </si>
  <si>
    <t>Economic Life</t>
  </si>
  <si>
    <t>Inverter Size</t>
  </si>
  <si>
    <t>kW AC</t>
  </si>
  <si>
    <t>Inverter Age</t>
  </si>
  <si>
    <t>Inverter Replacement Cycle</t>
  </si>
  <si>
    <t>Base Year for PV and Cash Flows</t>
  </si>
  <si>
    <t>DRV Renewal Rate</t>
  </si>
  <si>
    <t>Community Adder</t>
  </si>
  <si>
    <t>Income</t>
  </si>
  <si>
    <t>Expense*</t>
  </si>
  <si>
    <t>Lease</t>
  </si>
  <si>
    <t>Decomissioning</t>
  </si>
  <si>
    <t>Inverter (Solar Only)</t>
  </si>
  <si>
    <t>Expenses</t>
  </si>
  <si>
    <t>EBITDA</t>
  </si>
  <si>
    <t>*Expense includes O&amp;M, Insurance, Management.</t>
  </si>
  <si>
    <t>Discount Factor (Nominal)</t>
  </si>
  <si>
    <t>Discount Factor (Real)</t>
  </si>
  <si>
    <t>Cash Flow Deflation Factor</t>
  </si>
  <si>
    <t>Cost Data Inflation Factor</t>
  </si>
  <si>
    <t>Production Calculations</t>
  </si>
  <si>
    <t>Degradation Rate</t>
  </si>
  <si>
    <t>Degradation Factor</t>
  </si>
  <si>
    <t>Days per year</t>
  </si>
  <si>
    <t>Utility Loss Adjustment</t>
  </si>
  <si>
    <t>Fraction of Credits</t>
  </si>
  <si>
    <t>Gen-Wtd Price ($/MWh)</t>
  </si>
  <si>
    <t>Nominal $</t>
  </si>
  <si>
    <t>ICAP</t>
  </si>
  <si>
    <t>UCAP-Adjusted Price</t>
  </si>
  <si>
    <t>Utility Name</t>
  </si>
  <si>
    <t>System Year</t>
  </si>
  <si>
    <t>VDER MTC/CC Revenue Calculations</t>
  </si>
  <si>
    <t>System Age</t>
  </si>
  <si>
    <t>MTC/CC Term</t>
  </si>
  <si>
    <t>VDER Community Adder Revenue Calculations</t>
  </si>
  <si>
    <t>Community Adder Payment</t>
  </si>
  <si>
    <t>CA Payment Fractions</t>
  </si>
  <si>
    <t>Tier 1 Energy Revenue Calculations</t>
  </si>
  <si>
    <t>Tier 1 Capacity Revenue Calculation</t>
  </si>
  <si>
    <t>Residential Credit Rate</t>
  </si>
  <si>
    <t>Commercial Credit Rate</t>
  </si>
  <si>
    <t>Operating Expense Calculations</t>
  </si>
  <si>
    <t>Ground Lease Expense Calculations</t>
  </si>
  <si>
    <t>Annual Ground Lease</t>
  </si>
  <si>
    <t>Ground Lease Escalation</t>
  </si>
  <si>
    <t>Decom Cost per kW/yr</t>
  </si>
  <si>
    <t>COD Inflation Adjustment</t>
  </si>
  <si>
    <t>Inverter Size (kW)</t>
  </si>
  <si>
    <t>Replacement Cycle</t>
  </si>
  <si>
    <t>Replacement Cost ($/kW)</t>
  </si>
  <si>
    <t>VDER Total Cash Flow</t>
  </si>
  <si>
    <t>Valuation Group</t>
  </si>
  <si>
    <t>Utility</t>
  </si>
  <si>
    <t>Loss Adjustment Factor</t>
  </si>
  <si>
    <t>Revenue Type</t>
  </si>
  <si>
    <t>NYISO Name</t>
  </si>
  <si>
    <t>NYISO Letter</t>
  </si>
  <si>
    <t>Year</t>
  </si>
  <si>
    <t>Days</t>
  </si>
  <si>
    <t>Solar Fixed - VDER</t>
  </si>
  <si>
    <t>A</t>
  </si>
  <si>
    <t>Central Hudson</t>
  </si>
  <si>
    <t>B</t>
  </si>
  <si>
    <t>ConEd (11am-3pm)</t>
  </si>
  <si>
    <t>Solar - Tracking</t>
  </si>
  <si>
    <t>B - Genesee</t>
  </si>
  <si>
    <t>C</t>
  </si>
  <si>
    <t>ConEd (2pm-6pm)</t>
  </si>
  <si>
    <t>Tier 1</t>
  </si>
  <si>
    <t>C - Central</t>
  </si>
  <si>
    <t>D</t>
  </si>
  <si>
    <t>ConEd (4pm-8pm)</t>
  </si>
  <si>
    <t>D - North</t>
  </si>
  <si>
    <t>E</t>
  </si>
  <si>
    <t>ConEd (7pm-11pm)</t>
  </si>
  <si>
    <t>Land Based Wind</t>
  </si>
  <si>
    <t>E - Mohawk Valley</t>
  </si>
  <si>
    <t>F</t>
  </si>
  <si>
    <t>National Grid</t>
  </si>
  <si>
    <t>NEM</t>
  </si>
  <si>
    <t>F - Capital</t>
  </si>
  <si>
    <t>G</t>
  </si>
  <si>
    <t>G - Hudson Valley</t>
  </si>
  <si>
    <t>H</t>
  </si>
  <si>
    <t>Orange &amp; Rockland</t>
  </si>
  <si>
    <t>H - Millwood</t>
  </si>
  <si>
    <t>I</t>
  </si>
  <si>
    <t>PSEG Long Island</t>
  </si>
  <si>
    <t xml:space="preserve">I - Dunwoodie </t>
  </si>
  <si>
    <t>J</t>
  </si>
  <si>
    <t>RGE</t>
  </si>
  <si>
    <t xml:space="preserve">J - N.Y.C. </t>
  </si>
  <si>
    <t>K</t>
  </si>
  <si>
    <t>K - Long Island</t>
  </si>
  <si>
    <t>Solar Tracking - VDER</t>
  </si>
  <si>
    <t>kW</t>
  </si>
  <si>
    <t>Solar Fixed - Tier 1</t>
  </si>
  <si>
    <t>Solar Tracking - Tier 1</t>
  </si>
  <si>
    <t>Onshore Wind - Tier 1</t>
  </si>
  <si>
    <t>Solar Fixed - NEM</t>
  </si>
  <si>
    <t xml:space="preserve">ConEd NYC </t>
  </si>
  <si>
    <t>ConEd West</t>
  </si>
  <si>
    <t>Solar Tracking - NEM</t>
  </si>
  <si>
    <t>ValFactor</t>
  </si>
  <si>
    <t>Type-Zone</t>
  </si>
  <si>
    <t>Type</t>
  </si>
  <si>
    <t>Zone</t>
  </si>
  <si>
    <t>Hourly</t>
  </si>
  <si>
    <t>Solar - Fixed Axis-A</t>
  </si>
  <si>
    <t>Solar - Fixed Axis-B</t>
  </si>
  <si>
    <t>Solar - Fixed Axis-C</t>
  </si>
  <si>
    <t>Solar - Fixed Axis-D</t>
  </si>
  <si>
    <t>Solar - Fixed Axis-E</t>
  </si>
  <si>
    <t>Solar - Fixed Axis-F</t>
  </si>
  <si>
    <t>Solar - Fixed Axis-G</t>
  </si>
  <si>
    <t>Solar - Fixed Axis-H</t>
  </si>
  <si>
    <t>Solar - Fixed Axis-I</t>
  </si>
  <si>
    <t>Solar - Fixed Axis-J</t>
  </si>
  <si>
    <t>Solar - Fixed Axis-K</t>
  </si>
  <si>
    <t>Solar - Tracking-A</t>
  </si>
  <si>
    <t>Solar - Tracking-B</t>
  </si>
  <si>
    <t>Solar - Tracking-C</t>
  </si>
  <si>
    <t>Solar - Tracking-D</t>
  </si>
  <si>
    <t>Solar - Tracking-E</t>
  </si>
  <si>
    <t>Solar - Tracking-F</t>
  </si>
  <si>
    <t>Solar - Tracking-G</t>
  </si>
  <si>
    <t>Solar - Tracking-H</t>
  </si>
  <si>
    <t>Solar - Tracking-I</t>
  </si>
  <si>
    <t>Solar - Tracking-J</t>
  </si>
  <si>
    <t>Solar - Tracking-K</t>
  </si>
  <si>
    <t>Land Based Wind-A</t>
  </si>
  <si>
    <t>Land Based Wind-B</t>
  </si>
  <si>
    <t>Land Based Wind-C</t>
  </si>
  <si>
    <t>Land Based Wind-D</t>
  </si>
  <si>
    <t>Land Based Wind-E</t>
  </si>
  <si>
    <t>Land Based Wind-F</t>
  </si>
  <si>
    <t>Land Based Wind-G</t>
  </si>
  <si>
    <t>Land Based Wind-H</t>
  </si>
  <si>
    <t>Land Based Wind-I</t>
  </si>
  <si>
    <t>Land Based Wind-J</t>
  </si>
  <si>
    <t>Land Based Wind-K</t>
  </si>
  <si>
    <t>UCAP</t>
  </si>
  <si>
    <t>Rate-Type</t>
  </si>
  <si>
    <t>Rate</t>
  </si>
  <si>
    <t>DRV</t>
  </si>
  <si>
    <t>Default-Solar - Fixed Axis-A</t>
  </si>
  <si>
    <t>Default</t>
  </si>
  <si>
    <t>Default-Solar - Fixed Axis-B</t>
  </si>
  <si>
    <t>Default-Solar - Fixed Axis-C</t>
  </si>
  <si>
    <t>Default-Solar - Fixed Axis-D</t>
  </si>
  <si>
    <t>Default-Solar - Fixed Axis-E</t>
  </si>
  <si>
    <t>Default-Solar - Fixed Axis-F</t>
  </si>
  <si>
    <t>Default-Solar - Fixed Axis-G</t>
  </si>
  <si>
    <t>ConEd (11am-3pm)-Solar - Fixed Axis-H</t>
  </si>
  <si>
    <t>ConEd (2pm-6pm)-Solar - Fixed Axis-H</t>
  </si>
  <si>
    <t>ConEd (4pm-8pm)-Solar - Fixed Axis-H</t>
  </si>
  <si>
    <t>ConEd (7pm-11pm)-Solar - Fixed Axis-H</t>
  </si>
  <si>
    <t>Default-Solar - Fixed Axis-H</t>
  </si>
  <si>
    <t>ConEd (11am-3pm)-Solar - Fixed Axis-I</t>
  </si>
  <si>
    <t>ConEd (2pm-6pm)-Solar - Fixed Axis-I</t>
  </si>
  <si>
    <t>ConEd (4pm-8pm)-Solar - Fixed Axis-I</t>
  </si>
  <si>
    <t>ConEd (7pm-11pm)-Solar - Fixed Axis-I</t>
  </si>
  <si>
    <t>Default-Solar - Fixed Axis-I</t>
  </si>
  <si>
    <t>ConEd (11am-3pm)-Solar - Fixed Axis-J</t>
  </si>
  <si>
    <t>ConEd (2pm-6pm)-Solar - Fixed Axis-J</t>
  </si>
  <si>
    <t>ConEd (4pm-8pm)-Solar - Fixed Axis-J</t>
  </si>
  <si>
    <t>ConEd (7pm-11pm)-Solar - Fixed Axis-J</t>
  </si>
  <si>
    <t>Default-Solar - Fixed Axis-K</t>
  </si>
  <si>
    <t>Default-Solar - Tracking-A</t>
  </si>
  <si>
    <t>Default-Solar - Tracking-B</t>
  </si>
  <si>
    <t>Default-Solar - Tracking-C</t>
  </si>
  <si>
    <t>Default-Solar - Tracking-D</t>
  </si>
  <si>
    <t>Default-Solar - Tracking-E</t>
  </si>
  <si>
    <t>Default-Solar - Tracking-F</t>
  </si>
  <si>
    <t>Default-Solar - Tracking-G</t>
  </si>
  <si>
    <t>ConEd (11am-3pm)-Solar - Tracking-H</t>
  </si>
  <si>
    <t>ConEd (2pm-6pm)-Solar - Tracking-H</t>
  </si>
  <si>
    <t>ConEd (4pm-8pm)-Solar - Tracking-H</t>
  </si>
  <si>
    <t>ConEd (7pm-11pm)-Solar - Tracking-H</t>
  </si>
  <si>
    <t>Default-Solar - Tracking-H</t>
  </si>
  <si>
    <t>ConEd (11am-3pm)-Solar - Tracking-I</t>
  </si>
  <si>
    <t>ConEd (2pm-6pm)-Solar - Tracking-I</t>
  </si>
  <si>
    <t>ConEd (4pm-8pm)-Solar - Tracking-I</t>
  </si>
  <si>
    <t>ConEd (7pm-11pm)-Solar - Tracking-I</t>
  </si>
  <si>
    <t>Default-Solar - Tracking-I</t>
  </si>
  <si>
    <t>ConEd (11am-3pm)-Solar - Tracking-J</t>
  </si>
  <si>
    <t>ConEd (2pm-6pm)-Solar - Tracking-J</t>
  </si>
  <si>
    <t>ConEd (4pm-8pm)-Solar - Tracking-J</t>
  </si>
  <si>
    <t>ConEd (7pm-11pm)-Solar - Tracking-J</t>
  </si>
  <si>
    <t>Default-Solar - Tracking-K</t>
  </si>
  <si>
    <t>Utility-Zone</t>
  </si>
  <si>
    <t>RES</t>
  </si>
  <si>
    <t>ConEd West-I</t>
  </si>
  <si>
    <t>NYSEG-D</t>
  </si>
  <si>
    <t>RGE-C</t>
  </si>
  <si>
    <t>COM</t>
  </si>
  <si>
    <t>Calendar/Tax Year</t>
  </si>
  <si>
    <t>2024 Solar and Wind Appraisal Model</t>
  </si>
  <si>
    <t>Base Year for Inflation on Cost Data</t>
  </si>
  <si>
    <t>Residential Share of Bill Credits for NEM</t>
  </si>
  <si>
    <t>Decommissioning Cost Rate</t>
  </si>
  <si>
    <t>$/kW</t>
  </si>
  <si>
    <t xml:space="preserve">Inverter Replacement Cost New </t>
  </si>
  <si>
    <t>Long-term Annual Inflation</t>
  </si>
  <si>
    <t>Base Rate for DRV</t>
  </si>
  <si>
    <t>ValGroup Number</t>
  </si>
  <si>
    <t>ValGroup-Zone</t>
  </si>
  <si>
    <t>Degradation Rate (Linear)</t>
  </si>
  <si>
    <t>Cash Flow Type</t>
  </si>
  <si>
    <t>CapFactor</t>
  </si>
  <si>
    <t>Additional Input for NEM Projects</t>
  </si>
  <si>
    <t>$/kWh</t>
  </si>
  <si>
    <t>Capacity Factor for Plant Type</t>
  </si>
  <si>
    <t>Detailed Calculations</t>
  </si>
  <si>
    <t>Model Factors</t>
  </si>
  <si>
    <t>NEM Total Cash Flow</t>
  </si>
  <si>
    <t>Decommissioning Expense Calculations</t>
  </si>
  <si>
    <t>Annual Ground Lease Expense</t>
  </si>
  <si>
    <t>Annual Operating Expense</t>
  </si>
  <si>
    <t>Annual Tier 1 Capacity Revenue</t>
  </si>
  <si>
    <t>Annual Tier 1 Energy Revenue</t>
  </si>
  <si>
    <t>Annual VDER Community Adder Revenue</t>
  </si>
  <si>
    <t>Annual VDER MTC/CC Revenue</t>
  </si>
  <si>
    <t>Annual Decommissioning Expense</t>
  </si>
  <si>
    <t>Inverter Replacement Expense Calculations</t>
  </si>
  <si>
    <t>Annual Inverter Replacement Expense</t>
  </si>
  <si>
    <t>Annual NEM Net Metering Credit Revenue</t>
  </si>
  <si>
    <t>NEM Net Metering Credit Revenue Calculations</t>
  </si>
  <si>
    <t>VDER Demand Reduction Value Calculations</t>
  </si>
  <si>
    <t>Annual VDER Demand Reduction Value Revenue</t>
  </si>
  <si>
    <t>Annual VDER Capacity Revenue</t>
  </si>
  <si>
    <t>VDER Capacity Revenue Calculations</t>
  </si>
  <si>
    <t>VDER Energy Revenue Calculations</t>
  </si>
  <si>
    <t>Annual VDER Energy Revenue</t>
  </si>
  <si>
    <t>Discount Factor</t>
  </si>
  <si>
    <t>VDER Revenues Total</t>
  </si>
  <si>
    <t>NEM Revenues Total</t>
  </si>
  <si>
    <t>Tier 1 Revenues Total</t>
  </si>
  <si>
    <t>Energy</t>
  </si>
  <si>
    <t>Capacity</t>
  </si>
  <si>
    <t>Net Metering Credits</t>
  </si>
  <si>
    <t>MTC or CC</t>
  </si>
  <si>
    <t>Energy Production (kWh)</t>
  </si>
  <si>
    <t>Present Value of Cash Flows:</t>
  </si>
  <si>
    <t>Discounted Cash Flow</t>
  </si>
  <si>
    <t>Start Date of Plant Operation</t>
  </si>
  <si>
    <t>Year of Plant Operation</t>
  </si>
  <si>
    <t>*With current generation profiles, there is no expected generation during NYSEG January DRV window. Therefore, no adjustment is made for NYSEG DRV.</t>
  </si>
  <si>
    <t>/ kW AC</t>
  </si>
  <si>
    <t>Revenue</t>
  </si>
  <si>
    <t>Tier 1/VDER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</si>
  <si>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</si>
  <si>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</si>
  <si>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</si>
  <si>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</si>
  <si>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</si>
  <si>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</si>
  <si>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</si>
  <si>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</si>
  <si>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</si>
  <si>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</si>
  <si>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</si>
  <si>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</si>
  <si>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</si>
  <si>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</si>
  <si>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</si>
  <si>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</si>
  <si>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</si>
  <si>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</si>
  <si>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</si>
  <si>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</si>
  <si>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</si>
  <si>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</si>
  <si>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</si>
  <si>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</si>
  <si>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</si>
  <si>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</si>
  <si>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</si>
  <si>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</si>
  <si>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</si>
  <si>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</si>
  <si>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</si>
  <si>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</si>
  <si>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</si>
  <si>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</si>
  <si>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</si>
  <si>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</si>
  <si>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</si>
  <si>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</si>
  <si>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</si>
  <si>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</si>
  <si>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</si>
  <si>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</si>
  <si>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</si>
  <si>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</si>
  <si>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</si>
  <si>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</si>
  <si>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</si>
  <si>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</si>
  <si>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</si>
  <si>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</si>
  <si>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</si>
  <si>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</si>
  <si>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</si>
  <si>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</si>
  <si>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</si>
  <si>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6-3-I</t>
  </si>
  <si>
    <t>7-3-I</t>
  </si>
  <si>
    <t>DRV kWh/yr/kW</t>
  </si>
  <si>
    <t>DRV Rate (Years 1-10)</t>
  </si>
  <si>
    <t>DRV Renew Rate (Years &gt;10)</t>
  </si>
  <si>
    <t>MTC/CC Rate, $/kWh</t>
  </si>
  <si>
    <t>DRV Rate, $/kWh</t>
  </si>
  <si>
    <t>/kW-year</t>
  </si>
  <si>
    <t>Inverter Size Step</t>
  </si>
  <si>
    <t>Total Cash Flows</t>
  </si>
  <si>
    <t>Tier 1 Total Cash Flow</t>
  </si>
  <si>
    <t>Additional Required Inputs for VDER Projects</t>
  </si>
  <si>
    <t>Additional Optional Inputs for VDER Projects</t>
  </si>
  <si>
    <t>DRV Rate ($2022/kWh) Phase 2</t>
  </si>
  <si>
    <t>Actual Market Transition or Community Credit</t>
  </si>
  <si>
    <t>or Community Adder</t>
  </si>
  <si>
    <t>VDER - Value of Distributed Energy Resources</t>
  </si>
  <si>
    <r>
      <t xml:space="preserve">Note: The model assumes that VDER projects receive the maximum possible Market Transition Credit by default, but allows a lower Market Transition Credit or Community Credit or a Community Adder to be entered to override the default assumption. </t>
    </r>
    <r>
      <rPr>
        <sz val="11"/>
        <rFont val="Calibri"/>
        <family val="2"/>
        <scheme val="minor"/>
      </rPr>
      <t xml:space="preserve">VDER projects may receive either a Market Transition Credit, a Community Credit or a Community Adder. No VDER project can receive more than one of these credits, and some may receive none of them. </t>
    </r>
  </si>
  <si>
    <t>ConEd NYC -J</t>
  </si>
  <si>
    <t>PSEG Long Island-K</t>
  </si>
  <si>
    <t>Central Hudson-F</t>
  </si>
  <si>
    <t>Orange &amp; Rockland-G</t>
  </si>
  <si>
    <t>National Grid-A</t>
  </si>
  <si>
    <t>6-1-F</t>
  </si>
  <si>
    <t>6-2-J</t>
  </si>
  <si>
    <t>6-4-A</t>
  </si>
  <si>
    <t>6-5-D</t>
  </si>
  <si>
    <t>6-6-G</t>
  </si>
  <si>
    <t>6-7-K</t>
  </si>
  <si>
    <t>6-8-C</t>
  </si>
  <si>
    <t>7-1-F</t>
  </si>
  <si>
    <t>7-2-J</t>
  </si>
  <si>
    <t>7-4-A</t>
  </si>
  <si>
    <t>7-5-D</t>
  </si>
  <si>
    <t>7-6-G</t>
  </si>
  <si>
    <t>7-7-K</t>
  </si>
  <si>
    <t>7-8-C</t>
  </si>
  <si>
    <t>Scaled OpEx Rate</t>
  </si>
  <si>
    <t>Size Range</t>
  </si>
  <si>
    <t>Pivot Capacity (MW)</t>
  </si>
  <si>
    <t>Factor at Pivot</t>
  </si>
  <si>
    <t>Exponent</t>
  </si>
  <si>
    <t>Pivot MW</t>
  </si>
  <si>
    <t>Technology</t>
  </si>
  <si>
    <t>Low Range</t>
  </si>
  <si>
    <t>High Range</t>
  </si>
  <si>
    <t>OpEx Scale Factor</t>
  </si>
  <si>
    <t>Base OpEx Rate ($/kW-year)</t>
  </si>
  <si>
    <t>System Size (kW AC)</t>
  </si>
  <si>
    <t>Base OpEx Rate ($2022/kW)</t>
  </si>
  <si>
    <t>$/kW-year</t>
  </si>
  <si>
    <t>Maximum MTC/CC Rate ($2022/kWh)</t>
  </si>
  <si>
    <t>Zone Capacity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</si>
</sst>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_(&quot;$&quot;* #,##0.000_);_(&quot;$&quot;* \(#,##0.000\);_(&quot;$&quot;* &quot;-&quot;??_);_(@_)"/>
    <numFmt numFmtId="167" formatCode="_(* #,##0.0000_);_(* \(#,##0.00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$&quot;#,##0"/>
    <numFmt numFmtId="171" formatCode="&quot;$&quot;#,##0.0000_);\(&quot;$&quot;#,##0.0000\)"/>
    <numFmt numFmtId="172" formatCode="[$-409]mmmm\ d\,\ yyyy;@"/>
    <numFmt numFmtId="173" formatCode="#,##0;[Red]#,##0"/>
    <numFmt numFmtId="174" formatCode="#,##0.000_);\(#,##0.000\)"/>
    <numFmt numFmtId="175" formatCode="#,##0.0000_);\(#,##0.0000\)"/>
    <numFmt numFmtId="176" formatCode="0.0000_);\(0.0000\)"/>
    <numFmt numFmtId="177" formatCode="0.000_);\(0.000\)"/>
    <numFmt numFmtId="178" formatCode="_(&quot;$&quot;* #,##0.000_);_(&quot;$&quot;* \(#,##0.000\);_(&quot;$&quot;* &quot;-&quot;???_);_(@_)"/>
    <numFmt numFmtId="179" formatCode="0.00_);\(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0"/>
      <name val="Wingdings 3"/>
      <family val="1"/>
      <charset val="2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94">
    <xf numFmtId="0" fontId="0" fillId="0" borderId="0" xfId="0"/>
    <xf numFmtId="0" fontId="3" fillId="2" borderId="0" xfId="0" applyFont="1" applyFill="1" applyAlignment="1" applyProtection="1">
      <alignment horizontal="right"/>
      <protection locked="0"/>
    </xf>
    <xf numFmtId="9" fontId="3" fillId="2" borderId="2" xfId="3" applyFont="1" applyFill="1" applyBorder="1" applyProtection="1"/>
    <xf numFmtId="44" fontId="3" fillId="2" borderId="0" xfId="2" applyFont="1" applyFill="1" applyBorder="1" applyAlignment="1" applyProtection="1">
      <alignment horizontal="right"/>
      <protection locked="0"/>
    </xf>
    <xf numFmtId="171" fontId="3" fillId="2" borderId="0" xfId="2" applyNumberFormat="1" applyFont="1" applyFill="1" applyBorder="1" applyProtection="1"/>
    <xf numFmtId="171" fontId="3" fillId="2" borderId="0" xfId="2" applyNumberFormat="1" applyFont="1" applyFill="1" applyBorder="1" applyProtection="1">
      <protection locked="0"/>
    </xf>
    <xf numFmtId="5" fontId="3" fillId="2" borderId="0" xfId="2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9" fontId="3" fillId="2" borderId="0" xfId="3" applyFont="1" applyFill="1" applyProtection="1"/>
    <xf numFmtId="0" fontId="3" fillId="4" borderId="0" xfId="0" applyFont="1" applyFill="1" applyAlignment="1" applyProtection="1">
      <alignment horizontal="right"/>
      <protection locked="0"/>
    </xf>
    <xf numFmtId="3" fontId="3" fillId="4" borderId="0" xfId="1" applyNumberFormat="1" applyFont="1" applyFill="1" applyBorder="1" applyProtection="1">
      <protection locked="0"/>
    </xf>
    <xf numFmtId="14" fontId="3" fillId="4" borderId="0" xfId="0" applyNumberFormat="1" applyFont="1" applyFill="1" applyProtection="1">
      <protection locked="0"/>
    </xf>
    <xf numFmtId="10" fontId="3" fillId="4" borderId="0" xfId="0" applyNumberFormat="1" applyFont="1" applyFill="1" applyProtection="1">
      <protection locked="0"/>
    </xf>
    <xf numFmtId="170" fontId="3" fillId="4" borderId="0" xfId="1" applyNumberFormat="1" applyFont="1" applyFill="1" applyBorder="1" applyProtection="1">
      <protection locked="0"/>
    </xf>
    <xf numFmtId="10" fontId="3" fillId="4" borderId="11" xfId="3" applyNumberFormat="1" applyFont="1" applyFill="1" applyBorder="1" applyProtection="1">
      <protection locked="0"/>
    </xf>
    <xf numFmtId="10" fontId="3" fillId="3" borderId="2" xfId="3" applyNumberFormat="1" applyFont="1" applyFill="1" applyBorder="1" applyProtection="1"/>
    <xf numFmtId="10" fontId="3" fillId="3" borderId="0" xfId="3" applyNumberFormat="1" applyFont="1" applyFill="1" applyBorder="1" applyProtection="1"/>
    <xf numFmtId="7" fontId="3" fillId="3" borderId="0" xfId="2" applyNumberFormat="1" applyFont="1" applyFill="1" applyBorder="1" applyProtection="1"/>
    <xf numFmtId="9" fontId="3" fillId="3" borderId="0" xfId="3" applyFont="1" applyFill="1" applyBorder="1" applyProtection="1"/>
    <xf numFmtId="0" fontId="3" fillId="3" borderId="0" xfId="2" applyNumberFormat="1" applyFont="1" applyFill="1" applyBorder="1" applyProtection="1"/>
    <xf numFmtId="9" fontId="3" fillId="3" borderId="0" xfId="2" applyNumberFormat="1" applyFont="1" applyFill="1" applyBorder="1" applyProtection="1"/>
    <xf numFmtId="0" fontId="3" fillId="3" borderId="0" xfId="2" applyNumberFormat="1" applyFont="1" applyFill="1" applyBorder="1" applyAlignment="1" applyProtection="1">
      <alignment horizontal="right"/>
    </xf>
    <xf numFmtId="3" fontId="3" fillId="3" borderId="0" xfId="2" applyNumberFormat="1" applyFont="1" applyFill="1" applyBorder="1" applyAlignment="1" applyProtection="1">
      <alignment horizontal="right"/>
    </xf>
    <xf numFmtId="0" fontId="3" fillId="2" borderId="0" xfId="0" applyFont="1" applyFill="1"/>
    <xf numFmtId="10" fontId="3" fillId="2" borderId="0" xfId="0" applyNumberFormat="1" applyFont="1" applyFill="1"/>
    <xf numFmtId="168" fontId="3" fillId="2" borderId="0" xfId="1" applyNumberFormat="1" applyFont="1" applyFill="1" applyBorder="1" applyProtection="1"/>
    <xf numFmtId="7" fontId="3" fillId="2" borderId="0" xfId="1" applyNumberFormat="1" applyFont="1" applyFill="1" applyBorder="1" applyProtection="1"/>
    <xf numFmtId="171" fontId="3" fillId="2" borderId="0" xfId="1" applyNumberFormat="1" applyFont="1" applyFill="1" applyBorder="1" applyProtection="1"/>
    <xf numFmtId="168" fontId="0" fillId="2" borderId="12" xfId="1" applyNumberFormat="1" applyFont="1" applyFill="1" applyBorder="1" applyProtection="1"/>
    <xf numFmtId="168" fontId="0" fillId="2" borderId="14" xfId="1" applyNumberFormat="1" applyFont="1" applyFill="1" applyBorder="1" applyProtection="1"/>
    <xf numFmtId="168" fontId="0" fillId="2" borderId="13" xfId="1" applyNumberFormat="1" applyFont="1" applyFill="1" applyBorder="1" applyProtection="1"/>
    <xf numFmtId="168" fontId="0" fillId="2" borderId="15" xfId="1" applyNumberFormat="1" applyFont="1" applyFill="1" applyBorder="1" applyProtection="1"/>
    <xf numFmtId="1" fontId="0" fillId="2" borderId="13" xfId="2" applyNumberFormat="1" applyFont="1" applyFill="1" applyBorder="1" applyProtection="1"/>
    <xf numFmtId="1" fontId="0" fillId="2" borderId="15" xfId="2" applyNumberFormat="1" applyFont="1" applyFill="1" applyBorder="1" applyProtection="1"/>
    <xf numFmtId="169" fontId="2" fillId="3" borderId="19" xfId="2" applyNumberFormat="1" applyFont="1" applyFill="1" applyBorder="1" applyProtection="1"/>
    <xf numFmtId="169" fontId="2" fillId="3" borderId="20" xfId="2" applyNumberFormat="1" applyFont="1" applyFill="1" applyBorder="1" applyProtection="1"/>
    <xf numFmtId="169" fontId="0" fillId="2" borderId="12" xfId="2" applyNumberFormat="1" applyFont="1" applyFill="1" applyBorder="1" applyProtection="1"/>
    <xf numFmtId="169" fontId="0" fillId="2" borderId="14" xfId="2" applyNumberFormat="1" applyFont="1" applyFill="1" applyBorder="1" applyProtection="1"/>
    <xf numFmtId="169" fontId="0" fillId="2" borderId="13" xfId="2" applyNumberFormat="1" applyFont="1" applyFill="1" applyBorder="1" applyProtection="1"/>
    <xf numFmtId="169" fontId="0" fillId="2" borderId="15" xfId="2" applyNumberFormat="1" applyFont="1" applyFill="1" applyBorder="1" applyProtection="1"/>
    <xf numFmtId="169" fontId="2" fillId="2" borderId="12" xfId="2" applyNumberFormat="1" applyFont="1" applyFill="1" applyBorder="1" applyProtection="1"/>
    <xf numFmtId="169" fontId="2" fillId="2" borderId="14" xfId="2" applyNumberFormat="1" applyFont="1" applyFill="1" applyBorder="1" applyProtection="1"/>
    <xf numFmtId="1" fontId="0" fillId="2" borderId="21" xfId="2" applyNumberFormat="1" applyFont="1" applyFill="1" applyBorder="1" applyProtection="1"/>
    <xf numFmtId="168" fontId="0" fillId="2" borderId="23" xfId="1" applyNumberFormat="1" applyFont="1" applyFill="1" applyBorder="1" applyProtection="1"/>
    <xf numFmtId="168" fontId="0" fillId="2" borderId="21" xfId="1" applyNumberFormat="1" applyFont="1" applyFill="1" applyBorder="1" applyProtection="1"/>
    <xf numFmtId="169" fontId="2" fillId="3" borderId="24" xfId="2" applyNumberFormat="1" applyFont="1" applyFill="1" applyBorder="1" applyProtection="1"/>
    <xf numFmtId="169" fontId="0" fillId="2" borderId="23" xfId="2" applyNumberFormat="1" applyFont="1" applyFill="1" applyBorder="1" applyProtection="1"/>
    <xf numFmtId="169" fontId="0" fillId="2" borderId="21" xfId="2" applyNumberFormat="1" applyFont="1" applyFill="1" applyBorder="1" applyProtection="1"/>
    <xf numFmtId="169" fontId="2" fillId="2" borderId="23" xfId="2" applyNumberFormat="1" applyFont="1" applyFill="1" applyBorder="1" applyProtection="1"/>
    <xf numFmtId="168" fontId="0" fillId="2" borderId="24" xfId="1" applyNumberFormat="1" applyFont="1" applyFill="1" applyBorder="1" applyProtection="1"/>
    <xf numFmtId="168" fontId="0" fillId="2" borderId="19" xfId="1" applyNumberFormat="1" applyFont="1" applyFill="1" applyBorder="1" applyProtection="1"/>
    <xf numFmtId="168" fontId="0" fillId="2" borderId="20" xfId="1" applyNumberFormat="1" applyFont="1" applyFill="1" applyBorder="1" applyProtection="1"/>
    <xf numFmtId="169" fontId="0" fillId="2" borderId="22" xfId="2" applyNumberFormat="1" applyFont="1" applyFill="1" applyBorder="1" applyProtection="1"/>
    <xf numFmtId="169" fontId="0" fillId="2" borderId="17" xfId="2" applyNumberFormat="1" applyFont="1" applyFill="1" applyBorder="1" applyProtection="1"/>
    <xf numFmtId="169" fontId="0" fillId="2" borderId="18" xfId="2" applyNumberFormat="1" applyFont="1" applyFill="1" applyBorder="1" applyProtection="1"/>
    <xf numFmtId="0" fontId="0" fillId="2" borderId="25" xfId="0" applyFill="1" applyBorder="1"/>
    <xf numFmtId="0" fontId="0" fillId="2" borderId="26" xfId="0" applyFill="1" applyBorder="1"/>
    <xf numFmtId="0" fontId="0" fillId="2" borderId="22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27" xfId="0" applyFont="1" applyFill="1" applyBorder="1"/>
    <xf numFmtId="0" fontId="8" fillId="2" borderId="25" xfId="0" applyFont="1" applyFill="1" applyBorder="1"/>
    <xf numFmtId="0" fontId="0" fillId="2" borderId="27" xfId="0" applyFill="1" applyBorder="1"/>
    <xf numFmtId="0" fontId="8" fillId="2" borderId="27" xfId="0" applyFont="1" applyFill="1" applyBorder="1"/>
    <xf numFmtId="0" fontId="0" fillId="2" borderId="23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6" xfId="0" applyFill="1" applyBorder="1"/>
    <xf numFmtId="0" fontId="2" fillId="3" borderId="16" xfId="0" applyFont="1" applyFill="1" applyBorder="1"/>
    <xf numFmtId="164" fontId="0" fillId="2" borderId="23" xfId="0" applyNumberFormat="1" applyFill="1" applyBorder="1"/>
    <xf numFmtId="164" fontId="0" fillId="2" borderId="12" xfId="0" applyNumberFormat="1" applyFill="1" applyBorder="1"/>
    <xf numFmtId="164" fontId="0" fillId="2" borderId="14" xfId="0" applyNumberFormat="1" applyFill="1" applyBorder="1"/>
    <xf numFmtId="0" fontId="4" fillId="2" borderId="0" xfId="0" applyFont="1" applyFill="1"/>
    <xf numFmtId="176" fontId="3" fillId="2" borderId="0" xfId="0" applyNumberFormat="1" applyFont="1" applyFill="1"/>
    <xf numFmtId="173" fontId="3" fillId="2" borderId="0" xfId="0" applyNumberFormat="1" applyFont="1" applyFill="1"/>
    <xf numFmtId="10" fontId="3" fillId="2" borderId="0" xfId="3" applyNumberFormat="1" applyFont="1" applyFill="1" applyBorder="1" applyProtection="1"/>
    <xf numFmtId="177" fontId="3" fillId="2" borderId="0" xfId="3" applyNumberFormat="1" applyFont="1" applyFill="1" applyBorder="1" applyProtection="1"/>
    <xf numFmtId="168" fontId="3" fillId="2" borderId="0" xfId="0" applyNumberFormat="1" applyFont="1" applyFill="1"/>
    <xf numFmtId="0" fontId="3" fillId="2" borderId="0" xfId="0" applyFont="1" applyFill="1" applyAlignment="1">
      <alignment horizontal="left" indent="2"/>
    </xf>
    <xf numFmtId="5" fontId="3" fillId="2" borderId="0" xfId="0" applyNumberFormat="1" applyFont="1" applyFill="1"/>
    <xf numFmtId="0" fontId="3" fillId="2" borderId="0" xfId="0" applyFont="1" applyFill="1" applyAlignment="1">
      <alignment horizontal="left" indent="1"/>
    </xf>
    <xf numFmtId="173" fontId="3" fillId="2" borderId="0" xfId="0" applyNumberFormat="1" applyFont="1" applyFill="1" applyAlignment="1">
      <alignment horizontal="right" indent="1"/>
    </xf>
    <xf numFmtId="9" fontId="3" fillId="2" borderId="0" xfId="0" applyNumberFormat="1" applyFont="1" applyFill="1"/>
    <xf numFmtId="174" fontId="3" fillId="2" borderId="0" xfId="0" applyNumberFormat="1" applyFont="1" applyFill="1"/>
    <xf numFmtId="175" fontId="3" fillId="2" borderId="0" xfId="0" applyNumberFormat="1" applyFont="1" applyFill="1"/>
    <xf numFmtId="7" fontId="3" fillId="2" borderId="0" xfId="0" applyNumberFormat="1" applyFont="1" applyFill="1"/>
    <xf numFmtId="0" fontId="3" fillId="2" borderId="0" xfId="0" quotePrefix="1" applyFont="1" applyFill="1"/>
    <xf numFmtId="4" fontId="3" fillId="2" borderId="0" xfId="0" applyNumberFormat="1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/>
    <xf numFmtId="43" fontId="3" fillId="2" borderId="0" xfId="0" applyNumberFormat="1" applyFont="1" applyFill="1"/>
    <xf numFmtId="0" fontId="3" fillId="4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/>
    <xf numFmtId="172" fontId="3" fillId="2" borderId="3" xfId="0" quotePrefix="1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3" fillId="2" borderId="8" xfId="0" applyFont="1" applyFill="1" applyBorder="1"/>
    <xf numFmtId="0" fontId="3" fillId="2" borderId="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/>
    <xf numFmtId="0" fontId="3" fillId="2" borderId="1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7" xfId="0" applyFont="1" applyFill="1" applyBorder="1" applyAlignment="1">
      <alignment horizontal="right" vertical="center"/>
    </xf>
    <xf numFmtId="0" fontId="3" fillId="3" borderId="0" xfId="0" applyFont="1" applyFill="1"/>
    <xf numFmtId="0" fontId="3" fillId="3" borderId="8" xfId="0" applyFont="1" applyFill="1" applyBorder="1"/>
    <xf numFmtId="0" fontId="3" fillId="3" borderId="0" xfId="0" applyFont="1" applyFill="1" applyAlignment="1">
      <alignment horizontal="right"/>
    </xf>
    <xf numFmtId="10" fontId="3" fillId="3" borderId="0" xfId="0" applyNumberFormat="1" applyFont="1" applyFill="1"/>
    <xf numFmtId="0" fontId="3" fillId="3" borderId="9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/>
    </xf>
    <xf numFmtId="0" fontId="3" fillId="3" borderId="11" xfId="0" applyFont="1" applyFill="1" applyBorder="1"/>
    <xf numFmtId="0" fontId="3" fillId="3" borderId="10" xfId="0" applyFont="1" applyFill="1" applyBorder="1" applyAlignment="1">
      <alignment horizontal="center"/>
    </xf>
    <xf numFmtId="172" fontId="3" fillId="2" borderId="0" xfId="0" quotePrefix="1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79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79" fontId="3" fillId="2" borderId="16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indent="2"/>
    </xf>
    <xf numFmtId="0" fontId="3" fillId="2" borderId="27" xfId="0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left" indent="2"/>
    </xf>
    <xf numFmtId="0" fontId="3" fillId="2" borderId="2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37" fontId="3" fillId="2" borderId="0" xfId="0" applyNumberFormat="1" applyFont="1" applyFill="1"/>
    <xf numFmtId="39" fontId="3" fillId="2" borderId="0" xfId="0" applyNumberFormat="1" applyFont="1" applyFill="1"/>
    <xf numFmtId="7" fontId="3" fillId="2" borderId="25" xfId="0" applyNumberFormat="1" applyFont="1" applyFill="1" applyBorder="1" applyAlignment="1">
      <alignment horizontal="center"/>
    </xf>
    <xf numFmtId="7" fontId="3" fillId="2" borderId="3" xfId="0" applyNumberFormat="1" applyFont="1" applyFill="1" applyBorder="1" applyAlignment="1">
      <alignment horizontal="center"/>
    </xf>
    <xf numFmtId="7" fontId="3" fillId="2" borderId="27" xfId="0" applyNumberFormat="1" applyFont="1" applyFill="1" applyBorder="1" applyAlignment="1">
      <alignment horizontal="center"/>
    </xf>
    <xf numFmtId="7" fontId="3" fillId="2" borderId="8" xfId="0" applyNumberFormat="1" applyFont="1" applyFill="1" applyBorder="1" applyAlignment="1">
      <alignment horizontal="center"/>
    </xf>
    <xf numFmtId="7" fontId="3" fillId="2" borderId="26" xfId="0" applyNumberFormat="1" applyFont="1" applyFill="1" applyBorder="1" applyAlignment="1">
      <alignment horizontal="center"/>
    </xf>
    <xf numFmtId="7" fontId="3" fillId="2" borderId="1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/>
    <xf numFmtId="165" fontId="3" fillId="2" borderId="5" xfId="0" applyNumberFormat="1" applyFont="1" applyFill="1" applyBorder="1"/>
    <xf numFmtId="166" fontId="3" fillId="2" borderId="6" xfId="2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0" xfId="0" applyNumberFormat="1" applyFont="1" applyFill="1"/>
    <xf numFmtId="178" fontId="3" fillId="2" borderId="0" xfId="0" applyNumberFormat="1" applyFont="1" applyFill="1"/>
    <xf numFmtId="178" fontId="3" fillId="2" borderId="8" xfId="2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165" fontId="3" fillId="2" borderId="11" xfId="0" applyNumberFormat="1" applyFont="1" applyFill="1" applyBorder="1"/>
    <xf numFmtId="178" fontId="3" fillId="2" borderId="11" xfId="0" applyNumberFormat="1" applyFont="1" applyFill="1" applyBorder="1"/>
    <xf numFmtId="178" fontId="3" fillId="2" borderId="10" xfId="2" applyNumberFormat="1" applyFont="1" applyFill="1" applyBorder="1"/>
    <xf numFmtId="0" fontId="3" fillId="2" borderId="11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0" xfId="0" applyNumberFormat="1" applyFont="1" applyFill="1"/>
    <xf numFmtId="0" fontId="9" fillId="2" borderId="0" xfId="0" applyFont="1" applyFill="1"/>
    <xf numFmtId="169" fontId="4" fillId="2" borderId="0" xfId="2" applyNumberFormat="1" applyFont="1" applyFill="1" applyBorder="1" applyProtection="1"/>
    <xf numFmtId="167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/>
    </xf>
    <xf numFmtId="167" fontId="4" fillId="2" borderId="0" xfId="0" quotePrefix="1" applyNumberFormat="1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79" fontId="3" fillId="2" borderId="25" xfId="0" quotePrefix="1" applyNumberFormat="1" applyFont="1" applyFill="1" applyBorder="1" applyAlignment="1">
      <alignment horizontal="center"/>
    </xf>
    <xf numFmtId="179" fontId="3" fillId="2" borderId="25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45599247-A25C-4F55-AD92-59C64443AAA0}"/>
    <cellStyle name="Percent" xfId="3" builtinId="5"/>
  </cellStyles>
  <dxfs count="12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darkGray">
          <fgColor auto="1"/>
        </patternFill>
      </fill>
    </dxf>
    <dxf>
      <fill>
        <patternFill patternType="darkGray">
          <fgColor auto="1"/>
        </patternFill>
      </fill>
    </dxf>
    <dxf>
      <fill>
        <patternFill patternType="darkGray">
          <f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CFD3-3F9C-4708-9D38-F5A474BB0FF1}">
  <dimension ref="A1:E57"/>
  <sheetViews>
    <sheetView tabSelected="1" zoomScaleNormal="100" workbookViewId="0">
      <selection activeCell="C4" sqref="C4"/>
    </sheetView>
  </sheetViews>
  <sheetFormatPr defaultRowHeight="15" x14ac:dyDescent="0.25"/>
  <cols>
    <col min="1" max="1" width="9.140625" style="23"/>
    <col min="2" max="3" width="42.85546875" style="23" customWidth="1"/>
    <col min="4" max="4" width="1.42578125" style="23" customWidth="1"/>
    <col min="5" max="5" width="28.5703125" style="23" customWidth="1"/>
    <col min="6" max="16384" width="9.140625" style="23"/>
  </cols>
  <sheetData>
    <row r="1" spans="1:5" ht="15" customHeight="1" x14ac:dyDescent="0.25">
      <c r="A1" s="176" t="s">
        <v>225</v>
      </c>
      <c r="B1" s="176"/>
      <c r="C1" s="93" t="s">
        <v>0</v>
      </c>
      <c r="D1" s="94"/>
      <c r="E1" s="123"/>
    </row>
    <row r="2" spans="1:5" ht="15" customHeight="1" x14ac:dyDescent="0.25">
      <c r="C2" s="124"/>
      <c r="E2" s="123">
        <v>45288</v>
      </c>
    </row>
    <row r="3" spans="1:5" ht="15" customHeight="1" x14ac:dyDescent="0.25">
      <c r="B3" s="95" t="s">
        <v>1</v>
      </c>
      <c r="C3" s="96"/>
      <c r="D3" s="96"/>
      <c r="E3" s="97"/>
    </row>
    <row r="4" spans="1:5" ht="15" customHeight="1" x14ac:dyDescent="0.25">
      <c r="B4" s="98" t="s">
        <v>2</v>
      </c>
      <c r="C4" s="9" t="s">
        <v>350</v>
      </c>
      <c r="D4" s="99"/>
      <c r="E4" s="100"/>
    </row>
    <row r="5" spans="1:5" ht="15" customHeight="1" x14ac:dyDescent="0.25">
      <c r="B5" s="98" t="s">
        <v>4</v>
      </c>
      <c r="C5" s="9" t="s">
        <v>92</v>
      </c>
      <c r="D5" s="99"/>
      <c r="E5" s="100" t="str">
        <f>IF(AND(Revenue_Model&lt;&gt;"Tier 1",Plant_Type="Land Based Wind"),"Wind Must Be Tier 1","")</f>
        <v/>
      </c>
    </row>
    <row r="6" spans="1:5" ht="15" customHeight="1" x14ac:dyDescent="0.25">
      <c r="B6" s="98" t="s">
        <v>6</v>
      </c>
      <c r="C6" s="10">
        <v>5000</v>
      </c>
      <c r="E6" s="100" t="str">
        <f>IF(AND(Revenue_Model="VDER - Value of Distributed Energy Resources",System_Size&gt;5000),"VDER Must be &lt;= 5,000 kW AC",IF(AND(Revenue_Model="NEM - Net Energy Metering",System_Size&gt;5000),"NEM Must be &lt;= 5,000 kW AC",IF(AND(Revenue_Model="Tier 1",System_Size&lt;=5000),"Tier 1 Must be &gt; 5,000 kW AC","kW AC")))</f>
        <v>kW AC</v>
      </c>
    </row>
    <row r="7" spans="1:5" ht="15" customHeight="1" x14ac:dyDescent="0.25">
      <c r="B7" s="98" t="s">
        <v>273</v>
      </c>
      <c r="C7" s="11">
        <v>44927</v>
      </c>
      <c r="E7" s="100"/>
    </row>
    <row r="8" spans="1:5" ht="15" customHeight="1" x14ac:dyDescent="0.25">
      <c r="B8" s="98" t="s">
        <v>7</v>
      </c>
      <c r="C8" s="23">
        <v>2023</v>
      </c>
      <c r="E8" s="100"/>
    </row>
    <row r="9" spans="1:5" ht="15" customHeight="1" x14ac:dyDescent="0.25">
      <c r="B9" s="98" t="s">
        <v>8</v>
      </c>
      <c r="C9" s="23">
        <f>IF(Tax_Status_Year-YEAR(Date_of_Operation)&lt;0,"Tax Status year can not be before Date of Operation",Tax_Status_Year-YEAR(Date_of_Operation))</f>
        <v>0</v>
      </c>
      <c r="E9" s="100" t="s">
        <v>9</v>
      </c>
    </row>
    <row r="10" spans="1:5" ht="15" customHeight="1" x14ac:dyDescent="0.25">
      <c r="B10" s="101" t="s">
        <v>10</v>
      </c>
      <c r="C10" s="24">
        <f>IFERROR(IF(ValGroup=5,7.69%,6.68%),"")</f>
        <v>6.6799999999999998E-2</v>
      </c>
      <c r="E10" s="100"/>
    </row>
    <row r="11" spans="1:5" ht="15" customHeight="1" x14ac:dyDescent="0.25">
      <c r="B11" s="98" t="s">
        <v>11</v>
      </c>
      <c r="C11" s="12">
        <v>0.03</v>
      </c>
      <c r="E11" s="100"/>
    </row>
    <row r="12" spans="1:5" ht="15" customHeight="1" x14ac:dyDescent="0.25">
      <c r="B12" s="98" t="str">
        <f>IF(Nominal_Real_Switch=1,"Loaded Nominal Discount Rate","Loaded Real Discount Rate")</f>
        <v>Loaded Real Discount Rate</v>
      </c>
      <c r="C12" s="24">
        <f>IFERROR(CHOOSE(Nominal_Real_Switch,(1+$C$10)*(1+Inflation)*(1+$C$11)-1,(1+$C$10)*(1+$C$11)-1),"")</f>
        <v>9.8803999999999892E-2</v>
      </c>
      <c r="E12" s="100"/>
    </row>
    <row r="13" spans="1:5" ht="15" customHeight="1" x14ac:dyDescent="0.25">
      <c r="B13" s="98" t="s">
        <v>12</v>
      </c>
      <c r="C13" s="13">
        <v>5000</v>
      </c>
      <c r="E13" s="100"/>
    </row>
    <row r="14" spans="1:5" ht="15" customHeight="1" x14ac:dyDescent="0.25">
      <c r="B14" s="102" t="s">
        <v>13</v>
      </c>
      <c r="C14" s="14">
        <v>0.02</v>
      </c>
      <c r="D14" s="103"/>
      <c r="E14" s="104"/>
    </row>
    <row r="15" spans="1:5" ht="15" customHeight="1" x14ac:dyDescent="0.25"/>
    <row r="16" spans="1:5" ht="15" customHeight="1" x14ac:dyDescent="0.25">
      <c r="B16" s="105" t="s">
        <v>345</v>
      </c>
      <c r="C16" s="2"/>
      <c r="D16" s="96"/>
      <c r="E16" s="106"/>
    </row>
    <row r="17" spans="2:5" ht="15" customHeight="1" x14ac:dyDescent="0.25">
      <c r="B17" s="98" t="s">
        <v>14</v>
      </c>
      <c r="C17" s="1" t="s">
        <v>15</v>
      </c>
      <c r="E17" s="100"/>
    </row>
    <row r="18" spans="2:5" ht="15" customHeight="1" x14ac:dyDescent="0.25">
      <c r="B18" s="98" t="s">
        <v>16</v>
      </c>
      <c r="C18" s="3" t="s">
        <v>17</v>
      </c>
      <c r="D18" s="99"/>
      <c r="E18" s="100"/>
    </row>
    <row r="19" spans="2:5" ht="15" customHeight="1" x14ac:dyDescent="0.25">
      <c r="B19" s="98" t="s">
        <v>18</v>
      </c>
      <c r="C19" s="4">
        <f>VLOOKUP(VDER_Utility_Name,DRV_Table,3,FALSE)</f>
        <v>8.8999999999999996E-2</v>
      </c>
      <c r="E19" s="100" t="s">
        <v>239</v>
      </c>
    </row>
    <row r="20" spans="2:5" ht="15" customHeight="1" x14ac:dyDescent="0.25">
      <c r="B20" s="98" t="str">
        <f>IF(AND($C$22="",Community_Adder=""),"Default Maximum MTC/CC",IF(AND($C$22&lt;&gt;"",Community_Adder=""),"Actual Market Transition or Community Credit","Community Adder Replaces MTC/CC"))</f>
        <v>Default Maximum MTC/CC</v>
      </c>
      <c r="C20" s="4">
        <f>IF(AND($C$22="",Community_Adder=""),VLOOKUP(VDER_Utility_Name,DRV_Table,4,FALSE),IF(AND($C$22&lt;&gt;"",Community_Adder=""),$C$22,0))</f>
        <v>3.1399999999999997E-2</v>
      </c>
      <c r="E20" s="100" t="s">
        <v>239</v>
      </c>
    </row>
    <row r="21" spans="2:5" ht="15" customHeight="1" x14ac:dyDescent="0.25">
      <c r="B21" s="107" t="s">
        <v>346</v>
      </c>
      <c r="C21" s="4"/>
      <c r="E21" s="108" t="str">
        <f>IF(AND($C$22&lt;&gt;"",Community_Adder&lt;&gt;""),"Only One Optional VDER Input Can Be Filled In","")</f>
        <v/>
      </c>
    </row>
    <row r="22" spans="2:5" ht="15" customHeight="1" x14ac:dyDescent="0.25">
      <c r="B22" s="98" t="s">
        <v>348</v>
      </c>
      <c r="C22" s="5"/>
      <c r="E22" s="100" t="s">
        <v>239</v>
      </c>
    </row>
    <row r="23" spans="2:5" ht="15" customHeight="1" x14ac:dyDescent="0.25">
      <c r="B23" s="98" t="s">
        <v>349</v>
      </c>
      <c r="C23" s="6"/>
      <c r="E23" s="100" t="s">
        <v>19</v>
      </c>
    </row>
    <row r="24" spans="2:5" ht="15" customHeight="1" x14ac:dyDescent="0.25">
      <c r="B24" s="177" t="s">
        <v>351</v>
      </c>
      <c r="C24" s="178"/>
      <c r="D24" s="178"/>
      <c r="E24" s="179"/>
    </row>
    <row r="25" spans="2:5" ht="15" customHeight="1" x14ac:dyDescent="0.25">
      <c r="B25" s="180"/>
      <c r="C25" s="178"/>
      <c r="D25" s="178"/>
      <c r="E25" s="179"/>
    </row>
    <row r="26" spans="2:5" ht="15" customHeight="1" x14ac:dyDescent="0.25">
      <c r="B26" s="180"/>
      <c r="C26" s="178"/>
      <c r="D26" s="178"/>
      <c r="E26" s="179"/>
    </row>
    <row r="27" spans="2:5" ht="15" customHeight="1" x14ac:dyDescent="0.25">
      <c r="B27" s="181"/>
      <c r="C27" s="182"/>
      <c r="D27" s="182"/>
      <c r="E27" s="183"/>
    </row>
    <row r="28" spans="2:5" ht="15" customHeight="1" x14ac:dyDescent="0.25"/>
    <row r="29" spans="2:5" ht="15" customHeight="1" x14ac:dyDescent="0.25">
      <c r="B29" s="95" t="s">
        <v>238</v>
      </c>
      <c r="C29" s="96"/>
      <c r="D29" s="96"/>
      <c r="E29" s="106"/>
    </row>
    <row r="30" spans="2:5" ht="15" customHeight="1" x14ac:dyDescent="0.25">
      <c r="B30" s="109" t="s">
        <v>21</v>
      </c>
      <c r="C30" s="7" t="s">
        <v>128</v>
      </c>
      <c r="D30" s="103"/>
      <c r="E30" s="104"/>
    </row>
    <row r="31" spans="2:5" ht="15" customHeight="1" x14ac:dyDescent="0.25"/>
    <row r="32" spans="2:5" ht="15" customHeight="1" x14ac:dyDescent="0.25">
      <c r="B32" s="95" t="s">
        <v>20</v>
      </c>
      <c r="C32" s="96"/>
      <c r="D32" s="96"/>
      <c r="E32" s="106"/>
    </row>
    <row r="33" spans="2:5" ht="15" customHeight="1" x14ac:dyDescent="0.25">
      <c r="B33" s="102" t="s">
        <v>14</v>
      </c>
      <c r="C33" s="7" t="s">
        <v>15</v>
      </c>
      <c r="D33" s="103"/>
      <c r="E33" s="104"/>
    </row>
    <row r="34" spans="2:5" ht="15" customHeight="1" x14ac:dyDescent="0.25">
      <c r="B34" s="110"/>
      <c r="C34" s="8"/>
    </row>
    <row r="35" spans="2:5" ht="15" customHeight="1" x14ac:dyDescent="0.25">
      <c r="B35" s="111" t="s">
        <v>23</v>
      </c>
      <c r="C35" s="15"/>
      <c r="D35" s="112"/>
      <c r="E35" s="113"/>
    </row>
    <row r="36" spans="2:5" ht="15" customHeight="1" x14ac:dyDescent="0.25">
      <c r="B36" s="114" t="s">
        <v>233</v>
      </c>
      <c r="C36" s="115">
        <f>IF(AND(Revenue_Model="VDER - Value of Distributed Energy Resources",Plant_Type="Solar - Fixed Axis"),1,IF(AND(Revenue_Model="VDER - Value of Distributed Energy Resources",Plant_Type="Solar - Tracking"),2,IF(AND(Revenue_Model="Tier 1",Plant_Type="Solar - Fixed Axis"),3,IF(AND(Revenue_Model="Tier 1",Plant_Type="Solar - Tracking"),4,IF(AND(Revenue_Model="Tier 1",Plant_Type="Land Based Wind"),5,IF(AND(Revenue_Model="NEM - Net Energy Metering",Plant_Type="Solar - Fixed Axis"),6,IF(AND(Revenue_Model="NEM - Net Energy Metering",Plant_Type="Solar - Tracking"),7,"ERROR")))))))</f>
        <v>2</v>
      </c>
      <c r="D36" s="115"/>
      <c r="E36" s="116"/>
    </row>
    <row r="37" spans="2:5" ht="15" customHeight="1" x14ac:dyDescent="0.25">
      <c r="B37" s="114" t="s">
        <v>14</v>
      </c>
      <c r="C37" s="117" t="str">
        <f>IF(Revenue_Model="VDER - Value of Distributed Energy Resources",LEFT(C17,1),IF(Revenue_Model="Tier 1",LEFT(C33,1),IF(Revenue_Model="NEM - Net Energy Metering",INDEX(Forecasts!E141:E148,MATCH(NEM_Utility_Name,Forecasts!D141:D148,0),1),"ERROR")))</f>
        <v>A</v>
      </c>
      <c r="D37" s="115"/>
      <c r="E37" s="116"/>
    </row>
    <row r="38" spans="2:5" ht="15" customHeight="1" x14ac:dyDescent="0.25">
      <c r="B38" s="114" t="s">
        <v>234</v>
      </c>
      <c r="C38" s="117" t="str" cm="1">
        <f t="array" ref="C38">IF(Revenue_Model="NEM - Net Energy Metering",_xlfn.ANCHORARRAY(ValGroup)&amp;"-"&amp;MATCH(NEM_Utility_Name,Forecasts!D141:D148,0)&amp;"-"&amp;NYISO_Zone,ValGroup&amp;NYISO_Zone)</f>
        <v>2A</v>
      </c>
      <c r="D38" s="115"/>
      <c r="E38" s="116"/>
    </row>
    <row r="39" spans="2:5" ht="15" customHeight="1" x14ac:dyDescent="0.25">
      <c r="B39" s="114" t="s">
        <v>240</v>
      </c>
      <c r="C39" s="16">
        <f>VLOOKUP(ValGroup_Zone,ValGroup_Table,2,FALSE)</f>
        <v>0.23339684815097766</v>
      </c>
      <c r="D39" s="115"/>
      <c r="E39" s="116"/>
    </row>
    <row r="40" spans="2:5" ht="15" customHeight="1" x14ac:dyDescent="0.25">
      <c r="B40" s="114" t="s">
        <v>371</v>
      </c>
      <c r="C40" s="17">
        <f>Model!$C$141</f>
        <v>14.174291257804366</v>
      </c>
      <c r="D40" s="115"/>
      <c r="E40" s="116" t="s">
        <v>384</v>
      </c>
    </row>
    <row r="41" spans="2:5" ht="15" customHeight="1" x14ac:dyDescent="0.25">
      <c r="B41" s="114" t="s">
        <v>26</v>
      </c>
      <c r="C41" s="117">
        <f>VLOOKUP(VDER_Utility_Name,DRV_Table,2,FALSE)</f>
        <v>1.0728</v>
      </c>
      <c r="D41" s="115"/>
      <c r="E41" s="116"/>
    </row>
    <row r="42" spans="2:5" ht="15" customHeight="1" x14ac:dyDescent="0.25">
      <c r="B42" s="114" t="s">
        <v>228</v>
      </c>
      <c r="C42" s="17">
        <f>IF(ValGroup=5,1.8,1.87)</f>
        <v>1.87</v>
      </c>
      <c r="D42" s="115"/>
      <c r="E42" s="116" t="s">
        <v>384</v>
      </c>
    </row>
    <row r="43" spans="2:5" ht="15" customHeight="1" x14ac:dyDescent="0.25">
      <c r="B43" s="114" t="s">
        <v>27</v>
      </c>
      <c r="C43" s="115">
        <v>25</v>
      </c>
      <c r="D43" s="115"/>
      <c r="E43" s="116" t="s">
        <v>9</v>
      </c>
    </row>
    <row r="44" spans="2:5" ht="15" customHeight="1" x14ac:dyDescent="0.25">
      <c r="B44" s="114" t="s">
        <v>231</v>
      </c>
      <c r="C44" s="16">
        <v>2.5000000000000001E-2</v>
      </c>
      <c r="D44" s="115"/>
      <c r="E44" s="116"/>
    </row>
    <row r="45" spans="2:5" ht="15" customHeight="1" x14ac:dyDescent="0.25">
      <c r="B45" s="114" t="s">
        <v>235</v>
      </c>
      <c r="C45" s="118">
        <f>IF(ValGroup=5,0,0.005)</f>
        <v>5.0000000000000001E-3</v>
      </c>
      <c r="D45" s="115"/>
      <c r="E45" s="116"/>
    </row>
    <row r="46" spans="2:5" x14ac:dyDescent="0.25">
      <c r="B46" s="114" t="s">
        <v>33</v>
      </c>
      <c r="C46" s="20">
        <v>0.5</v>
      </c>
      <c r="D46" s="115"/>
      <c r="E46" s="116"/>
    </row>
    <row r="47" spans="2:5" ht="15" customHeight="1" x14ac:dyDescent="0.25">
      <c r="B47" s="114" t="s">
        <v>24</v>
      </c>
      <c r="C47" s="18">
        <f>0.95</f>
        <v>0.95</v>
      </c>
      <c r="D47" s="115"/>
      <c r="E47" s="116"/>
    </row>
    <row r="48" spans="2:5" ht="15" customHeight="1" x14ac:dyDescent="0.25">
      <c r="B48" s="114" t="s">
        <v>227</v>
      </c>
      <c r="C48" s="18">
        <v>0.85</v>
      </c>
      <c r="D48" s="115"/>
      <c r="E48" s="116"/>
    </row>
    <row r="49" spans="2:5" ht="15" customHeight="1" x14ac:dyDescent="0.25">
      <c r="B49" s="114" t="s">
        <v>28</v>
      </c>
      <c r="C49" s="22">
        <f>IF(ValGroup&lt;&gt;5,System_Size,"N/A")</f>
        <v>5000</v>
      </c>
      <c r="D49" s="115"/>
      <c r="E49" s="116" t="s">
        <v>29</v>
      </c>
    </row>
    <row r="50" spans="2:5" ht="15" customHeight="1" x14ac:dyDescent="0.25">
      <c r="B50" s="114" t="s">
        <v>30</v>
      </c>
      <c r="C50" s="21">
        <f>IF(ValGroup&lt;&gt;5,IF(C9&lt;C51,C9,C9-C51),"N/A")</f>
        <v>0</v>
      </c>
      <c r="D50" s="115"/>
      <c r="E50" s="116" t="s">
        <v>9</v>
      </c>
    </row>
    <row r="51" spans="2:5" ht="15" customHeight="1" x14ac:dyDescent="0.25">
      <c r="B51" s="114" t="s">
        <v>31</v>
      </c>
      <c r="C51" s="21">
        <f>IF(ValGroup&lt;&gt;5,15,"N/A")</f>
        <v>15</v>
      </c>
      <c r="D51" s="115"/>
      <c r="E51" s="116" t="s">
        <v>9</v>
      </c>
    </row>
    <row r="52" spans="2:5" ht="15" customHeight="1" x14ac:dyDescent="0.25">
      <c r="B52" s="114" t="s">
        <v>342</v>
      </c>
      <c r="C52" s="22">
        <v>5000</v>
      </c>
      <c r="D52" s="115"/>
      <c r="E52" s="116" t="s">
        <v>123</v>
      </c>
    </row>
    <row r="53" spans="2:5" ht="15" customHeight="1" x14ac:dyDescent="0.25">
      <c r="B53" s="114" t="s">
        <v>230</v>
      </c>
      <c r="C53" s="17">
        <f>IF(ValGroup&lt;&gt;5,IF(System_Size&lt;=Inverter_Size_Step,100,53),0)</f>
        <v>100</v>
      </c>
      <c r="D53" s="115"/>
      <c r="E53" s="116" t="s">
        <v>229</v>
      </c>
    </row>
    <row r="54" spans="2:5" x14ac:dyDescent="0.25">
      <c r="B54" s="114" t="s">
        <v>226</v>
      </c>
      <c r="C54" s="19">
        <v>2022</v>
      </c>
      <c r="D54" s="115"/>
      <c r="E54" s="116"/>
    </row>
    <row r="55" spans="2:5" x14ac:dyDescent="0.25">
      <c r="B55" s="114" t="s">
        <v>32</v>
      </c>
      <c r="C55" s="19">
        <f>Tax_Status_Year-1</f>
        <v>2022</v>
      </c>
      <c r="D55" s="115"/>
      <c r="E55" s="116"/>
    </row>
    <row r="56" spans="2:5" x14ac:dyDescent="0.25">
      <c r="B56" s="114" t="s">
        <v>232</v>
      </c>
      <c r="C56" s="19">
        <v>2022</v>
      </c>
      <c r="D56" s="115"/>
      <c r="E56" s="116"/>
    </row>
    <row r="57" spans="2:5" x14ac:dyDescent="0.25">
      <c r="B57" s="119" t="s">
        <v>236</v>
      </c>
      <c r="C57" s="120" t="str">
        <f>CHOOSE(Nominal_Real_Switch,"Nominal","Real "&amp;TEXT(Cash_Flow_Base_Year,"0000"))&amp;" Dollars"</f>
        <v>Real 2022 Dollars</v>
      </c>
      <c r="D57" s="121"/>
      <c r="E57" s="122">
        <v>2</v>
      </c>
    </row>
  </sheetData>
  <sheetProtection algorithmName="SHA-512" hashValue="TD1JdUTCLBYZOLhthM3brYRbVm9CrKZhYH5RhnELSZNfKxvQzirFLY5Jq2W6NRxhBktUYsumJER29Sprc58Rxg==" saltValue="6iknkjsPeQLDNaazd9PttA==" spinCount="100000" sheet="1" objects="1" scenarios="1" selectLockedCells="1"/>
  <mergeCells count="2">
    <mergeCell ref="A1:B1"/>
    <mergeCell ref="B24:E27"/>
  </mergeCells>
  <conditionalFormatting sqref="B16:E27">
    <cfRule type="expression" dxfId="11" priority="3">
      <formula>IF(OR(Revenue_Model="Tier 1",Revenue_Model="NEM - Net Energy Metering"),1,0)</formula>
    </cfRule>
  </conditionalFormatting>
  <conditionalFormatting sqref="B29:E30">
    <cfRule type="expression" dxfId="10" priority="6">
      <formula>IF(OR(Revenue_Model="VDER - Value of Distributed Energy Resources",Revenue_Model="Tier 1"),1,0)</formula>
    </cfRule>
  </conditionalFormatting>
  <conditionalFormatting sqref="B32:E33">
    <cfRule type="expression" dxfId="9" priority="8">
      <formula>IF(OR(Revenue_Model="VDER - Value of Distributed Energy Resources",Revenue_Model="NEM - Net Energy Metering"),1,0)</formula>
    </cfRule>
  </conditionalFormatting>
  <conditionalFormatting sqref="C17:C18 C22:C23">
    <cfRule type="expression" dxfId="8" priority="4">
      <formula>IF(Revenue_Model="VDER - Value of Distributed Energy Resources",1,0)</formula>
    </cfRule>
  </conditionalFormatting>
  <conditionalFormatting sqref="C30">
    <cfRule type="expression" dxfId="7" priority="7">
      <formula>IF(Revenue_Model="NEM - Net Energy Metering",1,0)</formula>
    </cfRule>
  </conditionalFormatting>
  <conditionalFormatting sqref="C33">
    <cfRule type="expression" dxfId="6" priority="9">
      <formula>IF(Revenue_Model="Tier 1",1,0)</formula>
    </cfRule>
  </conditionalFormatting>
  <conditionalFormatting sqref="E5">
    <cfRule type="expression" dxfId="5" priority="1">
      <formula>IF(AND(Revenue_Model&lt;&gt;"Tier 1",Plant_Type="Land Based Wind"),1,0)</formula>
    </cfRule>
  </conditionalFormatting>
  <conditionalFormatting sqref="E6">
    <cfRule type="expression" dxfId="4" priority="2">
      <formula>IF(AND(Revenue_Model="VDER - Value of Distributed Energy Resources",System_Size&gt;5000),1,IF(AND(Revenue_Model="Tier 1",System_Size&lt;=5000),1,IF(AND(Revenue_Model="NEM - Net Energy Metering",System_Size&gt;5000),1,0)))</formula>
    </cfRule>
  </conditionalFormatting>
  <conditionalFormatting sqref="E21">
    <cfRule type="expression" dxfId="3" priority="5">
      <formula>IF(AND(Revenue_Model="VDER - Value of Distributed Energy Resources",$E$21="Only One Optional VDER Input Can Be Filled In"),TRUE,FALSE)</formula>
    </cfRule>
  </conditionalFormatting>
  <dataValidations count="8">
    <dataValidation type="decimal" operator="greaterThanOrEqual" showErrorMessage="1" error="Minimum allowable size for this model is 1000kW (1MW) AC." sqref="C6" xr:uid="{4922ABBF-DF42-4E18-8866-123E546680D7}">
      <formula1>1000</formula1>
    </dataValidation>
    <dataValidation type="whole" errorStyle="information" showInputMessage="1" showErrorMessage="1" error="This model is intended for the 2022 Assessment Roll; Taxable Status Date is limited." sqref="C8" xr:uid="{CDBCD080-FE50-463C-B0F5-FB568E2BB91D}">
      <formula1>2023</formula1>
      <formula2>2024</formula2>
    </dataValidation>
    <dataValidation type="list" showInputMessage="1" showErrorMessage="1" sqref="C17 C33" xr:uid="{AF43CAB8-F386-4E7B-BEB5-DEB559D1B4D5}">
      <formula1>NYISO_Name</formula1>
    </dataValidation>
    <dataValidation type="decimal" showInputMessage="1" showErrorMessage="1" sqref="C11 C14" xr:uid="{EDB9BEF3-46F0-412B-9B4B-2312FB380779}">
      <formula1>0</formula1>
      <formula2>1</formula2>
    </dataValidation>
    <dataValidation type="list" showInputMessage="1" showErrorMessage="1" sqref="C4" xr:uid="{E7C54202-3B50-4A8F-9FF5-DCB5F48EC076}">
      <formula1>"VDER - Value of Distributed Energy Resources,NEM - Net Energy Metering,Tier 1"</formula1>
    </dataValidation>
    <dataValidation type="date" showInputMessage="1" showErrorMessage="1" sqref="C7" xr:uid="{551A72E4-A5CC-4BDE-97F4-85299F957C4A}">
      <formula1>1</formula1>
      <formula2>73050</formula2>
    </dataValidation>
    <dataValidation type="decimal" operator="greaterThanOrEqual" showInputMessage="1" showErrorMessage="1" sqref="C22:C23" xr:uid="{FAC74590-F58A-4767-BE3A-E9ABA8CA53FF}">
      <formula1>0</formula1>
    </dataValidation>
    <dataValidation type="list" allowBlank="1" showInputMessage="1" showErrorMessage="1" sqref="E57" xr:uid="{CEB86544-0C86-43E3-90D5-D3DB7ED19D89}">
      <formula1>"1,2"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7159015A-C292-4380-B745-25DE9BAAF885}">
          <x14:formula1>
            <xm:f>ModelFactors!$P$2:$P$11</xm:f>
          </x14:formula1>
          <xm:sqref>C18</xm:sqref>
        </x14:dataValidation>
        <x14:dataValidation type="list" showInputMessage="1" showErrorMessage="1" xr:uid="{62FC7950-3680-4586-9D0C-3F371B0692ED}">
          <x14:formula1>
            <xm:f>Forecasts!$D$141:$D$148</xm:f>
          </x14:formula1>
          <xm:sqref>C30</xm:sqref>
        </x14:dataValidation>
        <x14:dataValidation type="list" showInputMessage="1" showErrorMessage="1" xr:uid="{DACF7929-BF82-470D-83E2-207D75DEAA1C}">
          <x14:formula1>
            <xm:f>IF(OR(Revenue_Model="VDER - Value of Distributed Energy Resources",Revenue_Model="NEM - Net Energy Metering"),ModelFactors!V4:V5,ModelFactors!V6:V8)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437D-948E-4F1D-B2BF-ABF00F222172}">
  <dimension ref="A2:AA181"/>
  <sheetViews>
    <sheetView zoomScaleNormal="100" workbookViewId="0"/>
  </sheetViews>
  <sheetFormatPr defaultRowHeight="15" x14ac:dyDescent="0.25"/>
  <cols>
    <col min="1" max="1" width="3.5703125" style="23" customWidth="1"/>
    <col min="2" max="2" width="25" style="23" customWidth="1"/>
    <col min="3" max="27" width="12.85546875" style="23" customWidth="1"/>
    <col min="28" max="16384" width="9.140625" style="23"/>
  </cols>
  <sheetData>
    <row r="2" spans="2:27" x14ac:dyDescent="0.25">
      <c r="B2" s="55" t="s">
        <v>224</v>
      </c>
      <c r="C2" s="42">
        <f t="shared" ref="C2:AA2" si="0">YEAR(Date_of_Operation)-1+C3</f>
        <v>2023</v>
      </c>
      <c r="D2" s="32">
        <f t="shared" si="0"/>
        <v>2024</v>
      </c>
      <c r="E2" s="32">
        <f t="shared" si="0"/>
        <v>2025</v>
      </c>
      <c r="F2" s="32">
        <f t="shared" si="0"/>
        <v>2026</v>
      </c>
      <c r="G2" s="32">
        <f t="shared" si="0"/>
        <v>2027</v>
      </c>
      <c r="H2" s="32">
        <f t="shared" si="0"/>
        <v>2028</v>
      </c>
      <c r="I2" s="32">
        <f t="shared" si="0"/>
        <v>2029</v>
      </c>
      <c r="J2" s="32">
        <f t="shared" si="0"/>
        <v>2030</v>
      </c>
      <c r="K2" s="32">
        <f t="shared" si="0"/>
        <v>2031</v>
      </c>
      <c r="L2" s="32">
        <f t="shared" si="0"/>
        <v>2032</v>
      </c>
      <c r="M2" s="32">
        <f t="shared" si="0"/>
        <v>2033</v>
      </c>
      <c r="N2" s="32">
        <f t="shared" si="0"/>
        <v>2034</v>
      </c>
      <c r="O2" s="32">
        <f t="shared" si="0"/>
        <v>2035</v>
      </c>
      <c r="P2" s="32">
        <f t="shared" si="0"/>
        <v>2036</v>
      </c>
      <c r="Q2" s="32">
        <f t="shared" si="0"/>
        <v>2037</v>
      </c>
      <c r="R2" s="32">
        <f t="shared" si="0"/>
        <v>2038</v>
      </c>
      <c r="S2" s="32">
        <f t="shared" si="0"/>
        <v>2039</v>
      </c>
      <c r="T2" s="32">
        <f t="shared" si="0"/>
        <v>2040</v>
      </c>
      <c r="U2" s="32">
        <f t="shared" si="0"/>
        <v>2041</v>
      </c>
      <c r="V2" s="32">
        <f t="shared" si="0"/>
        <v>2042</v>
      </c>
      <c r="W2" s="32">
        <f t="shared" si="0"/>
        <v>2043</v>
      </c>
      <c r="X2" s="32">
        <f t="shared" si="0"/>
        <v>2044</v>
      </c>
      <c r="Y2" s="32">
        <f t="shared" si="0"/>
        <v>2045</v>
      </c>
      <c r="Z2" s="32">
        <f t="shared" si="0"/>
        <v>2046</v>
      </c>
      <c r="AA2" s="33">
        <f t="shared" si="0"/>
        <v>2047</v>
      </c>
    </row>
    <row r="3" spans="2:27" s="171" customFormat="1" x14ac:dyDescent="0.25">
      <c r="B3" s="56" t="s">
        <v>274</v>
      </c>
      <c r="C3" s="57">
        <v>1</v>
      </c>
      <c r="D3" s="58">
        <v>2</v>
      </c>
      <c r="E3" s="58">
        <v>3</v>
      </c>
      <c r="F3" s="58">
        <v>4</v>
      </c>
      <c r="G3" s="58">
        <v>5</v>
      </c>
      <c r="H3" s="58">
        <v>6</v>
      </c>
      <c r="I3" s="58">
        <v>7</v>
      </c>
      <c r="J3" s="58">
        <v>8</v>
      </c>
      <c r="K3" s="58">
        <v>9</v>
      </c>
      <c r="L3" s="58">
        <v>10</v>
      </c>
      <c r="M3" s="58">
        <v>11</v>
      </c>
      <c r="N3" s="58">
        <v>12</v>
      </c>
      <c r="O3" s="58">
        <v>13</v>
      </c>
      <c r="P3" s="58">
        <v>14</v>
      </c>
      <c r="Q3" s="58">
        <v>15</v>
      </c>
      <c r="R3" s="58">
        <v>16</v>
      </c>
      <c r="S3" s="58">
        <v>17</v>
      </c>
      <c r="T3" s="58">
        <v>18</v>
      </c>
      <c r="U3" s="58">
        <v>19</v>
      </c>
      <c r="V3" s="58">
        <v>20</v>
      </c>
      <c r="W3" s="58">
        <v>21</v>
      </c>
      <c r="X3" s="58">
        <v>22</v>
      </c>
      <c r="Y3" s="58">
        <v>23</v>
      </c>
      <c r="Z3" s="58">
        <v>24</v>
      </c>
      <c r="AA3" s="59">
        <v>25</v>
      </c>
    </row>
    <row r="4" spans="2:27" x14ac:dyDescent="0.25">
      <c r="B4" s="62" t="s">
        <v>270</v>
      </c>
      <c r="C4" s="43">
        <f>C$56</f>
        <v>10222781.949012822</v>
      </c>
      <c r="D4" s="28">
        <f t="shared" ref="D4:AA4" si="1">D$56</f>
        <v>10199535.622936985</v>
      </c>
      <c r="E4" s="28">
        <f t="shared" si="1"/>
        <v>10120554.129522692</v>
      </c>
      <c r="F4" s="28">
        <f t="shared" si="1"/>
        <v>10069440.219777629</v>
      </c>
      <c r="G4" s="28">
        <f t="shared" si="1"/>
        <v>10018326.310032565</v>
      </c>
      <c r="H4" s="28">
        <f t="shared" si="1"/>
        <v>9994519.8315211646</v>
      </c>
      <c r="I4" s="28">
        <f t="shared" si="1"/>
        <v>9916098.490542436</v>
      </c>
      <c r="J4" s="28">
        <f t="shared" si="1"/>
        <v>9864984.5807973724</v>
      </c>
      <c r="K4" s="28">
        <f t="shared" si="1"/>
        <v>9813870.6710523088</v>
      </c>
      <c r="L4" s="28">
        <f t="shared" si="1"/>
        <v>9789504.0401053466</v>
      </c>
      <c r="M4" s="28">
        <f t="shared" si="1"/>
        <v>9711642.8515621796</v>
      </c>
      <c r="N4" s="28">
        <f t="shared" si="1"/>
        <v>9660528.941817116</v>
      </c>
      <c r="O4" s="28">
        <f t="shared" si="1"/>
        <v>9609415.0320720524</v>
      </c>
      <c r="P4" s="28">
        <f t="shared" si="1"/>
        <v>9584488.2486895286</v>
      </c>
      <c r="Q4" s="28">
        <f t="shared" si="1"/>
        <v>9507187.2125819232</v>
      </c>
      <c r="R4" s="28">
        <f t="shared" si="1"/>
        <v>9456073.3028368596</v>
      </c>
      <c r="S4" s="28">
        <f t="shared" si="1"/>
        <v>9404959.393091796</v>
      </c>
      <c r="T4" s="28">
        <f t="shared" si="1"/>
        <v>9379472.4572737087</v>
      </c>
      <c r="U4" s="28">
        <f t="shared" si="1"/>
        <v>9302731.5736016687</v>
      </c>
      <c r="V4" s="28">
        <f t="shared" si="1"/>
        <v>9251617.6638566032</v>
      </c>
      <c r="W4" s="28">
        <f t="shared" si="1"/>
        <v>9200503.7541115396</v>
      </c>
      <c r="X4" s="28">
        <f t="shared" si="1"/>
        <v>9174456.6658578906</v>
      </c>
      <c r="Y4" s="28">
        <f t="shared" si="1"/>
        <v>9098275.9346214104</v>
      </c>
      <c r="Z4" s="28">
        <f t="shared" si="1"/>
        <v>9047162.0248763468</v>
      </c>
      <c r="AA4" s="29">
        <f t="shared" si="1"/>
        <v>8996048.1151312832</v>
      </c>
    </row>
    <row r="5" spans="2:27" s="171" customFormat="1" x14ac:dyDescent="0.25">
      <c r="B5" s="61" t="str">
        <f>IF(Revenue_Model="VDER - Value of Distributed Energy Resources","VDER Revenues:","VDER Not Applicable")</f>
        <v>VDER Revenues:</v>
      </c>
      <c r="C5" s="4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</row>
    <row r="6" spans="2:27" s="171" customFormat="1" x14ac:dyDescent="0.25">
      <c r="B6" s="62" t="s">
        <v>266</v>
      </c>
      <c r="C6" s="43">
        <f t="shared" ref="C6:AA6" si="2">CHOOSE(Nominal_Real_Switch,C$63,C$64)</f>
        <v>579025.92609916988</v>
      </c>
      <c r="D6" s="28">
        <f t="shared" si="2"/>
        <v>464936.75881647872</v>
      </c>
      <c r="E6" s="28">
        <f t="shared" si="2"/>
        <v>403682.02580864524</v>
      </c>
      <c r="F6" s="28">
        <f t="shared" si="2"/>
        <v>453642.83037835604</v>
      </c>
      <c r="G6" s="28">
        <f t="shared" si="2"/>
        <v>432713.12686803803</v>
      </c>
      <c r="H6" s="28">
        <f t="shared" si="2"/>
        <v>402605.78770461649</v>
      </c>
      <c r="I6" s="28">
        <f t="shared" si="2"/>
        <v>368604.19230639952</v>
      </c>
      <c r="J6" s="28">
        <f t="shared" si="2"/>
        <v>333970.34337080951</v>
      </c>
      <c r="K6" s="28">
        <f t="shared" si="2"/>
        <v>308251.59488792747</v>
      </c>
      <c r="L6" s="28">
        <f t="shared" si="2"/>
        <v>280080.81237360497</v>
      </c>
      <c r="M6" s="28">
        <f t="shared" si="2"/>
        <v>234770.25669596071</v>
      </c>
      <c r="N6" s="28">
        <f t="shared" si="2"/>
        <v>205096.09815627767</v>
      </c>
      <c r="O6" s="28">
        <f t="shared" si="2"/>
        <v>186478.87826835437</v>
      </c>
      <c r="P6" s="28">
        <f t="shared" si="2"/>
        <v>179290.68831719851</v>
      </c>
      <c r="Q6" s="28">
        <f t="shared" si="2"/>
        <v>171186.53389307862</v>
      </c>
      <c r="R6" s="28">
        <f t="shared" si="2"/>
        <v>166773.415071164</v>
      </c>
      <c r="S6" s="28">
        <f t="shared" si="2"/>
        <v>161613.60152649161</v>
      </c>
      <c r="T6" s="28">
        <f t="shared" si="2"/>
        <v>154509.29001981398</v>
      </c>
      <c r="U6" s="28">
        <f t="shared" si="2"/>
        <v>154900.00435275317</v>
      </c>
      <c r="V6" s="28">
        <f t="shared" si="2"/>
        <v>154784.31365011781</v>
      </c>
      <c r="W6" s="28">
        <f t="shared" si="2"/>
        <v>148664.68962309608</v>
      </c>
      <c r="X6" s="28">
        <f t="shared" si="2"/>
        <v>150279.60030957957</v>
      </c>
      <c r="Y6" s="28">
        <f t="shared" si="2"/>
        <v>149257.70066699595</v>
      </c>
      <c r="Z6" s="28">
        <f t="shared" si="2"/>
        <v>154754.19177385783</v>
      </c>
      <c r="AA6" s="29">
        <f t="shared" si="2"/>
        <v>153243.52680499764</v>
      </c>
    </row>
    <row r="7" spans="2:27" s="171" customFormat="1" x14ac:dyDescent="0.25">
      <c r="B7" s="62" t="s">
        <v>267</v>
      </c>
      <c r="C7" s="43">
        <f t="shared" ref="C7:AA7" si="3">CHOOSE(Nominal_Real_Switch,C$72,C$73)</f>
        <v>50071.680641935869</v>
      </c>
      <c r="D7" s="28">
        <f t="shared" si="3"/>
        <v>33550.537927619022</v>
      </c>
      <c r="E7" s="28">
        <f t="shared" si="3"/>
        <v>32126.780432124109</v>
      </c>
      <c r="F7" s="28">
        <f t="shared" si="3"/>
        <v>30897.431066705201</v>
      </c>
      <c r="G7" s="28">
        <f t="shared" si="3"/>
        <v>28910.066526891587</v>
      </c>
      <c r="H7" s="28">
        <f t="shared" si="3"/>
        <v>26826.73736437711</v>
      </c>
      <c r="I7" s="28">
        <f t="shared" si="3"/>
        <v>25073.731410081589</v>
      </c>
      <c r="J7" s="28">
        <f t="shared" si="3"/>
        <v>23306.567879044193</v>
      </c>
      <c r="K7" s="28">
        <f t="shared" si="3"/>
        <v>21726.33748578939</v>
      </c>
      <c r="L7" s="28">
        <f t="shared" si="3"/>
        <v>19713.849861045412</v>
      </c>
      <c r="M7" s="28">
        <f t="shared" si="3"/>
        <v>17844.276969532115</v>
      </c>
      <c r="N7" s="28">
        <f t="shared" si="3"/>
        <v>15550.484209660186</v>
      </c>
      <c r="O7" s="28">
        <f t="shared" si="3"/>
        <v>12668.731387349093</v>
      </c>
      <c r="P7" s="28">
        <f t="shared" si="3"/>
        <v>11480.415158620057</v>
      </c>
      <c r="Q7" s="28">
        <f t="shared" si="3"/>
        <v>10198.065361629819</v>
      </c>
      <c r="R7" s="28">
        <f t="shared" si="3"/>
        <v>16658.568098762276</v>
      </c>
      <c r="S7" s="28">
        <f t="shared" si="3"/>
        <v>24023.749572246699</v>
      </c>
      <c r="T7" s="28">
        <f t="shared" si="3"/>
        <v>20577.115496163868</v>
      </c>
      <c r="U7" s="28">
        <f t="shared" si="3"/>
        <v>19278.005599127748</v>
      </c>
      <c r="V7" s="28">
        <f t="shared" si="3"/>
        <v>19769.682097522313</v>
      </c>
      <c r="W7" s="28">
        <f t="shared" si="3"/>
        <v>20410.619681373115</v>
      </c>
      <c r="X7" s="28">
        <f t="shared" si="3"/>
        <v>24745.242195749874</v>
      </c>
      <c r="Y7" s="28">
        <f t="shared" si="3"/>
        <v>28299.640622587642</v>
      </c>
      <c r="Z7" s="28">
        <f t="shared" si="3"/>
        <v>29597.806613702825</v>
      </c>
      <c r="AA7" s="29">
        <f t="shared" si="3"/>
        <v>27005.573348057525</v>
      </c>
    </row>
    <row r="8" spans="2:27" s="171" customFormat="1" x14ac:dyDescent="0.25">
      <c r="B8" s="62" t="s">
        <v>18</v>
      </c>
      <c r="C8" s="43">
        <f t="shared" ref="C8:AA8" si="4">CHOOSE(Nominal_Real_Switch,C$86,C$87)</f>
        <v>73108.124625427328</v>
      </c>
      <c r="D8" s="28">
        <f t="shared" si="4"/>
        <v>71632.393694607745</v>
      </c>
      <c r="E8" s="28">
        <f t="shared" si="4"/>
        <v>69229.335013872333</v>
      </c>
      <c r="F8" s="28">
        <f t="shared" si="4"/>
        <v>68505.612671261784</v>
      </c>
      <c r="G8" s="28">
        <f t="shared" si="4"/>
        <v>66335.390694498303</v>
      </c>
      <c r="H8" s="28">
        <f t="shared" si="4"/>
        <v>63001.506174043003</v>
      </c>
      <c r="I8" s="28">
        <f t="shared" si="4"/>
        <v>61571.007713963249</v>
      </c>
      <c r="J8" s="28">
        <f t="shared" si="4"/>
        <v>59906.025109211514</v>
      </c>
      <c r="K8" s="28">
        <f t="shared" si="4"/>
        <v>57887.261687264923</v>
      </c>
      <c r="L8" s="28">
        <f t="shared" si="4"/>
        <v>57135.13531503416</v>
      </c>
      <c r="M8" s="28">
        <f t="shared" si="4"/>
        <v>27128.176302510823</v>
      </c>
      <c r="N8" s="28">
        <f t="shared" si="4"/>
        <v>26327.216026570197</v>
      </c>
      <c r="O8" s="28">
        <f t="shared" si="4"/>
        <v>25725.225652903984</v>
      </c>
      <c r="P8" s="28">
        <f t="shared" si="4"/>
        <v>24915.755547732355</v>
      </c>
      <c r="Q8" s="28">
        <f t="shared" si="4"/>
        <v>24647.924659685141</v>
      </c>
      <c r="R8" s="28">
        <f t="shared" si="4"/>
        <v>23859.889795552121</v>
      </c>
      <c r="S8" s="28">
        <f t="shared" si="4"/>
        <v>22653.82957104082</v>
      </c>
      <c r="T8" s="28">
        <f t="shared" si="4"/>
        <v>22132.634211311695</v>
      </c>
      <c r="U8" s="28">
        <f t="shared" si="4"/>
        <v>21527.424174316766</v>
      </c>
      <c r="V8" s="28">
        <f t="shared" si="4"/>
        <v>20795.426758579819</v>
      </c>
      <c r="W8" s="28">
        <f t="shared" si="4"/>
        <v>20568.220825623033</v>
      </c>
      <c r="X8" s="28">
        <f t="shared" si="4"/>
        <v>19478.589712434819</v>
      </c>
      <c r="Y8" s="28">
        <f t="shared" si="4"/>
        <v>18897.337341945211</v>
      </c>
      <c r="Z8" s="28">
        <f t="shared" si="4"/>
        <v>18459.166653049095</v>
      </c>
      <c r="AA8" s="29">
        <f t="shared" si="4"/>
        <v>17951.062362626224</v>
      </c>
    </row>
    <row r="9" spans="2:27" s="171" customFormat="1" x14ac:dyDescent="0.25">
      <c r="B9" s="62" t="s">
        <v>269</v>
      </c>
      <c r="C9" s="43">
        <f t="shared" ref="C9:AA9" si="5">CHOOSE(Nominal_Real_Switch,C$95,C$96)</f>
        <v>297507.88833078288</v>
      </c>
      <c r="D9" s="28">
        <f t="shared" si="5"/>
        <v>289591.57418889727</v>
      </c>
      <c r="E9" s="28">
        <f t="shared" si="5"/>
        <v>280340.56818320049</v>
      </c>
      <c r="F9" s="28">
        <f t="shared" si="5"/>
        <v>272121.66510022426</v>
      </c>
      <c r="G9" s="28">
        <f t="shared" si="5"/>
        <v>264136.91400096053</v>
      </c>
      <c r="H9" s="28">
        <f t="shared" si="5"/>
        <v>257082.19249334911</v>
      </c>
      <c r="I9" s="28">
        <f t="shared" si="5"/>
        <v>248843.91611497698</v>
      </c>
      <c r="J9" s="28">
        <f t="shared" si="5"/>
        <v>241523.1370892158</v>
      </c>
      <c r="K9" s="28">
        <f t="shared" si="5"/>
        <v>234411.43597184098</v>
      </c>
      <c r="L9" s="28">
        <f t="shared" si="5"/>
        <v>228126.26465986631</v>
      </c>
      <c r="M9" s="28">
        <f t="shared" si="5"/>
        <v>220792.05252156346</v>
      </c>
      <c r="N9" s="28">
        <f t="shared" si="5"/>
        <v>214273.16008511165</v>
      </c>
      <c r="O9" s="28">
        <f t="shared" si="5"/>
        <v>207940.91674281069</v>
      </c>
      <c r="P9" s="28">
        <f t="shared" si="5"/>
        <v>202342.94522270336</v>
      </c>
      <c r="Q9" s="28">
        <f t="shared" si="5"/>
        <v>195815.61387807553</v>
      </c>
      <c r="R9" s="28">
        <f t="shared" si="5"/>
        <v>190012.52854678195</v>
      </c>
      <c r="S9" s="28">
        <f t="shared" si="5"/>
        <v>184376.03297354191</v>
      </c>
      <c r="T9" s="28">
        <f t="shared" si="5"/>
        <v>179391.59395839405</v>
      </c>
      <c r="U9" s="28">
        <f t="shared" si="5"/>
        <v>173584.24333954751</v>
      </c>
      <c r="V9" s="28">
        <f t="shared" si="5"/>
        <v>168419.98415683786</v>
      </c>
      <c r="W9" s="28">
        <f t="shared" si="5"/>
        <v>163404.3775676098</v>
      </c>
      <c r="X9" s="28">
        <f t="shared" si="5"/>
        <v>158967.58201677087</v>
      </c>
      <c r="Y9" s="28">
        <f t="shared" si="5"/>
        <v>153802.52075899029</v>
      </c>
      <c r="Z9" s="28">
        <f t="shared" si="5"/>
        <v>149208.25527180752</v>
      </c>
      <c r="AA9" s="29">
        <f t="shared" si="5"/>
        <v>144746.60563780143</v>
      </c>
    </row>
    <row r="10" spans="2:27" s="171" customFormat="1" x14ac:dyDescent="0.25">
      <c r="B10" s="62" t="s">
        <v>34</v>
      </c>
      <c r="C10" s="43">
        <f t="shared" ref="C10:AA10" si="6">CHOOSE(Nominal_Real_Switch,C$104,C$105)</f>
        <v>0</v>
      </c>
      <c r="D10" s="28">
        <f t="shared" si="6"/>
        <v>0</v>
      </c>
      <c r="E10" s="28">
        <f t="shared" si="6"/>
        <v>0</v>
      </c>
      <c r="F10" s="28">
        <f t="shared" si="6"/>
        <v>0</v>
      </c>
      <c r="G10" s="28">
        <f t="shared" si="6"/>
        <v>0</v>
      </c>
      <c r="H10" s="28">
        <f t="shared" si="6"/>
        <v>0</v>
      </c>
      <c r="I10" s="28">
        <f t="shared" si="6"/>
        <v>0</v>
      </c>
      <c r="J10" s="28">
        <f t="shared" si="6"/>
        <v>0</v>
      </c>
      <c r="K10" s="28">
        <f t="shared" si="6"/>
        <v>0</v>
      </c>
      <c r="L10" s="28">
        <f t="shared" si="6"/>
        <v>0</v>
      </c>
      <c r="M10" s="28">
        <f t="shared" si="6"/>
        <v>0</v>
      </c>
      <c r="N10" s="28">
        <f t="shared" si="6"/>
        <v>0</v>
      </c>
      <c r="O10" s="28">
        <f t="shared" si="6"/>
        <v>0</v>
      </c>
      <c r="P10" s="28">
        <f t="shared" si="6"/>
        <v>0</v>
      </c>
      <c r="Q10" s="28">
        <f t="shared" si="6"/>
        <v>0</v>
      </c>
      <c r="R10" s="28">
        <f t="shared" si="6"/>
        <v>0</v>
      </c>
      <c r="S10" s="28">
        <f t="shared" si="6"/>
        <v>0</v>
      </c>
      <c r="T10" s="28">
        <f t="shared" si="6"/>
        <v>0</v>
      </c>
      <c r="U10" s="28">
        <f t="shared" si="6"/>
        <v>0</v>
      </c>
      <c r="V10" s="28">
        <f t="shared" si="6"/>
        <v>0</v>
      </c>
      <c r="W10" s="28">
        <f t="shared" si="6"/>
        <v>0</v>
      </c>
      <c r="X10" s="28">
        <f t="shared" si="6"/>
        <v>0</v>
      </c>
      <c r="Y10" s="28">
        <f t="shared" si="6"/>
        <v>0</v>
      </c>
      <c r="Z10" s="28">
        <f t="shared" si="6"/>
        <v>0</v>
      </c>
      <c r="AA10" s="29">
        <f t="shared" si="6"/>
        <v>0</v>
      </c>
    </row>
    <row r="11" spans="2:27" s="171" customFormat="1" x14ac:dyDescent="0.25">
      <c r="B11" s="55" t="s">
        <v>263</v>
      </c>
      <c r="C11" s="44">
        <f>SUM(C6:C10)</f>
        <v>999713.61969731597</v>
      </c>
      <c r="D11" s="30">
        <f t="shared" ref="D11:AA11" si="7">SUM(D6:D10)</f>
        <v>859711.26462760277</v>
      </c>
      <c r="E11" s="30">
        <f t="shared" si="7"/>
        <v>785378.70943784225</v>
      </c>
      <c r="F11" s="30">
        <f t="shared" si="7"/>
        <v>825167.53921654727</v>
      </c>
      <c r="G11" s="30">
        <f t="shared" si="7"/>
        <v>792095.49809038849</v>
      </c>
      <c r="H11" s="30">
        <f t="shared" si="7"/>
        <v>749516.2237363857</v>
      </c>
      <c r="I11" s="30">
        <f t="shared" si="7"/>
        <v>704092.84754542133</v>
      </c>
      <c r="J11" s="30">
        <f t="shared" si="7"/>
        <v>658706.07344828104</v>
      </c>
      <c r="K11" s="30">
        <f t="shared" si="7"/>
        <v>622276.63003282272</v>
      </c>
      <c r="L11" s="30">
        <f t="shared" si="7"/>
        <v>585056.06220955087</v>
      </c>
      <c r="M11" s="30">
        <f t="shared" si="7"/>
        <v>500534.76248956705</v>
      </c>
      <c r="N11" s="30">
        <f t="shared" si="7"/>
        <v>461246.95847761969</v>
      </c>
      <c r="O11" s="30">
        <f t="shared" si="7"/>
        <v>432813.75205141818</v>
      </c>
      <c r="P11" s="30">
        <f t="shared" si="7"/>
        <v>418029.80424625427</v>
      </c>
      <c r="Q11" s="30">
        <f t="shared" si="7"/>
        <v>401848.13779246912</v>
      </c>
      <c r="R11" s="30">
        <f t="shared" si="7"/>
        <v>397304.40151226032</v>
      </c>
      <c r="S11" s="30">
        <f t="shared" si="7"/>
        <v>392667.21364332107</v>
      </c>
      <c r="T11" s="30">
        <f t="shared" si="7"/>
        <v>376610.6336856836</v>
      </c>
      <c r="U11" s="30">
        <f t="shared" si="7"/>
        <v>369289.67746574513</v>
      </c>
      <c r="V11" s="30">
        <f t="shared" si="7"/>
        <v>363769.4066630578</v>
      </c>
      <c r="W11" s="30">
        <f t="shared" si="7"/>
        <v>353047.90769770206</v>
      </c>
      <c r="X11" s="30">
        <f t="shared" si="7"/>
        <v>353471.01423453516</v>
      </c>
      <c r="Y11" s="30">
        <f t="shared" si="7"/>
        <v>350257.19939051906</v>
      </c>
      <c r="Z11" s="30">
        <f t="shared" si="7"/>
        <v>352019.42031241726</v>
      </c>
      <c r="AA11" s="31">
        <f t="shared" si="7"/>
        <v>342946.76815348282</v>
      </c>
    </row>
    <row r="12" spans="2:27" s="171" customFormat="1" x14ac:dyDescent="0.25">
      <c r="B12" s="62"/>
      <c r="C12" s="43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</row>
    <row r="13" spans="2:27" s="171" customFormat="1" ht="12" customHeight="1" x14ac:dyDescent="0.25">
      <c r="B13" s="63" t="str">
        <f>IF(Revenue_Model="NEM - Net Energy Metering","NEM Revenues:","NEM Not Applicable")</f>
        <v>NEM Not Applicable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</row>
    <row r="14" spans="2:27" s="171" customFormat="1" x14ac:dyDescent="0.25">
      <c r="B14" s="62" t="s">
        <v>268</v>
      </c>
      <c r="C14" s="43">
        <f t="shared" ref="C14:AA14" si="8">CHOOSE(Nominal_Real_Switch,C$113,C$114)</f>
        <v>2275794.0591425495</v>
      </c>
      <c r="D14" s="28">
        <f t="shared" si="8"/>
        <v>1982420.671032008</v>
      </c>
      <c r="E14" s="28">
        <f t="shared" si="8"/>
        <v>1950111.4484932343</v>
      </c>
      <c r="F14" s="28">
        <f t="shared" si="8"/>
        <v>1967052.0363329262</v>
      </c>
      <c r="G14" s="28">
        <f t="shared" si="8"/>
        <v>1929625.1604320602</v>
      </c>
      <c r="H14" s="28">
        <f t="shared" si="8"/>
        <v>1886150.0184383343</v>
      </c>
      <c r="I14" s="28">
        <f t="shared" si="8"/>
        <v>1820705.1009648358</v>
      </c>
      <c r="J14" s="28">
        <f t="shared" si="8"/>
        <v>1761786.0416124626</v>
      </c>
      <c r="K14" s="28">
        <f t="shared" si="8"/>
        <v>1728095.2896339705</v>
      </c>
      <c r="L14" s="28">
        <f t="shared" si="8"/>
        <v>1708709.2688095481</v>
      </c>
      <c r="M14" s="28">
        <f t="shared" si="8"/>
        <v>1662978.1583704061</v>
      </c>
      <c r="N14" s="28">
        <f t="shared" si="8"/>
        <v>1636829.643700643</v>
      </c>
      <c r="O14" s="28">
        <f t="shared" si="8"/>
        <v>1624973.4348508201</v>
      </c>
      <c r="P14" s="28">
        <f t="shared" si="8"/>
        <v>1619813.8763972791</v>
      </c>
      <c r="Q14" s="28">
        <f t="shared" si="8"/>
        <v>1603730.3126096178</v>
      </c>
      <c r="R14" s="28">
        <f t="shared" si="8"/>
        <v>1601032.9366848147</v>
      </c>
      <c r="S14" s="28">
        <f t="shared" si="8"/>
        <v>1596985.3948629235</v>
      </c>
      <c r="T14" s="28">
        <f t="shared" si="8"/>
        <v>1602716.8476148529</v>
      </c>
      <c r="U14" s="28">
        <f t="shared" si="8"/>
        <v>1601961.2245829666</v>
      </c>
      <c r="V14" s="28">
        <f t="shared" si="8"/>
        <v>1598954.8972503082</v>
      </c>
      <c r="W14" s="28">
        <f t="shared" si="8"/>
        <v>1583987.3550674808</v>
      </c>
      <c r="X14" s="28">
        <f t="shared" si="8"/>
        <v>1588313.3462271441</v>
      </c>
      <c r="Y14" s="28">
        <f t="shared" si="8"/>
        <v>1583469.6598210272</v>
      </c>
      <c r="Z14" s="28">
        <f t="shared" si="8"/>
        <v>1594558.9405798356</v>
      </c>
      <c r="AA14" s="29">
        <f t="shared" si="8"/>
        <v>1604704.2449110569</v>
      </c>
    </row>
    <row r="15" spans="2:27" s="171" customFormat="1" x14ac:dyDescent="0.25">
      <c r="B15" s="55" t="s">
        <v>264</v>
      </c>
      <c r="C15" s="44">
        <f>SUM(C14:C14)</f>
        <v>2275794.0591425495</v>
      </c>
      <c r="D15" s="30">
        <f t="shared" ref="D15:AA15" si="9">SUM(D14:D14)</f>
        <v>1982420.671032008</v>
      </c>
      <c r="E15" s="30">
        <f t="shared" si="9"/>
        <v>1950111.4484932343</v>
      </c>
      <c r="F15" s="30">
        <f t="shared" si="9"/>
        <v>1967052.0363329262</v>
      </c>
      <c r="G15" s="30">
        <f t="shared" si="9"/>
        <v>1929625.1604320602</v>
      </c>
      <c r="H15" s="30">
        <f t="shared" si="9"/>
        <v>1886150.0184383343</v>
      </c>
      <c r="I15" s="30">
        <f t="shared" si="9"/>
        <v>1820705.1009648358</v>
      </c>
      <c r="J15" s="30">
        <f t="shared" si="9"/>
        <v>1761786.0416124626</v>
      </c>
      <c r="K15" s="30">
        <f t="shared" si="9"/>
        <v>1728095.2896339705</v>
      </c>
      <c r="L15" s="30">
        <f t="shared" si="9"/>
        <v>1708709.2688095481</v>
      </c>
      <c r="M15" s="30">
        <f t="shared" si="9"/>
        <v>1662978.1583704061</v>
      </c>
      <c r="N15" s="30">
        <f t="shared" si="9"/>
        <v>1636829.643700643</v>
      </c>
      <c r="O15" s="30">
        <f t="shared" si="9"/>
        <v>1624973.4348508201</v>
      </c>
      <c r="P15" s="30">
        <f t="shared" si="9"/>
        <v>1619813.8763972791</v>
      </c>
      <c r="Q15" s="30">
        <f t="shared" si="9"/>
        <v>1603730.3126096178</v>
      </c>
      <c r="R15" s="30">
        <f t="shared" si="9"/>
        <v>1601032.9366848147</v>
      </c>
      <c r="S15" s="30">
        <f t="shared" si="9"/>
        <v>1596985.3948629235</v>
      </c>
      <c r="T15" s="30">
        <f t="shared" si="9"/>
        <v>1602716.8476148529</v>
      </c>
      <c r="U15" s="30">
        <f t="shared" si="9"/>
        <v>1601961.2245829666</v>
      </c>
      <c r="V15" s="30">
        <f t="shared" si="9"/>
        <v>1598954.8972503082</v>
      </c>
      <c r="W15" s="30">
        <f t="shared" si="9"/>
        <v>1583987.3550674808</v>
      </c>
      <c r="X15" s="30">
        <f t="shared" si="9"/>
        <v>1588313.3462271441</v>
      </c>
      <c r="Y15" s="30">
        <f t="shared" si="9"/>
        <v>1583469.6598210272</v>
      </c>
      <c r="Z15" s="30">
        <f t="shared" si="9"/>
        <v>1594558.9405798356</v>
      </c>
      <c r="AA15" s="31">
        <f t="shared" si="9"/>
        <v>1604704.2449110569</v>
      </c>
    </row>
    <row r="16" spans="2:27" x14ac:dyDescent="0.25">
      <c r="B16" s="62"/>
      <c r="C16" s="43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</row>
    <row r="17" spans="1:27" s="171" customFormat="1" x14ac:dyDescent="0.25">
      <c r="B17" s="63" t="str">
        <f>IF(Revenue_Model="Tier 1","Tier 1 Revenues:","Tier 1 Not Applicable")</f>
        <v>Tier 1 Not Applicable</v>
      </c>
      <c r="C17" s="43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</row>
    <row r="18" spans="1:27" s="171" customFormat="1" x14ac:dyDescent="0.25">
      <c r="B18" s="62" t="s">
        <v>266</v>
      </c>
      <c r="C18" s="43">
        <f t="shared" ref="C18:AA18" si="10">CHOOSE(Nominal_Real_Switch,C$120,C$121)</f>
        <v>568140.35686169984</v>
      </c>
      <c r="D18" s="28">
        <f t="shared" si="10"/>
        <v>456196.04263950582</v>
      </c>
      <c r="E18" s="28">
        <f t="shared" si="10"/>
        <v>396092.88611076307</v>
      </c>
      <c r="F18" s="28">
        <f t="shared" si="10"/>
        <v>445114.43775104597</v>
      </c>
      <c r="G18" s="28">
        <f t="shared" si="10"/>
        <v>424578.20839518635</v>
      </c>
      <c r="H18" s="28">
        <f t="shared" si="10"/>
        <v>395036.88106344099</v>
      </c>
      <c r="I18" s="28">
        <f t="shared" si="10"/>
        <v>361674.508719337</v>
      </c>
      <c r="J18" s="28">
        <f t="shared" si="10"/>
        <v>327691.76907532627</v>
      </c>
      <c r="K18" s="28">
        <f t="shared" si="10"/>
        <v>302456.5278149923</v>
      </c>
      <c r="L18" s="28">
        <f t="shared" si="10"/>
        <v>274815.35026257404</v>
      </c>
      <c r="M18" s="28">
        <f t="shared" si="10"/>
        <v>230356.62378425436</v>
      </c>
      <c r="N18" s="28">
        <f t="shared" si="10"/>
        <v>201240.33336892902</v>
      </c>
      <c r="O18" s="28">
        <f t="shared" si="10"/>
        <v>182973.11341531691</v>
      </c>
      <c r="P18" s="28">
        <f t="shared" si="10"/>
        <v>175920.05996820764</v>
      </c>
      <c r="Q18" s="28">
        <f t="shared" si="10"/>
        <v>167968.26199328722</v>
      </c>
      <c r="R18" s="28">
        <f t="shared" si="10"/>
        <v>163638.10890455282</v>
      </c>
      <c r="S18" s="28">
        <f t="shared" si="10"/>
        <v>158575.29880145573</v>
      </c>
      <c r="T18" s="28">
        <f t="shared" si="10"/>
        <v>151604.54690118725</v>
      </c>
      <c r="U18" s="28">
        <f t="shared" si="10"/>
        <v>151987.91588440794</v>
      </c>
      <c r="V18" s="28">
        <f t="shared" si="10"/>
        <v>151874.40014337082</v>
      </c>
      <c r="W18" s="28">
        <f t="shared" si="10"/>
        <v>145869.82379910524</v>
      </c>
      <c r="X18" s="28">
        <f t="shared" si="10"/>
        <v>147454.3744942694</v>
      </c>
      <c r="Y18" s="28">
        <f t="shared" si="10"/>
        <v>146451.68635640718</v>
      </c>
      <c r="Z18" s="28">
        <f t="shared" si="10"/>
        <v>151844.84455223696</v>
      </c>
      <c r="AA18" s="29">
        <f t="shared" si="10"/>
        <v>150362.57977648033</v>
      </c>
    </row>
    <row r="19" spans="1:27" s="171" customFormat="1" x14ac:dyDescent="0.25">
      <c r="B19" s="62" t="s">
        <v>267</v>
      </c>
      <c r="C19" s="43">
        <f t="shared" ref="C19:AA19" si="11">CHOOSE(Nominal_Real_Switch,C$129,C$130)</f>
        <v>52707.032254669335</v>
      </c>
      <c r="D19" s="28">
        <f t="shared" si="11"/>
        <v>35316.355713283177</v>
      </c>
      <c r="E19" s="28">
        <f t="shared" si="11"/>
        <v>33817.663612762219</v>
      </c>
      <c r="F19" s="28">
        <f t="shared" si="11"/>
        <v>32523.611649163369</v>
      </c>
      <c r="G19" s="28">
        <f t="shared" si="11"/>
        <v>30431.648975675354</v>
      </c>
      <c r="H19" s="28">
        <f t="shared" si="11"/>
        <v>28238.670909870641</v>
      </c>
      <c r="I19" s="28">
        <f t="shared" si="11"/>
        <v>26393.40148429641</v>
      </c>
      <c r="J19" s="28">
        <f t="shared" si="11"/>
        <v>24533.229346362306</v>
      </c>
      <c r="K19" s="28">
        <f t="shared" si="11"/>
        <v>22869.828932409888</v>
      </c>
      <c r="L19" s="28">
        <f t="shared" si="11"/>
        <v>20751.42090636359</v>
      </c>
      <c r="M19" s="28">
        <f t="shared" si="11"/>
        <v>18783.449441612753</v>
      </c>
      <c r="N19" s="28">
        <f t="shared" si="11"/>
        <v>16368.930747010721</v>
      </c>
      <c r="O19" s="28">
        <f t="shared" si="11"/>
        <v>13335.506723525361</v>
      </c>
      <c r="P19" s="28">
        <f t="shared" si="11"/>
        <v>12084.647535389535</v>
      </c>
      <c r="Q19" s="28">
        <f t="shared" si="11"/>
        <v>10734.80564382086</v>
      </c>
      <c r="R19" s="28">
        <f t="shared" si="11"/>
        <v>17535.334840802396</v>
      </c>
      <c r="S19" s="28">
        <f t="shared" si="11"/>
        <v>25288.157444470209</v>
      </c>
      <c r="T19" s="28">
        <f t="shared" si="11"/>
        <v>21660.121574909335</v>
      </c>
      <c r="U19" s="28">
        <f t="shared" si="11"/>
        <v>20292.637472766051</v>
      </c>
      <c r="V19" s="28">
        <f t="shared" si="11"/>
        <v>20810.191681602435</v>
      </c>
      <c r="W19" s="28">
        <f t="shared" si="11"/>
        <v>21484.862822498017</v>
      </c>
      <c r="X19" s="28">
        <f t="shared" si="11"/>
        <v>26047.623363947238</v>
      </c>
      <c r="Y19" s="28">
        <f t="shared" si="11"/>
        <v>29789.095392197516</v>
      </c>
      <c r="Z19" s="28">
        <f t="shared" si="11"/>
        <v>31155.585909160869</v>
      </c>
      <c r="AA19" s="29">
        <f t="shared" si="11"/>
        <v>28426.919313744762</v>
      </c>
    </row>
    <row r="20" spans="1:27" s="171" customFormat="1" x14ac:dyDescent="0.25">
      <c r="B20" s="67" t="s">
        <v>265</v>
      </c>
      <c r="C20" s="49">
        <f t="shared" ref="C20:AA20" si="12">SUM(C18:C19)</f>
        <v>620847.38911636919</v>
      </c>
      <c r="D20" s="50">
        <f t="shared" si="12"/>
        <v>491512.39835278899</v>
      </c>
      <c r="E20" s="50">
        <f t="shared" si="12"/>
        <v>429910.5497235253</v>
      </c>
      <c r="F20" s="50">
        <f t="shared" si="12"/>
        <v>477638.04940020933</v>
      </c>
      <c r="G20" s="50">
        <f t="shared" si="12"/>
        <v>455009.85737086169</v>
      </c>
      <c r="H20" s="50">
        <f t="shared" si="12"/>
        <v>423275.55197331164</v>
      </c>
      <c r="I20" s="50">
        <f t="shared" si="12"/>
        <v>388067.91020363342</v>
      </c>
      <c r="J20" s="50">
        <f t="shared" si="12"/>
        <v>352224.99842168856</v>
      </c>
      <c r="K20" s="50">
        <f t="shared" si="12"/>
        <v>325326.35674740217</v>
      </c>
      <c r="L20" s="50">
        <f t="shared" si="12"/>
        <v>295566.77116893762</v>
      </c>
      <c r="M20" s="50">
        <f t="shared" si="12"/>
        <v>249140.07322586712</v>
      </c>
      <c r="N20" s="50">
        <f t="shared" si="12"/>
        <v>217609.26411593973</v>
      </c>
      <c r="O20" s="50">
        <f t="shared" si="12"/>
        <v>196308.62013884226</v>
      </c>
      <c r="P20" s="50">
        <f t="shared" si="12"/>
        <v>188004.70750359716</v>
      </c>
      <c r="Q20" s="50">
        <f t="shared" si="12"/>
        <v>178703.06763710809</v>
      </c>
      <c r="R20" s="50">
        <f t="shared" si="12"/>
        <v>181173.44374535521</v>
      </c>
      <c r="S20" s="50">
        <f t="shared" si="12"/>
        <v>183863.45624592595</v>
      </c>
      <c r="T20" s="50">
        <f t="shared" si="12"/>
        <v>173264.66847609659</v>
      </c>
      <c r="U20" s="50">
        <f t="shared" si="12"/>
        <v>172280.55335717398</v>
      </c>
      <c r="V20" s="50">
        <f t="shared" si="12"/>
        <v>172684.59182497326</v>
      </c>
      <c r="W20" s="50">
        <f t="shared" si="12"/>
        <v>167354.68662160326</v>
      </c>
      <c r="X20" s="50">
        <f t="shared" si="12"/>
        <v>173501.99785821664</v>
      </c>
      <c r="Y20" s="50">
        <f t="shared" si="12"/>
        <v>176240.7817486047</v>
      </c>
      <c r="Z20" s="50">
        <f t="shared" si="12"/>
        <v>183000.43046139783</v>
      </c>
      <c r="AA20" s="51">
        <f t="shared" si="12"/>
        <v>178789.49909022509</v>
      </c>
    </row>
    <row r="21" spans="1:27" s="171" customFormat="1" ht="12" customHeight="1" x14ac:dyDescent="0.25">
      <c r="B21" s="62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6"/>
    </row>
    <row r="22" spans="1:27" s="72" customFormat="1" x14ac:dyDescent="0.25">
      <c r="B22" s="68" t="s">
        <v>35</v>
      </c>
      <c r="C22" s="45">
        <f t="shared" ref="C22:AA22" si="13">IF((C3&lt;=System_Age),0,IF(Revenue_Model="VDER - Value of Distributed Energy Resources",C11,IF(Revenue_Model="NEM - Net Energy Metering",C15,C20)))</f>
        <v>999713.61969731597</v>
      </c>
      <c r="D22" s="34">
        <f t="shared" si="13"/>
        <v>859711.26462760277</v>
      </c>
      <c r="E22" s="34">
        <f t="shared" si="13"/>
        <v>785378.70943784225</v>
      </c>
      <c r="F22" s="34">
        <f t="shared" si="13"/>
        <v>825167.53921654727</v>
      </c>
      <c r="G22" s="34">
        <f t="shared" si="13"/>
        <v>792095.49809038849</v>
      </c>
      <c r="H22" s="34">
        <f t="shared" si="13"/>
        <v>749516.2237363857</v>
      </c>
      <c r="I22" s="34">
        <f t="shared" si="13"/>
        <v>704092.84754542133</v>
      </c>
      <c r="J22" s="34">
        <f t="shared" si="13"/>
        <v>658706.07344828104</v>
      </c>
      <c r="K22" s="34">
        <f t="shared" si="13"/>
        <v>622276.63003282272</v>
      </c>
      <c r="L22" s="34">
        <f t="shared" si="13"/>
        <v>585056.06220955087</v>
      </c>
      <c r="M22" s="34">
        <f t="shared" si="13"/>
        <v>500534.76248956705</v>
      </c>
      <c r="N22" s="34">
        <f t="shared" si="13"/>
        <v>461246.95847761969</v>
      </c>
      <c r="O22" s="34">
        <f t="shared" si="13"/>
        <v>432813.75205141818</v>
      </c>
      <c r="P22" s="34">
        <f t="shared" si="13"/>
        <v>418029.80424625427</v>
      </c>
      <c r="Q22" s="34">
        <f t="shared" si="13"/>
        <v>401848.13779246912</v>
      </c>
      <c r="R22" s="34">
        <f t="shared" si="13"/>
        <v>397304.40151226032</v>
      </c>
      <c r="S22" s="34">
        <f t="shared" si="13"/>
        <v>392667.21364332107</v>
      </c>
      <c r="T22" s="34">
        <f t="shared" si="13"/>
        <v>376610.6336856836</v>
      </c>
      <c r="U22" s="34">
        <f t="shared" si="13"/>
        <v>369289.67746574513</v>
      </c>
      <c r="V22" s="34">
        <f t="shared" si="13"/>
        <v>363769.4066630578</v>
      </c>
      <c r="W22" s="34">
        <f t="shared" si="13"/>
        <v>353047.90769770206</v>
      </c>
      <c r="X22" s="34">
        <f t="shared" si="13"/>
        <v>353471.01423453516</v>
      </c>
      <c r="Y22" s="34">
        <f t="shared" si="13"/>
        <v>350257.19939051906</v>
      </c>
      <c r="Z22" s="34">
        <f t="shared" si="13"/>
        <v>352019.42031241726</v>
      </c>
      <c r="AA22" s="35">
        <f t="shared" si="13"/>
        <v>342946.76815348282</v>
      </c>
    </row>
    <row r="23" spans="1:27" x14ac:dyDescent="0.25">
      <c r="B23" s="62"/>
      <c r="C23" s="4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</row>
    <row r="24" spans="1:27" x14ac:dyDescent="0.25">
      <c r="B24" s="55" t="s">
        <v>36</v>
      </c>
      <c r="C24" s="47">
        <f t="shared" ref="C24:AA24" si="14">CHOOSE(Nominal_Real_Switch,C$143,C$144)</f>
        <v>70871.456289021837</v>
      </c>
      <c r="D24" s="38">
        <f t="shared" si="14"/>
        <v>70871.456289021837</v>
      </c>
      <c r="E24" s="38">
        <f t="shared" si="14"/>
        <v>70871.456289021837</v>
      </c>
      <c r="F24" s="38">
        <f t="shared" si="14"/>
        <v>70871.456289021837</v>
      </c>
      <c r="G24" s="38">
        <f t="shared" si="14"/>
        <v>70871.456289021837</v>
      </c>
      <c r="H24" s="38">
        <f t="shared" si="14"/>
        <v>70871.456289021837</v>
      </c>
      <c r="I24" s="38">
        <f t="shared" si="14"/>
        <v>70871.456289021837</v>
      </c>
      <c r="J24" s="38">
        <f t="shared" si="14"/>
        <v>70871.456289021837</v>
      </c>
      <c r="K24" s="38">
        <f t="shared" si="14"/>
        <v>70871.456289021837</v>
      </c>
      <c r="L24" s="38">
        <f t="shared" si="14"/>
        <v>70871.456289021837</v>
      </c>
      <c r="M24" s="38">
        <f t="shared" si="14"/>
        <v>70871.456289021837</v>
      </c>
      <c r="N24" s="38">
        <f t="shared" si="14"/>
        <v>70871.456289021837</v>
      </c>
      <c r="O24" s="38">
        <f t="shared" si="14"/>
        <v>70871.456289021837</v>
      </c>
      <c r="P24" s="38">
        <f t="shared" si="14"/>
        <v>70871.456289021837</v>
      </c>
      <c r="Q24" s="38">
        <f t="shared" si="14"/>
        <v>70871.456289021837</v>
      </c>
      <c r="R24" s="38">
        <f t="shared" si="14"/>
        <v>70871.456289021837</v>
      </c>
      <c r="S24" s="38">
        <f t="shared" si="14"/>
        <v>70871.456289021837</v>
      </c>
      <c r="T24" s="38">
        <f t="shared" si="14"/>
        <v>70871.456289021837</v>
      </c>
      <c r="U24" s="38">
        <f t="shared" si="14"/>
        <v>70871.456289021837</v>
      </c>
      <c r="V24" s="38">
        <f t="shared" si="14"/>
        <v>70871.456289021837</v>
      </c>
      <c r="W24" s="38">
        <f t="shared" si="14"/>
        <v>70871.456289021837</v>
      </c>
      <c r="X24" s="38">
        <f t="shared" si="14"/>
        <v>70871.456289021837</v>
      </c>
      <c r="Y24" s="38">
        <f t="shared" si="14"/>
        <v>70871.456289021837</v>
      </c>
      <c r="Z24" s="38">
        <f t="shared" si="14"/>
        <v>70871.456289021837</v>
      </c>
      <c r="AA24" s="39">
        <f t="shared" si="14"/>
        <v>70871.456289021837</v>
      </c>
    </row>
    <row r="25" spans="1:27" x14ac:dyDescent="0.25">
      <c r="B25" s="62" t="s">
        <v>37</v>
      </c>
      <c r="C25" s="46">
        <f t="shared" ref="C25:AA25" si="15">CHOOSE(Nominal_Real_Switch,C$151,C$152)</f>
        <v>4878.0487804878057</v>
      </c>
      <c r="D25" s="36">
        <f t="shared" si="15"/>
        <v>4854.2534205829861</v>
      </c>
      <c r="E25" s="36">
        <f t="shared" si="15"/>
        <v>4830.5741356045337</v>
      </c>
      <c r="F25" s="36">
        <f t="shared" si="15"/>
        <v>4807.0103593332924</v>
      </c>
      <c r="G25" s="36">
        <f t="shared" si="15"/>
        <v>4783.5615283121542</v>
      </c>
      <c r="H25" s="36">
        <f t="shared" si="15"/>
        <v>4760.2270818325833</v>
      </c>
      <c r="I25" s="36">
        <f t="shared" si="15"/>
        <v>4737.0064619212044</v>
      </c>
      <c r="J25" s="36">
        <f t="shared" si="15"/>
        <v>4713.8991133264672</v>
      </c>
      <c r="K25" s="36">
        <f t="shared" si="15"/>
        <v>4690.9044835053637</v>
      </c>
      <c r="L25" s="36">
        <f t="shared" si="15"/>
        <v>4668.0220226102156</v>
      </c>
      <c r="M25" s="36">
        <f t="shared" si="15"/>
        <v>4645.2511834755314</v>
      </c>
      <c r="N25" s="36">
        <f t="shared" si="15"/>
        <v>4622.5914216049187</v>
      </c>
      <c r="O25" s="36">
        <f t="shared" si="15"/>
        <v>4600.0421951580665</v>
      </c>
      <c r="P25" s="36">
        <f t="shared" si="15"/>
        <v>4577.6029649377833</v>
      </c>
      <c r="Q25" s="36">
        <f t="shared" si="15"/>
        <v>4555.2731943771114</v>
      </c>
      <c r="R25" s="36">
        <f t="shared" si="15"/>
        <v>4533.0523495264897</v>
      </c>
      <c r="S25" s="36">
        <f t="shared" si="15"/>
        <v>4510.9398990409964</v>
      </c>
      <c r="T25" s="36">
        <f t="shared" si="15"/>
        <v>4488.9353141676256</v>
      </c>
      <c r="U25" s="36">
        <f t="shared" si="15"/>
        <v>4467.0380687326615</v>
      </c>
      <c r="V25" s="36">
        <f t="shared" si="15"/>
        <v>4445.2476391290875</v>
      </c>
      <c r="W25" s="36">
        <f t="shared" si="15"/>
        <v>4423.5635043040693</v>
      </c>
      <c r="X25" s="36">
        <f t="shared" si="15"/>
        <v>4401.9851457464874</v>
      </c>
      <c r="Y25" s="36">
        <f t="shared" si="15"/>
        <v>4380.5120474745536</v>
      </c>
      <c r="Z25" s="36">
        <f t="shared" si="15"/>
        <v>4359.1436960234578</v>
      </c>
      <c r="AA25" s="37">
        <f t="shared" si="15"/>
        <v>4337.8795804331003</v>
      </c>
    </row>
    <row r="26" spans="1:27" x14ac:dyDescent="0.25">
      <c r="B26" s="62" t="s">
        <v>38</v>
      </c>
      <c r="C26" s="46">
        <f t="shared" ref="C26:AA26" si="16">CHOOSE(Nominal_Real_Switch,C$160,C$161)</f>
        <v>9350</v>
      </c>
      <c r="D26" s="36">
        <f t="shared" si="16"/>
        <v>9121.9512195121952</v>
      </c>
      <c r="E26" s="36">
        <f t="shared" si="16"/>
        <v>8899.4646044021429</v>
      </c>
      <c r="F26" s="36">
        <f t="shared" si="16"/>
        <v>8682.404492099653</v>
      </c>
      <c r="G26" s="36">
        <f t="shared" si="16"/>
        <v>8470.6385288777092</v>
      </c>
      <c r="H26" s="36">
        <f t="shared" si="16"/>
        <v>8264.0375891489857</v>
      </c>
      <c r="I26" s="36">
        <f t="shared" si="16"/>
        <v>8062.4756967307176</v>
      </c>
      <c r="J26" s="36">
        <f t="shared" si="16"/>
        <v>7865.8299480299693</v>
      </c>
      <c r="K26" s="36">
        <f t="shared" si="16"/>
        <v>7673.9804371024111</v>
      </c>
      <c r="L26" s="36">
        <f t="shared" si="16"/>
        <v>7486.8101825389367</v>
      </c>
      <c r="M26" s="36">
        <f t="shared" si="16"/>
        <v>7304.2050561355491</v>
      </c>
      <c r="N26" s="36">
        <f t="shared" si="16"/>
        <v>7126.0537133029748</v>
      </c>
      <c r="O26" s="36">
        <f t="shared" si="16"/>
        <v>6952.2475251736341</v>
      </c>
      <c r="P26" s="36">
        <f t="shared" si="16"/>
        <v>6782.6805123645217</v>
      </c>
      <c r="Q26" s="36">
        <f t="shared" si="16"/>
        <v>6617.2492803556306</v>
      </c>
      <c r="R26" s="36">
        <f t="shared" si="16"/>
        <v>6455.8529564445171</v>
      </c>
      <c r="S26" s="36">
        <f t="shared" si="16"/>
        <v>6298.3931282385547</v>
      </c>
      <c r="T26" s="36">
        <f t="shared" si="16"/>
        <v>6144.7737836473698</v>
      </c>
      <c r="U26" s="36">
        <f t="shared" si="16"/>
        <v>5994.9012523388974</v>
      </c>
      <c r="V26" s="36">
        <f t="shared" si="16"/>
        <v>5848.6841486233152</v>
      </c>
      <c r="W26" s="36">
        <f t="shared" si="16"/>
        <v>5706.0333157300647</v>
      </c>
      <c r="X26" s="36">
        <f t="shared" si="16"/>
        <v>5566.8617714439652</v>
      </c>
      <c r="Y26" s="36">
        <f t="shared" si="16"/>
        <v>5431.0846550672841</v>
      </c>
      <c r="Z26" s="36">
        <f t="shared" si="16"/>
        <v>5298.6191756753988</v>
      </c>
      <c r="AA26" s="37">
        <f t="shared" si="16"/>
        <v>5169.3845616345361</v>
      </c>
    </row>
    <row r="27" spans="1:27" x14ac:dyDescent="0.25">
      <c r="B27" s="56" t="s">
        <v>39</v>
      </c>
      <c r="C27" s="52">
        <f t="shared" ref="C27:AA27" si="17">CHOOSE(Nominal_Real_Switch,C$169,C$170)</f>
        <v>0</v>
      </c>
      <c r="D27" s="53">
        <f t="shared" si="17"/>
        <v>0</v>
      </c>
      <c r="E27" s="53">
        <f t="shared" si="17"/>
        <v>0</v>
      </c>
      <c r="F27" s="53">
        <f t="shared" si="17"/>
        <v>0</v>
      </c>
      <c r="G27" s="53">
        <f t="shared" si="17"/>
        <v>0</v>
      </c>
      <c r="H27" s="53">
        <f t="shared" si="17"/>
        <v>0</v>
      </c>
      <c r="I27" s="53">
        <f t="shared" si="17"/>
        <v>0</v>
      </c>
      <c r="J27" s="53">
        <f t="shared" si="17"/>
        <v>0</v>
      </c>
      <c r="K27" s="53">
        <f t="shared" si="17"/>
        <v>0</v>
      </c>
      <c r="L27" s="53">
        <f t="shared" si="17"/>
        <v>0</v>
      </c>
      <c r="M27" s="53">
        <f t="shared" si="17"/>
        <v>0</v>
      </c>
      <c r="N27" s="53">
        <f t="shared" si="17"/>
        <v>0</v>
      </c>
      <c r="O27" s="53">
        <f t="shared" si="17"/>
        <v>0</v>
      </c>
      <c r="P27" s="53">
        <f t="shared" si="17"/>
        <v>0</v>
      </c>
      <c r="Q27" s="53">
        <f t="shared" si="17"/>
        <v>500000</v>
      </c>
      <c r="R27" s="53">
        <f t="shared" si="17"/>
        <v>0</v>
      </c>
      <c r="S27" s="53">
        <f t="shared" si="17"/>
        <v>0</v>
      </c>
      <c r="T27" s="53">
        <f t="shared" si="17"/>
        <v>0</v>
      </c>
      <c r="U27" s="53">
        <f t="shared" si="17"/>
        <v>0</v>
      </c>
      <c r="V27" s="53">
        <f t="shared" si="17"/>
        <v>0</v>
      </c>
      <c r="W27" s="53">
        <f t="shared" si="17"/>
        <v>0</v>
      </c>
      <c r="X27" s="53">
        <f t="shared" si="17"/>
        <v>0</v>
      </c>
      <c r="Y27" s="53">
        <f t="shared" si="17"/>
        <v>0</v>
      </c>
      <c r="Z27" s="53">
        <f t="shared" si="17"/>
        <v>0</v>
      </c>
      <c r="AA27" s="54">
        <f t="shared" si="17"/>
        <v>0</v>
      </c>
    </row>
    <row r="28" spans="1:27" x14ac:dyDescent="0.25">
      <c r="B28" s="62"/>
      <c r="C28" s="4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7"/>
    </row>
    <row r="29" spans="1:27" x14ac:dyDescent="0.25">
      <c r="A29" s="72"/>
      <c r="B29" s="68" t="s">
        <v>40</v>
      </c>
      <c r="C29" s="45">
        <f>SUM(C24:C27)</f>
        <v>85099.505069509643</v>
      </c>
      <c r="D29" s="34">
        <f t="shared" ref="D29:AA29" si="18">SUM(D24:D27)</f>
        <v>84847.660929117017</v>
      </c>
      <c r="E29" s="34">
        <f t="shared" si="18"/>
        <v>84601.495029028505</v>
      </c>
      <c r="F29" s="34">
        <f t="shared" si="18"/>
        <v>84360.871140454779</v>
      </c>
      <c r="G29" s="34">
        <f t="shared" si="18"/>
        <v>84125.656346211705</v>
      </c>
      <c r="H29" s="34">
        <f t="shared" si="18"/>
        <v>83895.720960003397</v>
      </c>
      <c r="I29" s="34">
        <f t="shared" si="18"/>
        <v>83670.938447673761</v>
      </c>
      <c r="J29" s="34">
        <f t="shared" si="18"/>
        <v>83451.185350378277</v>
      </c>
      <c r="K29" s="34">
        <f t="shared" si="18"/>
        <v>83236.341209629609</v>
      </c>
      <c r="L29" s="34">
        <f t="shared" si="18"/>
        <v>83026.288494170978</v>
      </c>
      <c r="M29" s="34">
        <f t="shared" si="18"/>
        <v>82820.912528632907</v>
      </c>
      <c r="N29" s="34">
        <f t="shared" si="18"/>
        <v>82620.101423929722</v>
      </c>
      <c r="O29" s="34">
        <f t="shared" si="18"/>
        <v>82423.746009353534</v>
      </c>
      <c r="P29" s="34">
        <f t="shared" si="18"/>
        <v>82231.739766324143</v>
      </c>
      <c r="Q29" s="34">
        <f t="shared" si="18"/>
        <v>582043.9787637546</v>
      </c>
      <c r="R29" s="34">
        <f t="shared" si="18"/>
        <v>81860.36159499285</v>
      </c>
      <c r="S29" s="34">
        <f t="shared" si="18"/>
        <v>81680.789316301394</v>
      </c>
      <c r="T29" s="34">
        <f t="shared" si="18"/>
        <v>81505.16538683683</v>
      </c>
      <c r="U29" s="34">
        <f t="shared" si="18"/>
        <v>81333.395610093401</v>
      </c>
      <c r="V29" s="34">
        <f t="shared" si="18"/>
        <v>81165.388076774238</v>
      </c>
      <c r="W29" s="34">
        <f t="shared" si="18"/>
        <v>81001.053109055967</v>
      </c>
      <c r="X29" s="34">
        <f t="shared" si="18"/>
        <v>80840.30320621228</v>
      </c>
      <c r="Y29" s="34">
        <f t="shared" si="18"/>
        <v>80683.052991563673</v>
      </c>
      <c r="Z29" s="34">
        <f t="shared" si="18"/>
        <v>80529.219160720691</v>
      </c>
      <c r="AA29" s="35">
        <f t="shared" si="18"/>
        <v>80378.720431089474</v>
      </c>
    </row>
    <row r="30" spans="1:27" x14ac:dyDescent="0.25">
      <c r="B30" s="62"/>
      <c r="C30" s="4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7"/>
    </row>
    <row r="31" spans="1:27" s="72" customFormat="1" x14ac:dyDescent="0.25">
      <c r="B31" s="68" t="s">
        <v>41</v>
      </c>
      <c r="C31" s="45">
        <f t="shared" ref="C31:AA31" si="19">(C22-C29)</f>
        <v>914614.11462780635</v>
      </c>
      <c r="D31" s="34">
        <f t="shared" si="19"/>
        <v>774863.60369848576</v>
      </c>
      <c r="E31" s="34">
        <f t="shared" si="19"/>
        <v>700777.21440881374</v>
      </c>
      <c r="F31" s="34">
        <f t="shared" si="19"/>
        <v>740806.66807609249</v>
      </c>
      <c r="G31" s="34">
        <f t="shared" si="19"/>
        <v>707969.84174417681</v>
      </c>
      <c r="H31" s="34">
        <f t="shared" si="19"/>
        <v>665620.50277638226</v>
      </c>
      <c r="I31" s="34">
        <f t="shared" si="19"/>
        <v>620421.90909774753</v>
      </c>
      <c r="J31" s="34">
        <f t="shared" si="19"/>
        <v>575254.88809790276</v>
      </c>
      <c r="K31" s="34">
        <f t="shared" si="19"/>
        <v>539040.28882319317</v>
      </c>
      <c r="L31" s="34">
        <f t="shared" si="19"/>
        <v>502029.77371537988</v>
      </c>
      <c r="M31" s="34">
        <f t="shared" si="19"/>
        <v>417713.84996093414</v>
      </c>
      <c r="N31" s="34">
        <f t="shared" si="19"/>
        <v>378626.85705368995</v>
      </c>
      <c r="O31" s="34">
        <f t="shared" si="19"/>
        <v>350390.00604206463</v>
      </c>
      <c r="P31" s="34">
        <f t="shared" si="19"/>
        <v>335798.06447993009</v>
      </c>
      <c r="Q31" s="34">
        <f t="shared" si="19"/>
        <v>-180195.84097128548</v>
      </c>
      <c r="R31" s="34">
        <f t="shared" si="19"/>
        <v>315444.03991726745</v>
      </c>
      <c r="S31" s="34">
        <f t="shared" si="19"/>
        <v>310986.42432701966</v>
      </c>
      <c r="T31" s="34">
        <f t="shared" si="19"/>
        <v>295105.46829884674</v>
      </c>
      <c r="U31" s="34">
        <f t="shared" si="19"/>
        <v>287956.28185565176</v>
      </c>
      <c r="V31" s="34">
        <f t="shared" si="19"/>
        <v>282604.01858628355</v>
      </c>
      <c r="W31" s="34">
        <f t="shared" si="19"/>
        <v>272046.85458864609</v>
      </c>
      <c r="X31" s="34">
        <f t="shared" si="19"/>
        <v>272630.71102832287</v>
      </c>
      <c r="Y31" s="34">
        <f t="shared" si="19"/>
        <v>269574.14639895537</v>
      </c>
      <c r="Z31" s="34">
        <f t="shared" si="19"/>
        <v>271490.20115169656</v>
      </c>
      <c r="AA31" s="35">
        <f t="shared" si="19"/>
        <v>262568.04772239336</v>
      </c>
    </row>
    <row r="32" spans="1:27" s="72" customFormat="1" x14ac:dyDescent="0.25">
      <c r="B32" s="60"/>
      <c r="C32" s="48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/>
    </row>
    <row r="33" spans="2:27" x14ac:dyDescent="0.25">
      <c r="B33" s="62" t="s">
        <v>262</v>
      </c>
      <c r="C33" s="69">
        <f t="shared" ref="C33:AA33" si="20">CHOOSE(Nominal_Real_Switch,C$45,C$46)</f>
        <v>0.91008041470544343</v>
      </c>
      <c r="D33" s="70">
        <f t="shared" si="20"/>
        <v>0.82824636123043194</v>
      </c>
      <c r="E33" s="70">
        <f t="shared" si="20"/>
        <v>0.75377079190686602</v>
      </c>
      <c r="F33" s="70">
        <f t="shared" si="20"/>
        <v>0.68599203489145111</v>
      </c>
      <c r="G33" s="70">
        <f t="shared" si="20"/>
        <v>0.62430791559864285</v>
      </c>
      <c r="H33" s="70">
        <f t="shared" si="20"/>
        <v>0.56817040673190389</v>
      </c>
      <c r="I33" s="70">
        <f t="shared" si="20"/>
        <v>0.51708075938193154</v>
      </c>
      <c r="J33" s="70">
        <f t="shared" si="20"/>
        <v>0.47058507193451388</v>
      </c>
      <c r="K33" s="70">
        <f t="shared" si="20"/>
        <v>0.4282702574203533</v>
      </c>
      <c r="L33" s="70">
        <f t="shared" si="20"/>
        <v>0.38976037347912218</v>
      </c>
      <c r="M33" s="70">
        <f t="shared" si="20"/>
        <v>0.35471328233162802</v>
      </c>
      <c r="N33" s="70">
        <f t="shared" si="20"/>
        <v>0.32281761108589707</v>
      </c>
      <c r="O33" s="70">
        <f t="shared" si="20"/>
        <v>0.29378998537127377</v>
      </c>
      <c r="P33" s="70">
        <f t="shared" si="20"/>
        <v>0.26737251172299498</v>
      </c>
      <c r="Q33" s="70">
        <f t="shared" si="20"/>
        <v>0.24333048634969931</v>
      </c>
      <c r="R33" s="70">
        <f t="shared" si="20"/>
        <v>0.22145030992761161</v>
      </c>
      <c r="S33" s="70">
        <f t="shared" si="20"/>
        <v>0.20153758989556975</v>
      </c>
      <c r="T33" s="70">
        <f t="shared" si="20"/>
        <v>0.1834154133908957</v>
      </c>
      <c r="U33" s="70">
        <f t="shared" si="20"/>
        <v>0.16692277548215673</v>
      </c>
      <c r="V33" s="70">
        <f t="shared" si="20"/>
        <v>0.15191314873458481</v>
      </c>
      <c r="W33" s="70">
        <f t="shared" si="20"/>
        <v>0.13825318139958065</v>
      </c>
      <c r="X33" s="70">
        <f t="shared" si="20"/>
        <v>0.12582151266247726</v>
      </c>
      <c r="Y33" s="70">
        <f t="shared" si="20"/>
        <v>0.11450769442273351</v>
      </c>
      <c r="Z33" s="70">
        <f t="shared" si="20"/>
        <v>0.1042112100272055</v>
      </c>
      <c r="AA33" s="71">
        <f t="shared" si="20"/>
        <v>9.4840581238515242E-2</v>
      </c>
    </row>
    <row r="34" spans="2:27" s="72" customFormat="1" x14ac:dyDescent="0.25">
      <c r="B34" s="68" t="s">
        <v>272</v>
      </c>
      <c r="C34" s="45">
        <f t="shared" ref="C34:AA34" si="21">C31*C33</f>
        <v>832372.39273592597</v>
      </c>
      <c r="D34" s="34">
        <f t="shared" si="21"/>
        <v>641777.96021317027</v>
      </c>
      <c r="E34" s="34">
        <f t="shared" si="21"/>
        <v>528225.39585521922</v>
      </c>
      <c r="F34" s="34">
        <f t="shared" si="21"/>
        <v>508187.4736946745</v>
      </c>
      <c r="G34" s="34">
        <f t="shared" si="21"/>
        <v>441991.17620600807</v>
      </c>
      <c r="H34" s="34">
        <f t="shared" si="21"/>
        <v>378185.87179155147</v>
      </c>
      <c r="I34" s="34">
        <f t="shared" si="21"/>
        <v>320808.23189345101</v>
      </c>
      <c r="J34" s="34">
        <f t="shared" si="21"/>
        <v>270706.36289623228</v>
      </c>
      <c r="K34" s="34">
        <f t="shared" si="21"/>
        <v>230854.92325425052</v>
      </c>
      <c r="L34" s="34">
        <f t="shared" si="21"/>
        <v>195671.31210094565</v>
      </c>
      <c r="M34" s="34">
        <f t="shared" si="21"/>
        <v>148168.65079502415</v>
      </c>
      <c r="N34" s="34">
        <f t="shared" si="21"/>
        <v>122227.41748703363</v>
      </c>
      <c r="O34" s="34">
        <f t="shared" si="21"/>
        <v>102941.07474933869</v>
      </c>
      <c r="P34" s="34">
        <f t="shared" si="21"/>
        <v>89783.171931719131</v>
      </c>
      <c r="Q34" s="34">
        <f t="shared" si="21"/>
        <v>-43847.141621735966</v>
      </c>
      <c r="R34" s="34">
        <f t="shared" si="21"/>
        <v>69855.180404496772</v>
      </c>
      <c r="S34" s="34">
        <f t="shared" si="21"/>
        <v>62675.454449108525</v>
      </c>
      <c r="T34" s="34">
        <f t="shared" si="21"/>
        <v>54126.891461946841</v>
      </c>
      <c r="U34" s="34">
        <f t="shared" si="21"/>
        <v>48066.461784867599</v>
      </c>
      <c r="V34" s="34">
        <f t="shared" si="21"/>
        <v>42931.266308489459</v>
      </c>
      <c r="W34" s="34">
        <f t="shared" si="21"/>
        <v>37611.343136629424</v>
      </c>
      <c r="X34" s="34">
        <f t="shared" si="21"/>
        <v>34302.808459830303</v>
      </c>
      <c r="Y34" s="34">
        <f t="shared" si="21"/>
        <v>30868.313980120809</v>
      </c>
      <c r="Z34" s="34">
        <f t="shared" si="21"/>
        <v>28292.322372547718</v>
      </c>
      <c r="AA34" s="35">
        <f t="shared" si="21"/>
        <v>24902.106260653993</v>
      </c>
    </row>
    <row r="35" spans="2:27" s="72" customFormat="1" x14ac:dyDescent="0.25"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</row>
    <row r="36" spans="2:27" x14ac:dyDescent="0.25">
      <c r="B36" s="184" t="s">
        <v>271</v>
      </c>
      <c r="C36" s="184"/>
      <c r="D36" s="185">
        <f>SUM(C34:AA34)</f>
        <v>5201686.4226014996</v>
      </c>
      <c r="E36" s="185"/>
      <c r="F36" s="173" t="str">
        <f>IF(Ground_Lease_Ann&gt;0," Value for Improvements Only","Value for Improvements and Land Necessary for Plant Operations")</f>
        <v xml:space="preserve"> Value for Improvements Only</v>
      </c>
    </row>
    <row r="37" spans="2:27" x14ac:dyDescent="0.25">
      <c r="B37" s="174"/>
      <c r="C37" s="174"/>
      <c r="D37" s="185">
        <f>D36/System_Size</f>
        <v>1040.3372845202998</v>
      </c>
      <c r="E37" s="185"/>
      <c r="F37" s="175" t="s">
        <v>276</v>
      </c>
    </row>
    <row r="39" spans="2:27" x14ac:dyDescent="0.25">
      <c r="B39" s="186" t="s">
        <v>42</v>
      </c>
      <c r="C39" s="186"/>
      <c r="D39" s="186"/>
      <c r="E39" s="186"/>
      <c r="F39" s="91"/>
    </row>
    <row r="40" spans="2:27" x14ac:dyDescent="0.25">
      <c r="B40" s="92" t="str">
        <f>"Cash flows are expressed in "&amp;Cash_Flow_Label&amp;"."</f>
        <v>Cash flows are expressed in Real 2022 Dollars.</v>
      </c>
      <c r="F40" s="91"/>
    </row>
    <row r="41" spans="2:27" x14ac:dyDescent="0.25">
      <c r="B41" s="92"/>
      <c r="F41" s="91"/>
    </row>
    <row r="42" spans="2:27" ht="15" customHeight="1" x14ac:dyDescent="0.25">
      <c r="B42" s="72" t="s">
        <v>241</v>
      </c>
    </row>
    <row r="43" spans="2:27" ht="15" customHeight="1" x14ac:dyDescent="0.25">
      <c r="B43" s="72"/>
    </row>
    <row r="44" spans="2:27" ht="15" customHeight="1" x14ac:dyDescent="0.25">
      <c r="B44" s="72" t="s">
        <v>242</v>
      </c>
    </row>
    <row r="45" spans="2:27" x14ac:dyDescent="0.25">
      <c r="B45" s="23" t="s">
        <v>43</v>
      </c>
      <c r="C45" s="73">
        <f t="shared" ref="C45:AA45" si="22">CHOOSE(Nominal_Real_Switch,1/(1+Loaded_Discount_Rate),1/((1+Loaded_Discount_Rate)*(1+Inflation)))^(C$3-System_Age)</f>
        <v>0.88788333141994491</v>
      </c>
      <c r="D45" s="73">
        <f t="shared" si="22"/>
        <v>0.78833681021337976</v>
      </c>
      <c r="E45" s="73">
        <f t="shared" si="22"/>
        <v>0.69995111333322846</v>
      </c>
      <c r="F45" s="73">
        <f t="shared" si="22"/>
        <v>0.62147492633740631</v>
      </c>
      <c r="G45" s="73">
        <f t="shared" si="22"/>
        <v>0.55179722799042119</v>
      </c>
      <c r="H45" s="73">
        <f t="shared" si="22"/>
        <v>0.48993156105642605</v>
      </c>
      <c r="I45" s="73">
        <f t="shared" si="22"/>
        <v>0.43500206659855367</v>
      </c>
      <c r="J45" s="73">
        <f t="shared" si="22"/>
        <v>0.38623108406608458</v>
      </c>
      <c r="K45" s="73">
        <f t="shared" si="22"/>
        <v>0.34292814161853197</v>
      </c>
      <c r="L45" s="73">
        <f t="shared" si="22"/>
        <v>0.30448018081791284</v>
      </c>
      <c r="M45" s="73">
        <f t="shared" si="22"/>
        <v>0.27034287729595569</v>
      </c>
      <c r="N45" s="73">
        <f t="shared" si="22"/>
        <v>0.2400329345191865</v>
      </c>
      <c r="O45" s="73">
        <f t="shared" si="22"/>
        <v>0.2131212415514008</v>
      </c>
      <c r="P45" s="73">
        <f t="shared" si="22"/>
        <v>0.18922679794501254</v>
      </c>
      <c r="Q45" s="73">
        <f t="shared" si="22"/>
        <v>0.16801131975334652</v>
      </c>
      <c r="R45" s="73">
        <f t="shared" si="22"/>
        <v>0.14917445029886289</v>
      </c>
      <c r="S45" s="73">
        <f t="shared" si="22"/>
        <v>0.13244950789409338</v>
      </c>
      <c r="T45" s="73">
        <f t="shared" si="22"/>
        <v>0.11759971031393993</v>
      </c>
      <c r="U45" s="73">
        <f t="shared" si="22"/>
        <v>0.10441482256756143</v>
      </c>
      <c r="V45" s="73">
        <f t="shared" si="22"/>
        <v>9.27081805109089E-2</v>
      </c>
      <c r="W45" s="73">
        <f t="shared" si="22"/>
        <v>8.2314048161907405E-2</v>
      </c>
      <c r="X45" s="73">
        <f t="shared" si="22"/>
        <v>7.3085271304656141E-2</v>
      </c>
      <c r="Y45" s="73">
        <f t="shared" si="22"/>
        <v>6.4891194163708588E-2</v>
      </c>
      <c r="Z45" s="73">
        <f t="shared" si="22"/>
        <v>5.7615809653892069E-2</v>
      </c>
      <c r="AA45" s="73">
        <f t="shared" si="22"/>
        <v>5.1156117017955111E-2</v>
      </c>
    </row>
    <row r="46" spans="2:27" x14ac:dyDescent="0.25">
      <c r="B46" s="23" t="s">
        <v>44</v>
      </c>
      <c r="C46" s="73">
        <f t="shared" ref="C46:AA46" si="23">CHOOSE(Nominal_Real_Switch,(1+Inflation)/(1+Loaded_Discount_Rate),1/(1+Loaded_Discount_Rate))^(C$3-System_Age)</f>
        <v>0.91008041470544343</v>
      </c>
      <c r="D46" s="73">
        <f t="shared" si="23"/>
        <v>0.82824636123043194</v>
      </c>
      <c r="E46" s="73">
        <f t="shared" si="23"/>
        <v>0.75377079190686602</v>
      </c>
      <c r="F46" s="73">
        <f t="shared" si="23"/>
        <v>0.68599203489145111</v>
      </c>
      <c r="G46" s="73">
        <f t="shared" si="23"/>
        <v>0.62430791559864285</v>
      </c>
      <c r="H46" s="73">
        <f t="shared" si="23"/>
        <v>0.56817040673190389</v>
      </c>
      <c r="I46" s="73">
        <f t="shared" si="23"/>
        <v>0.51708075938193154</v>
      </c>
      <c r="J46" s="73">
        <f t="shared" si="23"/>
        <v>0.47058507193451388</v>
      </c>
      <c r="K46" s="73">
        <f t="shared" si="23"/>
        <v>0.4282702574203533</v>
      </c>
      <c r="L46" s="73">
        <f t="shared" si="23"/>
        <v>0.38976037347912218</v>
      </c>
      <c r="M46" s="73">
        <f t="shared" si="23"/>
        <v>0.35471328233162802</v>
      </c>
      <c r="N46" s="73">
        <f t="shared" si="23"/>
        <v>0.32281761108589707</v>
      </c>
      <c r="O46" s="73">
        <f t="shared" si="23"/>
        <v>0.29378998537127377</v>
      </c>
      <c r="P46" s="73">
        <f t="shared" si="23"/>
        <v>0.26737251172299498</v>
      </c>
      <c r="Q46" s="73">
        <f t="shared" si="23"/>
        <v>0.24333048634969931</v>
      </c>
      <c r="R46" s="73">
        <f t="shared" si="23"/>
        <v>0.22145030992761161</v>
      </c>
      <c r="S46" s="73">
        <f t="shared" si="23"/>
        <v>0.20153758989556975</v>
      </c>
      <c r="T46" s="73">
        <f t="shared" si="23"/>
        <v>0.1834154133908957</v>
      </c>
      <c r="U46" s="73">
        <f t="shared" si="23"/>
        <v>0.16692277548215673</v>
      </c>
      <c r="V46" s="73">
        <f t="shared" si="23"/>
        <v>0.15191314873458481</v>
      </c>
      <c r="W46" s="73">
        <f t="shared" si="23"/>
        <v>0.13825318139958065</v>
      </c>
      <c r="X46" s="73">
        <f t="shared" si="23"/>
        <v>0.12582151266247726</v>
      </c>
      <c r="Y46" s="73">
        <f t="shared" si="23"/>
        <v>0.11450769442273351</v>
      </c>
      <c r="Z46" s="73">
        <f t="shared" si="23"/>
        <v>0.1042112100272055</v>
      </c>
      <c r="AA46" s="73">
        <f t="shared" si="23"/>
        <v>9.4840581238515242E-2</v>
      </c>
    </row>
    <row r="47" spans="2:27" x14ac:dyDescent="0.25">
      <c r="B47" s="23" t="s">
        <v>45</v>
      </c>
      <c r="C47" s="73">
        <f t="shared" ref="C47:AA47" si="24">1/((1+Inflation)^(C$3-System_Age))</f>
        <v>0.97560975609756106</v>
      </c>
      <c r="D47" s="73">
        <f t="shared" si="24"/>
        <v>0.95181439619274244</v>
      </c>
      <c r="E47" s="73">
        <f t="shared" si="24"/>
        <v>0.92859941091974885</v>
      </c>
      <c r="F47" s="73">
        <f t="shared" si="24"/>
        <v>0.90595064479975507</v>
      </c>
      <c r="G47" s="73">
        <f t="shared" si="24"/>
        <v>0.88385428760951712</v>
      </c>
      <c r="H47" s="73">
        <f t="shared" si="24"/>
        <v>0.86229686596050459</v>
      </c>
      <c r="I47" s="73">
        <f t="shared" si="24"/>
        <v>0.84126523508341911</v>
      </c>
      <c r="J47" s="73">
        <f t="shared" si="24"/>
        <v>0.82074657081309188</v>
      </c>
      <c r="K47" s="73">
        <f t="shared" si="24"/>
        <v>0.8007283617688703</v>
      </c>
      <c r="L47" s="73">
        <f t="shared" si="24"/>
        <v>0.78119840172572708</v>
      </c>
      <c r="M47" s="73">
        <f t="shared" si="24"/>
        <v>0.7621447821714411</v>
      </c>
      <c r="N47" s="73">
        <f t="shared" si="24"/>
        <v>0.74355588504530845</v>
      </c>
      <c r="O47" s="73">
        <f t="shared" si="24"/>
        <v>0.72542037565395945</v>
      </c>
      <c r="P47" s="73">
        <f t="shared" si="24"/>
        <v>0.70772719575996057</v>
      </c>
      <c r="Q47" s="73">
        <f t="shared" si="24"/>
        <v>0.69046555683898581</v>
      </c>
      <c r="R47" s="73">
        <f t="shared" si="24"/>
        <v>0.67362493350144959</v>
      </c>
      <c r="S47" s="73">
        <f t="shared" si="24"/>
        <v>0.65719505707458503</v>
      </c>
      <c r="T47" s="73">
        <f t="shared" si="24"/>
        <v>0.64116590934105855</v>
      </c>
      <c r="U47" s="73">
        <f t="shared" si="24"/>
        <v>0.62552771643030103</v>
      </c>
      <c r="V47" s="73">
        <f t="shared" si="24"/>
        <v>0.61027094285883032</v>
      </c>
      <c r="W47" s="73">
        <f t="shared" si="24"/>
        <v>0.59538628571593211</v>
      </c>
      <c r="X47" s="73">
        <f t="shared" si="24"/>
        <v>0.5808646689911533</v>
      </c>
      <c r="Y47" s="73">
        <f t="shared" si="24"/>
        <v>0.5666972380401496</v>
      </c>
      <c r="Z47" s="73">
        <f t="shared" si="24"/>
        <v>0.55287535418551181</v>
      </c>
      <c r="AA47" s="73">
        <f t="shared" si="24"/>
        <v>0.53939058944927987</v>
      </c>
    </row>
    <row r="48" spans="2:27" x14ac:dyDescent="0.25">
      <c r="B48" s="23" t="s">
        <v>46</v>
      </c>
      <c r="C48" s="73">
        <f t="shared" ref="C48:AA48" si="25">(1+Inflation)^(C$2-Inf_Base_Year)</f>
        <v>1.0249999999999999</v>
      </c>
      <c r="D48" s="73">
        <f t="shared" si="25"/>
        <v>1.0506249999999999</v>
      </c>
      <c r="E48" s="73">
        <f t="shared" si="25"/>
        <v>1.0768906249999999</v>
      </c>
      <c r="F48" s="73">
        <f t="shared" si="25"/>
        <v>1.1038128906249998</v>
      </c>
      <c r="G48" s="73">
        <f t="shared" si="25"/>
        <v>1.1314082128906247</v>
      </c>
      <c r="H48" s="73">
        <f t="shared" si="25"/>
        <v>1.1596934182128902</v>
      </c>
      <c r="I48" s="73">
        <f t="shared" si="25"/>
        <v>1.1886857536682125</v>
      </c>
      <c r="J48" s="73">
        <f t="shared" si="25"/>
        <v>1.2184028975099177</v>
      </c>
      <c r="K48" s="73">
        <f t="shared" si="25"/>
        <v>1.2488629699476654</v>
      </c>
      <c r="L48" s="73">
        <f t="shared" si="25"/>
        <v>1.2800845441963571</v>
      </c>
      <c r="M48" s="73">
        <f t="shared" si="25"/>
        <v>1.312086657801266</v>
      </c>
      <c r="N48" s="73">
        <f t="shared" si="25"/>
        <v>1.3448888242462975</v>
      </c>
      <c r="O48" s="73">
        <f t="shared" si="25"/>
        <v>1.3785110448524549</v>
      </c>
      <c r="P48" s="73">
        <f t="shared" si="25"/>
        <v>1.4129738209737661</v>
      </c>
      <c r="Q48" s="73">
        <f t="shared" si="25"/>
        <v>1.4482981664981105</v>
      </c>
      <c r="R48" s="73">
        <f t="shared" si="25"/>
        <v>1.4845056206605631</v>
      </c>
      <c r="S48" s="73">
        <f t="shared" si="25"/>
        <v>1.521618261177077</v>
      </c>
      <c r="T48" s="73">
        <f t="shared" si="25"/>
        <v>1.559658717706504</v>
      </c>
      <c r="U48" s="73">
        <f t="shared" si="25"/>
        <v>1.5986501856491666</v>
      </c>
      <c r="V48" s="73">
        <f t="shared" si="25"/>
        <v>1.6386164402903955</v>
      </c>
      <c r="W48" s="73">
        <f t="shared" si="25"/>
        <v>1.6795818512976552</v>
      </c>
      <c r="X48" s="73">
        <f t="shared" si="25"/>
        <v>1.7215713975800966</v>
      </c>
      <c r="Y48" s="73">
        <f t="shared" si="25"/>
        <v>1.7646106825195991</v>
      </c>
      <c r="Z48" s="73">
        <f t="shared" si="25"/>
        <v>1.8087259495825889</v>
      </c>
      <c r="AA48" s="73">
        <f t="shared" si="25"/>
        <v>1.8539440983221533</v>
      </c>
    </row>
    <row r="50" spans="2:27" x14ac:dyDescent="0.25">
      <c r="B50" s="72" t="s">
        <v>47</v>
      </c>
    </row>
    <row r="51" spans="2:27" x14ac:dyDescent="0.25">
      <c r="B51" s="23" t="s">
        <v>382</v>
      </c>
      <c r="C51" s="74">
        <f>System_Size</f>
        <v>5000</v>
      </c>
    </row>
    <row r="52" spans="2:27" x14ac:dyDescent="0.25">
      <c r="B52" s="23" t="s">
        <v>386</v>
      </c>
      <c r="C52" s="24">
        <f>Zone_Capacity_Factor</f>
        <v>0.23339684815097766</v>
      </c>
    </row>
    <row r="53" spans="2:27" x14ac:dyDescent="0.25">
      <c r="B53" s="23" t="s">
        <v>48</v>
      </c>
      <c r="C53" s="75">
        <f>Degradation</f>
        <v>5.0000000000000001E-3</v>
      </c>
    </row>
    <row r="54" spans="2:27" x14ac:dyDescent="0.25">
      <c r="B54" s="23" t="s">
        <v>49</v>
      </c>
      <c r="C54" s="76">
        <f t="shared" ref="C54:AA54" si="26">1-Degradation*(C$3-1)</f>
        <v>1</v>
      </c>
      <c r="D54" s="76">
        <f t="shared" si="26"/>
        <v>0.995</v>
      </c>
      <c r="E54" s="76">
        <f t="shared" si="26"/>
        <v>0.99</v>
      </c>
      <c r="F54" s="76">
        <f t="shared" si="26"/>
        <v>0.98499999999999999</v>
      </c>
      <c r="G54" s="76">
        <f t="shared" si="26"/>
        <v>0.98</v>
      </c>
      <c r="H54" s="76">
        <f t="shared" si="26"/>
        <v>0.97499999999999998</v>
      </c>
      <c r="I54" s="76">
        <f t="shared" si="26"/>
        <v>0.97</v>
      </c>
      <c r="J54" s="76">
        <f t="shared" si="26"/>
        <v>0.96499999999999997</v>
      </c>
      <c r="K54" s="76">
        <f t="shared" si="26"/>
        <v>0.96</v>
      </c>
      <c r="L54" s="76">
        <f t="shared" si="26"/>
        <v>0.95499999999999996</v>
      </c>
      <c r="M54" s="76">
        <f t="shared" si="26"/>
        <v>0.95</v>
      </c>
      <c r="N54" s="76">
        <f t="shared" si="26"/>
        <v>0.94499999999999995</v>
      </c>
      <c r="O54" s="76">
        <f t="shared" si="26"/>
        <v>0.94</v>
      </c>
      <c r="P54" s="76">
        <f t="shared" si="26"/>
        <v>0.93500000000000005</v>
      </c>
      <c r="Q54" s="76">
        <f t="shared" si="26"/>
        <v>0.92999999999999994</v>
      </c>
      <c r="R54" s="76">
        <f t="shared" si="26"/>
        <v>0.92500000000000004</v>
      </c>
      <c r="S54" s="76">
        <f t="shared" si="26"/>
        <v>0.92</v>
      </c>
      <c r="T54" s="76">
        <f t="shared" si="26"/>
        <v>0.91500000000000004</v>
      </c>
      <c r="U54" s="76">
        <f t="shared" si="26"/>
        <v>0.91</v>
      </c>
      <c r="V54" s="76">
        <f t="shared" si="26"/>
        <v>0.90500000000000003</v>
      </c>
      <c r="W54" s="76">
        <f t="shared" si="26"/>
        <v>0.9</v>
      </c>
      <c r="X54" s="76">
        <f t="shared" si="26"/>
        <v>0.89500000000000002</v>
      </c>
      <c r="Y54" s="76">
        <f t="shared" si="26"/>
        <v>0.89</v>
      </c>
      <c r="Z54" s="76">
        <f t="shared" si="26"/>
        <v>0.88500000000000001</v>
      </c>
      <c r="AA54" s="76">
        <f t="shared" si="26"/>
        <v>0.88</v>
      </c>
    </row>
    <row r="55" spans="2:27" x14ac:dyDescent="0.25">
      <c r="B55" s="23" t="s">
        <v>50</v>
      </c>
      <c r="C55" s="74">
        <f t="shared" ref="C55:AA55" si="27">VLOOKUP(C$2,Days_per_Year,2,FALSE)</f>
        <v>365</v>
      </c>
      <c r="D55" s="74">
        <f t="shared" si="27"/>
        <v>366</v>
      </c>
      <c r="E55" s="74">
        <f t="shared" si="27"/>
        <v>365</v>
      </c>
      <c r="F55" s="74">
        <f t="shared" si="27"/>
        <v>365</v>
      </c>
      <c r="G55" s="74">
        <f t="shared" si="27"/>
        <v>365</v>
      </c>
      <c r="H55" s="74">
        <f t="shared" si="27"/>
        <v>366</v>
      </c>
      <c r="I55" s="74">
        <f t="shared" si="27"/>
        <v>365</v>
      </c>
      <c r="J55" s="74">
        <f t="shared" si="27"/>
        <v>365</v>
      </c>
      <c r="K55" s="74">
        <f t="shared" si="27"/>
        <v>365</v>
      </c>
      <c r="L55" s="74">
        <f t="shared" si="27"/>
        <v>366</v>
      </c>
      <c r="M55" s="74">
        <f t="shared" si="27"/>
        <v>365</v>
      </c>
      <c r="N55" s="74">
        <f t="shared" si="27"/>
        <v>365</v>
      </c>
      <c r="O55" s="74">
        <f t="shared" si="27"/>
        <v>365</v>
      </c>
      <c r="P55" s="74">
        <f t="shared" si="27"/>
        <v>366</v>
      </c>
      <c r="Q55" s="74">
        <f t="shared" si="27"/>
        <v>365</v>
      </c>
      <c r="R55" s="74">
        <f t="shared" si="27"/>
        <v>365</v>
      </c>
      <c r="S55" s="74">
        <f t="shared" si="27"/>
        <v>365</v>
      </c>
      <c r="T55" s="74">
        <f t="shared" si="27"/>
        <v>366</v>
      </c>
      <c r="U55" s="74">
        <f t="shared" si="27"/>
        <v>365</v>
      </c>
      <c r="V55" s="74">
        <f t="shared" si="27"/>
        <v>365</v>
      </c>
      <c r="W55" s="74">
        <f t="shared" si="27"/>
        <v>365</v>
      </c>
      <c r="X55" s="74">
        <f t="shared" si="27"/>
        <v>366</v>
      </c>
      <c r="Y55" s="74">
        <f t="shared" si="27"/>
        <v>365</v>
      </c>
      <c r="Z55" s="74">
        <f t="shared" si="27"/>
        <v>365</v>
      </c>
      <c r="AA55" s="74">
        <f t="shared" si="27"/>
        <v>365</v>
      </c>
    </row>
    <row r="56" spans="2:27" x14ac:dyDescent="0.25">
      <c r="B56" s="23" t="s">
        <v>270</v>
      </c>
      <c r="C56" s="74">
        <f t="shared" ref="C56:AA56" si="28">System_Size*24*C$55*Zone_Capacity_Factor*C$54</f>
        <v>10222781.949012822</v>
      </c>
      <c r="D56" s="74">
        <f t="shared" si="28"/>
        <v>10199535.622936985</v>
      </c>
      <c r="E56" s="74">
        <f t="shared" si="28"/>
        <v>10120554.129522692</v>
      </c>
      <c r="F56" s="74">
        <f t="shared" si="28"/>
        <v>10069440.219777629</v>
      </c>
      <c r="G56" s="74">
        <f t="shared" si="28"/>
        <v>10018326.310032565</v>
      </c>
      <c r="H56" s="74">
        <f t="shared" si="28"/>
        <v>9994519.8315211646</v>
      </c>
      <c r="I56" s="74">
        <f t="shared" si="28"/>
        <v>9916098.490542436</v>
      </c>
      <c r="J56" s="74">
        <f t="shared" si="28"/>
        <v>9864984.5807973724</v>
      </c>
      <c r="K56" s="74">
        <f t="shared" si="28"/>
        <v>9813870.6710523088</v>
      </c>
      <c r="L56" s="74">
        <f t="shared" si="28"/>
        <v>9789504.0401053466</v>
      </c>
      <c r="M56" s="74">
        <f t="shared" si="28"/>
        <v>9711642.8515621796</v>
      </c>
      <c r="N56" s="74">
        <f t="shared" si="28"/>
        <v>9660528.941817116</v>
      </c>
      <c r="O56" s="74">
        <f t="shared" si="28"/>
        <v>9609415.0320720524</v>
      </c>
      <c r="P56" s="74">
        <f t="shared" si="28"/>
        <v>9584488.2486895286</v>
      </c>
      <c r="Q56" s="74">
        <f t="shared" si="28"/>
        <v>9507187.2125819232</v>
      </c>
      <c r="R56" s="74">
        <f t="shared" si="28"/>
        <v>9456073.3028368596</v>
      </c>
      <c r="S56" s="74">
        <f t="shared" si="28"/>
        <v>9404959.393091796</v>
      </c>
      <c r="T56" s="74">
        <f t="shared" si="28"/>
        <v>9379472.4572737087</v>
      </c>
      <c r="U56" s="74">
        <f t="shared" si="28"/>
        <v>9302731.5736016687</v>
      </c>
      <c r="V56" s="74">
        <f t="shared" si="28"/>
        <v>9251617.6638566032</v>
      </c>
      <c r="W56" s="74">
        <f t="shared" si="28"/>
        <v>9200503.7541115396</v>
      </c>
      <c r="X56" s="74">
        <f t="shared" si="28"/>
        <v>9174456.6658578906</v>
      </c>
      <c r="Y56" s="74">
        <f t="shared" si="28"/>
        <v>9098275.9346214104</v>
      </c>
      <c r="Z56" s="74">
        <f t="shared" si="28"/>
        <v>9047162.0248763468</v>
      </c>
      <c r="AA56" s="74">
        <f t="shared" si="28"/>
        <v>8996048.1151312832</v>
      </c>
    </row>
    <row r="57" spans="2:27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spans="2:27" x14ac:dyDescent="0.25">
      <c r="B58" s="72" t="s">
        <v>260</v>
      </c>
    </row>
    <row r="59" spans="2:27" x14ac:dyDescent="0.25">
      <c r="B59" s="23" t="s">
        <v>51</v>
      </c>
      <c r="C59" s="23">
        <f>Utility_Loss_Adjustment</f>
        <v>1.0728</v>
      </c>
    </row>
    <row r="60" spans="2:27" x14ac:dyDescent="0.25">
      <c r="B60" s="23" t="s">
        <v>52</v>
      </c>
      <c r="C60" s="24">
        <f>Fraction_of_Credits</f>
        <v>0.95</v>
      </c>
    </row>
    <row r="61" spans="2:27" x14ac:dyDescent="0.25">
      <c r="B61" s="23" t="s">
        <v>53</v>
      </c>
      <c r="C61" s="26">
        <f t="shared" ref="C61:AA61" si="29">IF(C$3&lt;=System_Age,0,VLOOKUP(Plant_Type&amp;"-"&amp;NYISO_Zone,Forecast_Energy_VDER,MATCH(C$2,Forecast_Energy_Header,0),FALSE))</f>
        <v>55.575904846191413</v>
      </c>
      <c r="D61" s="26">
        <f t="shared" si="29"/>
        <v>44.727138519287109</v>
      </c>
      <c r="E61" s="26">
        <f t="shared" si="29"/>
        <v>39.137470245361328</v>
      </c>
      <c r="F61" s="26">
        <f t="shared" si="29"/>
        <v>44.204486846923828</v>
      </c>
      <c r="G61" s="26">
        <f t="shared" si="29"/>
        <v>42.380153656005859</v>
      </c>
      <c r="H61" s="26">
        <f t="shared" si="29"/>
        <v>39.525348663330078</v>
      </c>
      <c r="I61" s="26">
        <f t="shared" si="29"/>
        <v>36.473468780517578</v>
      </c>
      <c r="J61" s="26">
        <f t="shared" si="29"/>
        <v>33.217666625976563</v>
      </c>
      <c r="K61" s="26">
        <f t="shared" si="29"/>
        <v>30.819290161132809</v>
      </c>
      <c r="L61" s="26">
        <f t="shared" si="29"/>
        <v>28.07244873046875</v>
      </c>
      <c r="M61" s="26">
        <f t="shared" si="29"/>
        <v>23.719635009765629</v>
      </c>
      <c r="N61" s="26">
        <f t="shared" si="29"/>
        <v>20.831192016601559</v>
      </c>
      <c r="O61" s="26">
        <f t="shared" si="29"/>
        <v>19.041025161743161</v>
      </c>
      <c r="P61" s="26">
        <f t="shared" si="29"/>
        <v>18.35466384887695</v>
      </c>
      <c r="Q61" s="26">
        <f t="shared" si="29"/>
        <v>17.66750335693359</v>
      </c>
      <c r="R61" s="26">
        <f t="shared" si="29"/>
        <v>17.305080413818359</v>
      </c>
      <c r="S61" s="26">
        <f t="shared" si="29"/>
        <v>16.86081695556641</v>
      </c>
      <c r="T61" s="26">
        <f t="shared" si="29"/>
        <v>16.1634407043457</v>
      </c>
      <c r="U61" s="26">
        <f t="shared" si="29"/>
        <v>16.33798789978027</v>
      </c>
      <c r="V61" s="26">
        <f t="shared" si="29"/>
        <v>16.415983200073239</v>
      </c>
      <c r="W61" s="26">
        <f t="shared" si="29"/>
        <v>15.85454750061035</v>
      </c>
      <c r="X61" s="26">
        <f t="shared" si="29"/>
        <v>16.072273254394531</v>
      </c>
      <c r="Y61" s="26">
        <f t="shared" si="29"/>
        <v>16.09664154052734</v>
      </c>
      <c r="Z61" s="26">
        <f t="shared" si="29"/>
        <v>16.783699035644531</v>
      </c>
      <c r="AA61" s="26">
        <f t="shared" si="29"/>
        <v>16.714292526245121</v>
      </c>
    </row>
    <row r="62" spans="2:27" x14ac:dyDescent="0.25">
      <c r="B62" s="23" t="s">
        <v>261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 spans="2:27" x14ac:dyDescent="0.25">
      <c r="B63" s="78" t="s">
        <v>54</v>
      </c>
      <c r="C63" s="79">
        <f t="shared" ref="C63:AA63" si="30">C$64*C$48</f>
        <v>593501.57425164909</v>
      </c>
      <c r="D63" s="79">
        <f t="shared" si="30"/>
        <v>488474.18223156291</v>
      </c>
      <c r="E63" s="79">
        <f t="shared" si="30"/>
        <v>434721.38907433808</v>
      </c>
      <c r="F63" s="79">
        <f t="shared" si="30"/>
        <v>500736.80391123967</v>
      </c>
      <c r="G63" s="79">
        <f t="shared" si="30"/>
        <v>489575.18556408107</v>
      </c>
      <c r="H63" s="79">
        <f t="shared" si="30"/>
        <v>466899.28213545989</v>
      </c>
      <c r="I63" s="79">
        <f t="shared" si="30"/>
        <v>438154.55213699525</v>
      </c>
      <c r="J63" s="79">
        <f t="shared" si="30"/>
        <v>406910.43404537643</v>
      </c>
      <c r="K63" s="79">
        <f t="shared" si="30"/>
        <v>384964.00228284171</v>
      </c>
      <c r="L63" s="79">
        <f t="shared" si="30"/>
        <v>358527.11904541153</v>
      </c>
      <c r="M63" s="79">
        <f t="shared" si="30"/>
        <v>308038.92145934835</v>
      </c>
      <c r="N63" s="79">
        <f t="shared" si="30"/>
        <v>275831.4503068995</v>
      </c>
      <c r="O63" s="79">
        <f t="shared" si="30"/>
        <v>257063.19332462293</v>
      </c>
      <c r="P63" s="79">
        <f t="shared" si="30"/>
        <v>253333.04893656855</v>
      </c>
      <c r="Q63" s="79">
        <f t="shared" si="30"/>
        <v>247929.14316651243</v>
      </c>
      <c r="R63" s="79">
        <f t="shared" si="30"/>
        <v>247576.07204990002</v>
      </c>
      <c r="S63" s="79">
        <f t="shared" si="30"/>
        <v>245914.20733730515</v>
      </c>
      <c r="T63" s="79">
        <f t="shared" si="30"/>
        <v>240981.76114604541</v>
      </c>
      <c r="U63" s="79">
        <f t="shared" si="30"/>
        <v>247630.92071558555</v>
      </c>
      <c r="V63" s="79">
        <f t="shared" si="30"/>
        <v>253632.12104614812</v>
      </c>
      <c r="W63" s="79">
        <f t="shared" si="30"/>
        <v>249694.51461975105</v>
      </c>
      <c r="X63" s="79">
        <f t="shared" si="30"/>
        <v>258717.06153274124</v>
      </c>
      <c r="Y63" s="79">
        <f t="shared" si="30"/>
        <v>263381.73304529372</v>
      </c>
      <c r="Z63" s="79">
        <f t="shared" si="30"/>
        <v>279907.92246805708</v>
      </c>
      <c r="AA63" s="79">
        <f t="shared" si="30"/>
        <v>284104.93212619808</v>
      </c>
    </row>
    <row r="64" spans="2:27" x14ac:dyDescent="0.25">
      <c r="B64" s="78" t="str">
        <f>"Real "&amp;"$ "&amp;TEXT(Inf_Base_Year,"0000")</f>
        <v>Real $ 2022</v>
      </c>
      <c r="C64" s="79">
        <f t="shared" ref="C64:AA64" si="31">(C$56/1000)*Fraction_of_Credits*Utility_Loss_Adjustment*C$61</f>
        <v>579025.92609916988</v>
      </c>
      <c r="D64" s="79">
        <f t="shared" si="31"/>
        <v>464936.75881647872</v>
      </c>
      <c r="E64" s="79">
        <f t="shared" si="31"/>
        <v>403682.02580864524</v>
      </c>
      <c r="F64" s="79">
        <f t="shared" si="31"/>
        <v>453642.83037835604</v>
      </c>
      <c r="G64" s="79">
        <f t="shared" si="31"/>
        <v>432713.12686803803</v>
      </c>
      <c r="H64" s="79">
        <f t="shared" si="31"/>
        <v>402605.78770461649</v>
      </c>
      <c r="I64" s="79">
        <f t="shared" si="31"/>
        <v>368604.19230639952</v>
      </c>
      <c r="J64" s="79">
        <f t="shared" si="31"/>
        <v>333970.34337080951</v>
      </c>
      <c r="K64" s="79">
        <f t="shared" si="31"/>
        <v>308251.59488792747</v>
      </c>
      <c r="L64" s="79">
        <f t="shared" si="31"/>
        <v>280080.81237360497</v>
      </c>
      <c r="M64" s="79">
        <f t="shared" si="31"/>
        <v>234770.25669596071</v>
      </c>
      <c r="N64" s="79">
        <f t="shared" si="31"/>
        <v>205096.09815627767</v>
      </c>
      <c r="O64" s="79">
        <f t="shared" si="31"/>
        <v>186478.87826835437</v>
      </c>
      <c r="P64" s="79">
        <f t="shared" si="31"/>
        <v>179290.68831719851</v>
      </c>
      <c r="Q64" s="79">
        <f t="shared" si="31"/>
        <v>171186.53389307862</v>
      </c>
      <c r="R64" s="79">
        <f t="shared" si="31"/>
        <v>166773.415071164</v>
      </c>
      <c r="S64" s="79">
        <f t="shared" si="31"/>
        <v>161613.60152649161</v>
      </c>
      <c r="T64" s="79">
        <f t="shared" si="31"/>
        <v>154509.29001981398</v>
      </c>
      <c r="U64" s="79">
        <f t="shared" si="31"/>
        <v>154900.00435275317</v>
      </c>
      <c r="V64" s="79">
        <f t="shared" si="31"/>
        <v>154784.31365011781</v>
      </c>
      <c r="W64" s="79">
        <f t="shared" si="31"/>
        <v>148664.68962309608</v>
      </c>
      <c r="X64" s="79">
        <f t="shared" si="31"/>
        <v>150279.60030957957</v>
      </c>
      <c r="Y64" s="79">
        <f t="shared" si="31"/>
        <v>149257.70066699595</v>
      </c>
      <c r="Z64" s="79">
        <f t="shared" si="31"/>
        <v>154754.19177385783</v>
      </c>
      <c r="AA64" s="79">
        <f t="shared" si="31"/>
        <v>153243.52680499764</v>
      </c>
    </row>
    <row r="66" spans="2:27" x14ac:dyDescent="0.25">
      <c r="B66" s="72" t="s">
        <v>259</v>
      </c>
    </row>
    <row r="67" spans="2:27" x14ac:dyDescent="0.25">
      <c r="B67" s="23" t="s">
        <v>52</v>
      </c>
      <c r="C67" s="24">
        <f>Fraction_of_Credits</f>
        <v>0.95</v>
      </c>
    </row>
    <row r="68" spans="2:27" x14ac:dyDescent="0.25">
      <c r="B68" s="23" t="s">
        <v>382</v>
      </c>
      <c r="C68" s="74">
        <f>System_Size</f>
        <v>5000</v>
      </c>
      <c r="D68" s="80" t="s">
        <v>55</v>
      </c>
    </row>
    <row r="69" spans="2:27" x14ac:dyDescent="0.25">
      <c r="B69" s="23" t="s">
        <v>49</v>
      </c>
      <c r="C69" s="83">
        <f t="shared" ref="C69:AA69" si="32">1-Degradation*(C$3-1)</f>
        <v>1</v>
      </c>
      <c r="D69" s="83">
        <f t="shared" si="32"/>
        <v>0.995</v>
      </c>
      <c r="E69" s="83">
        <f t="shared" si="32"/>
        <v>0.99</v>
      </c>
      <c r="F69" s="83">
        <f t="shared" si="32"/>
        <v>0.98499999999999999</v>
      </c>
      <c r="G69" s="83">
        <f t="shared" si="32"/>
        <v>0.98</v>
      </c>
      <c r="H69" s="83">
        <f t="shared" si="32"/>
        <v>0.97499999999999998</v>
      </c>
      <c r="I69" s="83">
        <f t="shared" si="32"/>
        <v>0.97</v>
      </c>
      <c r="J69" s="83">
        <f t="shared" si="32"/>
        <v>0.96499999999999997</v>
      </c>
      <c r="K69" s="83">
        <f t="shared" si="32"/>
        <v>0.96</v>
      </c>
      <c r="L69" s="83">
        <f t="shared" si="32"/>
        <v>0.95499999999999996</v>
      </c>
      <c r="M69" s="83">
        <f t="shared" si="32"/>
        <v>0.95</v>
      </c>
      <c r="N69" s="83">
        <f t="shared" si="32"/>
        <v>0.94499999999999995</v>
      </c>
      <c r="O69" s="83">
        <f t="shared" si="32"/>
        <v>0.94</v>
      </c>
      <c r="P69" s="83">
        <f t="shared" si="32"/>
        <v>0.93500000000000005</v>
      </c>
      <c r="Q69" s="83">
        <f t="shared" si="32"/>
        <v>0.92999999999999994</v>
      </c>
      <c r="R69" s="83">
        <f t="shared" si="32"/>
        <v>0.92500000000000004</v>
      </c>
      <c r="S69" s="83">
        <f t="shared" si="32"/>
        <v>0.92</v>
      </c>
      <c r="T69" s="83">
        <f t="shared" si="32"/>
        <v>0.91500000000000004</v>
      </c>
      <c r="U69" s="83">
        <f t="shared" si="32"/>
        <v>0.91</v>
      </c>
      <c r="V69" s="83">
        <f t="shared" si="32"/>
        <v>0.90500000000000003</v>
      </c>
      <c r="W69" s="83">
        <f t="shared" si="32"/>
        <v>0.9</v>
      </c>
      <c r="X69" s="83">
        <f t="shared" si="32"/>
        <v>0.89500000000000002</v>
      </c>
      <c r="Y69" s="83">
        <f t="shared" si="32"/>
        <v>0.89</v>
      </c>
      <c r="Z69" s="83">
        <f t="shared" si="32"/>
        <v>0.88500000000000001</v>
      </c>
      <c r="AA69" s="83">
        <f t="shared" si="32"/>
        <v>0.88</v>
      </c>
    </row>
    <row r="70" spans="2:27" x14ac:dyDescent="0.25">
      <c r="B70" s="23" t="s">
        <v>56</v>
      </c>
      <c r="C70" s="26">
        <f t="shared" ref="C70:AA70" si="33">IF((C$3&lt;=System_Age),0,VLOOKUP(Plant_Type&amp;"-"&amp;NYISO_Zone,Forecast_ICAP,MATCH(C$2,Forecast_ICAP_Header,0),FALSE))</f>
        <v>10.541406450933867</v>
      </c>
      <c r="D70" s="26">
        <f t="shared" si="33"/>
        <v>7.0987649674941062</v>
      </c>
      <c r="E70" s="26">
        <f t="shared" si="33"/>
        <v>6.8318512349014586</v>
      </c>
      <c r="F70" s="26">
        <f t="shared" si="33"/>
        <v>6.603779015058552</v>
      </c>
      <c r="G70" s="26">
        <f t="shared" si="33"/>
        <v>6.2105406072806844</v>
      </c>
      <c r="H70" s="26">
        <f t="shared" si="33"/>
        <v>5.7925478789478237</v>
      </c>
      <c r="I70" s="26">
        <f t="shared" si="33"/>
        <v>5.4419384503703938</v>
      </c>
      <c r="J70" s="26">
        <f t="shared" si="33"/>
        <v>5.0846071184170585</v>
      </c>
      <c r="K70" s="26">
        <f t="shared" si="33"/>
        <v>4.7645476942520597</v>
      </c>
      <c r="L70" s="26">
        <f t="shared" si="33"/>
        <v>4.3458473102332125</v>
      </c>
      <c r="M70" s="26">
        <f t="shared" si="33"/>
        <v>3.9544104087605794</v>
      </c>
      <c r="N70" s="26">
        <f t="shared" si="33"/>
        <v>3.4643239676213167</v>
      </c>
      <c r="O70" s="26">
        <f t="shared" si="33"/>
        <v>2.8373418560692256</v>
      </c>
      <c r="P70" s="26">
        <f t="shared" si="33"/>
        <v>2.5849513444683496</v>
      </c>
      <c r="Q70" s="26">
        <f t="shared" si="33"/>
        <v>2.3085603535098627</v>
      </c>
      <c r="R70" s="26">
        <f t="shared" si="33"/>
        <v>3.7914237493626803</v>
      </c>
      <c r="S70" s="26">
        <f t="shared" si="33"/>
        <v>5.4974255314065674</v>
      </c>
      <c r="T70" s="26">
        <f t="shared" si="33"/>
        <v>4.7344528032588711</v>
      </c>
      <c r="U70" s="26">
        <f t="shared" si="33"/>
        <v>4.4599203236848464</v>
      </c>
      <c r="V70" s="26">
        <f t="shared" si="33"/>
        <v>4.5989373881994329</v>
      </c>
      <c r="W70" s="26">
        <f t="shared" si="33"/>
        <v>4.7744139605551146</v>
      </c>
      <c r="X70" s="26">
        <f t="shared" si="33"/>
        <v>5.8206979584239633</v>
      </c>
      <c r="Y70" s="26">
        <f t="shared" si="33"/>
        <v>6.6941787398196668</v>
      </c>
      <c r="Z70" s="26">
        <f t="shared" si="33"/>
        <v>7.0408103749516089</v>
      </c>
      <c r="AA70" s="26">
        <f t="shared" si="33"/>
        <v>6.460663480396537</v>
      </c>
    </row>
    <row r="71" spans="2:27" x14ac:dyDescent="0.25">
      <c r="B71" s="23" t="s">
        <v>258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2:27" x14ac:dyDescent="0.25">
      <c r="B72" s="78" t="s">
        <v>54</v>
      </c>
      <c r="C72" s="79">
        <f t="shared" ref="C72:AA72" si="34">C$73*C$48</f>
        <v>51323.472657984261</v>
      </c>
      <c r="D72" s="79">
        <f t="shared" si="34"/>
        <v>35249.033910204729</v>
      </c>
      <c r="E72" s="79">
        <f t="shared" si="34"/>
        <v>34597.028658787895</v>
      </c>
      <c r="F72" s="79">
        <f t="shared" si="34"/>
        <v>34104.98269862654</v>
      </c>
      <c r="G72" s="79">
        <f t="shared" si="34"/>
        <v>32709.086703739478</v>
      </c>
      <c r="H72" s="79">
        <f t="shared" si="34"/>
        <v>31110.790753593952</v>
      </c>
      <c r="I72" s="79">
        <f t="shared" si="34"/>
        <v>29804.787318467166</v>
      </c>
      <c r="J72" s="79">
        <f t="shared" si="34"/>
        <v>28396.789834839023</v>
      </c>
      <c r="K72" s="79">
        <f t="shared" si="34"/>
        <v>27133.218358588234</v>
      </c>
      <c r="L72" s="79">
        <f t="shared" si="34"/>
        <v>25235.394513731735</v>
      </c>
      <c r="M72" s="79">
        <f t="shared" si="34"/>
        <v>23413.237729833494</v>
      </c>
      <c r="N72" s="79">
        <f t="shared" si="34"/>
        <v>20913.672425190503</v>
      </c>
      <c r="O72" s="79">
        <f t="shared" si="34"/>
        <v>17463.986141729689</v>
      </c>
      <c r="P72" s="79">
        <f t="shared" si="34"/>
        <v>16221.526073040526</v>
      </c>
      <c r="Q72" s="79">
        <f t="shared" si="34"/>
        <v>14769.839365076357</v>
      </c>
      <c r="R72" s="79">
        <f t="shared" si="34"/>
        <v>24729.737974769349</v>
      </c>
      <c r="S72" s="79">
        <f t="shared" si="34"/>
        <v>36554.976051075573</v>
      </c>
      <c r="T72" s="79">
        <f t="shared" si="34"/>
        <v>32093.277568845569</v>
      </c>
      <c r="U72" s="79">
        <f t="shared" si="34"/>
        <v>30818.787229991249</v>
      </c>
      <c r="V72" s="79">
        <f t="shared" si="34"/>
        <v>32394.926104314771</v>
      </c>
      <c r="W72" s="79">
        <f t="shared" si="34"/>
        <v>34281.306390573016</v>
      </c>
      <c r="X72" s="79">
        <f t="shared" si="34"/>
        <v>42600.701190395092</v>
      </c>
      <c r="Y72" s="79">
        <f t="shared" si="34"/>
        <v>49937.848154083753</v>
      </c>
      <c r="Z72" s="79">
        <f t="shared" si="34"/>
        <v>53534.320872931472</v>
      </c>
      <c r="AA72" s="79">
        <f t="shared" si="34"/>
        <v>50066.823330437284</v>
      </c>
    </row>
    <row r="73" spans="2:27" x14ac:dyDescent="0.25">
      <c r="B73" s="78" t="str">
        <f>"Real "&amp;"$ "&amp;TEXT(Inf_Base_Year,"0000")</f>
        <v>Real $ 2022</v>
      </c>
      <c r="C73" s="79">
        <f t="shared" ref="C73:AA73" si="35">System_Size*C$69*Fraction_of_Credits*C$70</f>
        <v>50071.680641935869</v>
      </c>
      <c r="D73" s="79">
        <f t="shared" si="35"/>
        <v>33550.537927619022</v>
      </c>
      <c r="E73" s="79">
        <f t="shared" si="35"/>
        <v>32126.780432124109</v>
      </c>
      <c r="F73" s="79">
        <f t="shared" si="35"/>
        <v>30897.431066705201</v>
      </c>
      <c r="G73" s="79">
        <f t="shared" si="35"/>
        <v>28910.066526891587</v>
      </c>
      <c r="H73" s="79">
        <f t="shared" si="35"/>
        <v>26826.73736437711</v>
      </c>
      <c r="I73" s="79">
        <f t="shared" si="35"/>
        <v>25073.731410081589</v>
      </c>
      <c r="J73" s="79">
        <f t="shared" si="35"/>
        <v>23306.567879044193</v>
      </c>
      <c r="K73" s="79">
        <f t="shared" si="35"/>
        <v>21726.33748578939</v>
      </c>
      <c r="L73" s="79">
        <f t="shared" si="35"/>
        <v>19713.849861045412</v>
      </c>
      <c r="M73" s="79">
        <f t="shared" si="35"/>
        <v>17844.276969532115</v>
      </c>
      <c r="N73" s="79">
        <f t="shared" si="35"/>
        <v>15550.484209660186</v>
      </c>
      <c r="O73" s="79">
        <f t="shared" si="35"/>
        <v>12668.731387349093</v>
      </c>
      <c r="P73" s="79">
        <f t="shared" si="35"/>
        <v>11480.415158620057</v>
      </c>
      <c r="Q73" s="79">
        <f t="shared" si="35"/>
        <v>10198.065361629819</v>
      </c>
      <c r="R73" s="79">
        <f t="shared" si="35"/>
        <v>16658.568098762276</v>
      </c>
      <c r="S73" s="79">
        <f t="shared" si="35"/>
        <v>24023.749572246699</v>
      </c>
      <c r="T73" s="79">
        <f t="shared" si="35"/>
        <v>20577.115496163868</v>
      </c>
      <c r="U73" s="79">
        <f t="shared" si="35"/>
        <v>19278.005599127748</v>
      </c>
      <c r="V73" s="79">
        <f t="shared" si="35"/>
        <v>19769.682097522313</v>
      </c>
      <c r="W73" s="79">
        <f t="shared" si="35"/>
        <v>20410.619681373115</v>
      </c>
      <c r="X73" s="79">
        <f t="shared" si="35"/>
        <v>24745.242195749874</v>
      </c>
      <c r="Y73" s="79">
        <f t="shared" si="35"/>
        <v>28299.640622587642</v>
      </c>
      <c r="Z73" s="79">
        <f t="shared" si="35"/>
        <v>29597.806613702825</v>
      </c>
      <c r="AA73" s="79">
        <f t="shared" si="35"/>
        <v>27005.573348057525</v>
      </c>
    </row>
    <row r="75" spans="2:27" x14ac:dyDescent="0.25">
      <c r="B75" s="72" t="s">
        <v>256</v>
      </c>
    </row>
    <row r="76" spans="2:27" x14ac:dyDescent="0.25">
      <c r="B76" s="23" t="s">
        <v>52</v>
      </c>
      <c r="C76" s="24">
        <f>Fraction_of_Credits</f>
        <v>0.95</v>
      </c>
    </row>
    <row r="77" spans="2:27" x14ac:dyDescent="0.25">
      <c r="B77" s="23" t="s">
        <v>382</v>
      </c>
      <c r="C77" s="74">
        <f>System_Size</f>
        <v>5000</v>
      </c>
    </row>
    <row r="78" spans="2:27" x14ac:dyDescent="0.25">
      <c r="B78" s="23" t="s">
        <v>57</v>
      </c>
      <c r="C78" s="81" t="str">
        <f>VDER_Utility_Name</f>
        <v>NYSEG</v>
      </c>
    </row>
    <row r="79" spans="2:27" x14ac:dyDescent="0.25">
      <c r="B79" s="23" t="s">
        <v>337</v>
      </c>
      <c r="C79" s="27">
        <f>DRV_Rate</f>
        <v>8.8999999999999996E-2</v>
      </c>
    </row>
    <row r="80" spans="2:27" x14ac:dyDescent="0.25">
      <c r="B80" s="23" t="s">
        <v>338</v>
      </c>
      <c r="C80" s="82">
        <f>DRV_Renewal_Rate</f>
        <v>0.5</v>
      </c>
    </row>
    <row r="81" spans="2:27" x14ac:dyDescent="0.25">
      <c r="B81" s="23" t="s">
        <v>58</v>
      </c>
      <c r="C81" s="25">
        <f>C$3</f>
        <v>1</v>
      </c>
      <c r="D81" s="25">
        <f t="shared" ref="D81:AA81" si="36">D$3</f>
        <v>2</v>
      </c>
      <c r="E81" s="25">
        <f t="shared" si="36"/>
        <v>3</v>
      </c>
      <c r="F81" s="25">
        <f t="shared" si="36"/>
        <v>4</v>
      </c>
      <c r="G81" s="25">
        <f t="shared" si="36"/>
        <v>5</v>
      </c>
      <c r="H81" s="25">
        <f t="shared" si="36"/>
        <v>6</v>
      </c>
      <c r="I81" s="25">
        <f t="shared" si="36"/>
        <v>7</v>
      </c>
      <c r="J81" s="25">
        <f t="shared" si="36"/>
        <v>8</v>
      </c>
      <c r="K81" s="25">
        <f t="shared" si="36"/>
        <v>9</v>
      </c>
      <c r="L81" s="25">
        <f t="shared" si="36"/>
        <v>10</v>
      </c>
      <c r="M81" s="25">
        <f t="shared" si="36"/>
        <v>11</v>
      </c>
      <c r="N81" s="25">
        <f t="shared" si="36"/>
        <v>12</v>
      </c>
      <c r="O81" s="25">
        <f t="shared" si="36"/>
        <v>13</v>
      </c>
      <c r="P81" s="25">
        <f t="shared" si="36"/>
        <v>14</v>
      </c>
      <c r="Q81" s="25">
        <f t="shared" si="36"/>
        <v>15</v>
      </c>
      <c r="R81" s="25">
        <f t="shared" si="36"/>
        <v>16</v>
      </c>
      <c r="S81" s="25">
        <f t="shared" si="36"/>
        <v>17</v>
      </c>
      <c r="T81" s="25">
        <f t="shared" si="36"/>
        <v>18</v>
      </c>
      <c r="U81" s="25">
        <f t="shared" si="36"/>
        <v>19</v>
      </c>
      <c r="V81" s="25">
        <f t="shared" si="36"/>
        <v>20</v>
      </c>
      <c r="W81" s="25">
        <f t="shared" si="36"/>
        <v>21</v>
      </c>
      <c r="X81" s="25">
        <f t="shared" si="36"/>
        <v>22</v>
      </c>
      <c r="Y81" s="25">
        <f t="shared" si="36"/>
        <v>23</v>
      </c>
      <c r="Z81" s="25">
        <f t="shared" si="36"/>
        <v>24</v>
      </c>
      <c r="AA81" s="25">
        <f t="shared" si="36"/>
        <v>25</v>
      </c>
    </row>
    <row r="82" spans="2:27" x14ac:dyDescent="0.25">
      <c r="B82" s="23" t="s">
        <v>49</v>
      </c>
      <c r="C82" s="83">
        <f t="shared" ref="C82:AA82" si="37">1-Degradation*(C$3-1)</f>
        <v>1</v>
      </c>
      <c r="D82" s="83">
        <f t="shared" si="37"/>
        <v>0.995</v>
      </c>
      <c r="E82" s="83">
        <f t="shared" si="37"/>
        <v>0.99</v>
      </c>
      <c r="F82" s="83">
        <f t="shared" si="37"/>
        <v>0.98499999999999999</v>
      </c>
      <c r="G82" s="83">
        <f t="shared" si="37"/>
        <v>0.98</v>
      </c>
      <c r="H82" s="83">
        <f t="shared" si="37"/>
        <v>0.97499999999999998</v>
      </c>
      <c r="I82" s="83">
        <f t="shared" si="37"/>
        <v>0.97</v>
      </c>
      <c r="J82" s="83">
        <f t="shared" si="37"/>
        <v>0.96499999999999997</v>
      </c>
      <c r="K82" s="83">
        <f t="shared" si="37"/>
        <v>0.96</v>
      </c>
      <c r="L82" s="83">
        <f t="shared" si="37"/>
        <v>0.95499999999999996</v>
      </c>
      <c r="M82" s="83">
        <f t="shared" si="37"/>
        <v>0.95</v>
      </c>
      <c r="N82" s="83">
        <f t="shared" si="37"/>
        <v>0.94499999999999995</v>
      </c>
      <c r="O82" s="83">
        <f t="shared" si="37"/>
        <v>0.94</v>
      </c>
      <c r="P82" s="83">
        <f t="shared" si="37"/>
        <v>0.93500000000000005</v>
      </c>
      <c r="Q82" s="83">
        <f t="shared" si="37"/>
        <v>0.92999999999999994</v>
      </c>
      <c r="R82" s="83">
        <f t="shared" si="37"/>
        <v>0.92500000000000004</v>
      </c>
      <c r="S82" s="83">
        <f t="shared" si="37"/>
        <v>0.92</v>
      </c>
      <c r="T82" s="83">
        <f t="shared" si="37"/>
        <v>0.91500000000000004</v>
      </c>
      <c r="U82" s="83">
        <f t="shared" si="37"/>
        <v>0.91</v>
      </c>
      <c r="V82" s="83">
        <f t="shared" si="37"/>
        <v>0.90500000000000003</v>
      </c>
      <c r="W82" s="83">
        <f t="shared" si="37"/>
        <v>0.9</v>
      </c>
      <c r="X82" s="83">
        <f t="shared" si="37"/>
        <v>0.89500000000000002</v>
      </c>
      <c r="Y82" s="83">
        <f t="shared" si="37"/>
        <v>0.89</v>
      </c>
      <c r="Z82" s="83">
        <f t="shared" si="37"/>
        <v>0.88500000000000001</v>
      </c>
      <c r="AA82" s="83">
        <f t="shared" si="37"/>
        <v>0.88</v>
      </c>
    </row>
    <row r="83" spans="2:27" x14ac:dyDescent="0.25">
      <c r="B83" s="23" t="s">
        <v>336</v>
      </c>
      <c r="C83" s="25">
        <f>IF(ValGroup&lt;&gt;5,IF(C$3&lt;=System_Age,0,IF(C$2&lt;Forecasts!$F$93,0,VLOOKUP(IF(LEFT(VDER_Utility_Name,5)="ConEd",VDER_Utility_Name,"Default")&amp;"-"&amp;Plant_Type&amp;"-"&amp;NYISO_Zone,DRV_Factors,MATCH(C$2,Forecast_Energy_Header,0),FALSE))),0)</f>
        <v>177.25801949393971</v>
      </c>
      <c r="D83" s="25">
        <f>IF(ValGroup&lt;&gt;5,IF(D$3&lt;=System_Age,0,IF(D$2&lt;Forecasts!$F$93,0,VLOOKUP(IF(LEFT(VDER_Utility_Name,5)="ConEd",VDER_Utility_Name,"Default")&amp;"-"&amp;Plant_Type&amp;"-"&amp;NYISO_Zone,DRV_Factors,MATCH(D$2,Forecast_Energy_Header,0),FALSE))),0)</f>
        <v>178.91654279771959</v>
      </c>
      <c r="E83" s="25">
        <f>IF(ValGroup&lt;&gt;5,IF(E$3&lt;=System_Age,0,IF(E$2&lt;Forecasts!$F$93,0,VLOOKUP(IF(LEFT(VDER_Utility_Name,5)="ConEd",VDER_Utility_Name,"Default")&amp;"-"&amp;Plant_Type&amp;"-"&amp;NYISO_Zone,DRV_Factors,MATCH(E$2,Forecast_Energy_Header,0),FALSE))),0)</f>
        <v>178.13241068621963</v>
      </c>
      <c r="F83" s="25">
        <f>IF(ValGroup&lt;&gt;5,IF(F$3&lt;=System_Age,0,IF(F$2&lt;Forecasts!$F$93,0,VLOOKUP(IF(LEFT(VDER_Utility_Name,5)="ConEd",VDER_Utility_Name,"Default")&amp;"-"&amp;Plant_Type&amp;"-"&amp;NYISO_Zone,DRV_Factors,MATCH(F$2,Forecast_Energy_Header,0),FALSE))),0)</f>
        <v>181.59411478913947</v>
      </c>
      <c r="G83" s="25">
        <f>IF(ValGroup&lt;&gt;5,IF(G$3&lt;=System_Age,0,IF(G$2&lt;Forecasts!$F$93,0,VLOOKUP(IF(LEFT(VDER_Utility_Name,5)="ConEd",VDER_Utility_Name,"Default")&amp;"-"&amp;Plant_Type&amp;"-"&amp;NYISO_Zone,DRV_Factors,MATCH(G$2,Forecast_Energy_Header,0),FALSE))),0)</f>
        <v>181.15691919299945</v>
      </c>
      <c r="H83" s="25">
        <f>IF(ValGroup&lt;&gt;5,IF(H$3&lt;=System_Age,0,IF(H$2&lt;Forecasts!$F$93,0,VLOOKUP(IF(LEFT(VDER_Utility_Name,5)="ConEd",VDER_Utility_Name,"Default")&amp;"-"&amp;Plant_Type&amp;"-"&amp;NYISO_Zone,DRV_Factors,MATCH(H$2,Forecast_Energy_Header,0),FALSE))),0)</f>
        <v>177.25801949393971</v>
      </c>
      <c r="I83" s="25">
        <f>IF(ValGroup&lt;&gt;5,IF(I$3&lt;=System_Age,0,IF(I$2&lt;Forecasts!$F$93,0,VLOOKUP(IF(LEFT(VDER_Utility_Name,5)="ConEd",VDER_Utility_Name,"Default")&amp;"-"&amp;Plant_Type&amp;"-"&amp;NYISO_Zone,DRV_Factors,MATCH(I$2,Forecast_Energy_Header,0),FALSE))),0)</f>
        <v>178.47934720157957</v>
      </c>
      <c r="J83" s="25">
        <f>IF(ValGroup&lt;&gt;5,IF(J$3&lt;=System_Age,0,IF(J$2&lt;Forecasts!$F$93,0,VLOOKUP(IF(LEFT(VDER_Utility_Name,5)="ConEd",VDER_Utility_Name,"Default")&amp;"-"&amp;Plant_Type&amp;"-"&amp;NYISO_Zone,DRV_Factors,MATCH(J$2,Forecast_Energy_Header,0),FALSE))),0)</f>
        <v>178.91654279771959</v>
      </c>
      <c r="K83" s="25">
        <f>IF(ValGroup&lt;&gt;5,IF(K$3&lt;=System_Age,0,IF(K$2&lt;Forecasts!$F$93,0,VLOOKUP(IF(LEFT(VDER_Utility_Name,5)="ConEd",VDER_Utility_Name,"Default")&amp;"-"&amp;Plant_Type&amp;"-"&amp;NYISO_Zone,DRV_Factors,MATCH(K$2,Forecast_Energy_Header,0),FALSE))),0)</f>
        <v>178.13241068621963</v>
      </c>
      <c r="L83" s="25">
        <f>IF(ValGroup&lt;&gt;5,IF(L$3&lt;=System_Age,0,IF(L$2&lt;Forecasts!$F$93,0,VLOOKUP(IF(LEFT(VDER_Utility_Name,5)="ConEd",VDER_Utility_Name,"Default")&amp;"-"&amp;Plant_Type&amp;"-"&amp;NYISO_Zone,DRV_Factors,MATCH(L$2,Forecast_Energy_Header,0),FALSE))),0)</f>
        <v>181.15691919299945</v>
      </c>
      <c r="M83" s="25">
        <f>IF(ValGroup&lt;&gt;5,IF(M$3&lt;=System_Age,0,IF(M$2&lt;Forecasts!$F$93,0,VLOOKUP(IF(LEFT(VDER_Utility_Name,5)="ConEd",VDER_Utility_Name,"Default")&amp;"-"&amp;Plant_Type&amp;"-"&amp;NYISO_Zone,DRV_Factors,MATCH(M$2,Forecast_Energy_Header,0),FALSE))),0)</f>
        <v>177.25801949393971</v>
      </c>
      <c r="N83" s="25">
        <f>IF(ValGroup&lt;&gt;5,IF(N$3&lt;=System_Age,0,IF(N$2&lt;Forecasts!$F$93,0,VLOOKUP(IF(LEFT(VDER_Utility_Name,5)="ConEd",VDER_Utility_Name,"Default")&amp;"-"&amp;Plant_Type&amp;"-"&amp;NYISO_Zone,DRV_Factors,MATCH(N$2,Forecast_Energy_Header,0),FALSE))),0)</f>
        <v>177.25801949393971</v>
      </c>
      <c r="O83" s="25">
        <f>IF(ValGroup&lt;&gt;5,IF(O$3&lt;=System_Age,0,IF(O$2&lt;Forecasts!$F$93,0,VLOOKUP(IF(LEFT(VDER_Utility_Name,5)="ConEd",VDER_Utility_Name,"Default")&amp;"-"&amp;Plant_Type&amp;"-"&amp;NYISO_Zone,DRV_Factors,MATCH(O$2,Forecast_Energy_Header,0),FALSE))),0)</f>
        <v>178.47934720157957</v>
      </c>
      <c r="P83" s="25">
        <f>IF(ValGroup&lt;&gt;5,IF(P$3&lt;=System_Age,0,IF(P$2&lt;Forecasts!$F$93,0,VLOOKUP(IF(LEFT(VDER_Utility_Name,5)="ConEd",VDER_Utility_Name,"Default")&amp;"-"&amp;Plant_Type&amp;"-"&amp;NYISO_Zone,DRV_Factors,MATCH(P$2,Forecast_Energy_Header,0),FALSE))),0)</f>
        <v>178.13241068621963</v>
      </c>
      <c r="Q83" s="25">
        <f>IF(ValGroup&lt;&gt;5,IF(Q$3&lt;=System_Age,0,IF(Q$2&lt;Forecasts!$F$93,0,VLOOKUP(IF(LEFT(VDER_Utility_Name,5)="ConEd",VDER_Utility_Name,"Default")&amp;"-"&amp;Plant_Type&amp;"-"&amp;NYISO_Zone,DRV_Factors,MATCH(Q$2,Forecast_Energy_Header,0),FALSE))),0)</f>
        <v>181.59411478913947</v>
      </c>
      <c r="R83" s="25">
        <f>IF(ValGroup&lt;&gt;5,IF(R$3&lt;=System_Age,0,IF(R$2&lt;Forecasts!$F$93,0,VLOOKUP(IF(LEFT(VDER_Utility_Name,5)="ConEd",VDER_Utility_Name,"Default")&amp;"-"&amp;Plant_Type&amp;"-"&amp;NYISO_Zone,DRV_Factors,MATCH(R$2,Forecast_Energy_Header,0),FALSE))),0)</f>
        <v>181.15691919299945</v>
      </c>
      <c r="S83" s="25">
        <f>IF(ValGroup&lt;&gt;5,IF(S$3&lt;=System_Age,0,IF(S$2&lt;Forecasts!$F$93,0,VLOOKUP(IF(LEFT(VDER_Utility_Name,5)="ConEd",VDER_Utility_Name,"Default")&amp;"-"&amp;Plant_Type&amp;"-"&amp;NYISO_Zone,DRV_Factors,MATCH(S$2,Forecast_Energy_Header,0),FALSE))),0)</f>
        <v>177.25801949393971</v>
      </c>
      <c r="T83" s="25">
        <f>IF(ValGroup&lt;&gt;5,IF(T$3&lt;=System_Age,0,IF(T$2&lt;Forecasts!$F$93,0,VLOOKUP(IF(LEFT(VDER_Utility_Name,5)="ConEd",VDER_Utility_Name,"Default")&amp;"-"&amp;Plant_Type&amp;"-"&amp;NYISO_Zone,DRV_Factors,MATCH(T$2,Forecast_Energy_Header,0),FALSE))),0)</f>
        <v>178.47934720157957</v>
      </c>
      <c r="U83" s="25">
        <f>IF(ValGroup&lt;&gt;5,IF(U$3&lt;=System_Age,0,IF(U$2&lt;Forecasts!$F$93,0,VLOOKUP(IF(LEFT(VDER_Utility_Name,5)="ConEd",VDER_Utility_Name,"Default")&amp;"-"&amp;Plant_Type&amp;"-"&amp;NYISO_Zone,DRV_Factors,MATCH(U$2,Forecast_Energy_Header,0),FALSE))),0)</f>
        <v>178.91654279771959</v>
      </c>
      <c r="V83" s="25">
        <f>IF(ValGroup&lt;&gt;5,IF(V$3&lt;=System_Age,0,IF(V$2&lt;Forecasts!$F$93,0,VLOOKUP(IF(LEFT(VDER_Utility_Name,5)="ConEd",VDER_Utility_Name,"Default")&amp;"-"&amp;Plant_Type&amp;"-"&amp;NYISO_Zone,DRV_Factors,MATCH(V$2,Forecast_Energy_Header,0),FALSE))),0)</f>
        <v>178.13241068621963</v>
      </c>
      <c r="W83" s="25">
        <f>IF(ValGroup&lt;&gt;5,IF(W$3&lt;=System_Age,0,IF(W$2&lt;Forecasts!$F$93,0,VLOOKUP(IF(LEFT(VDER_Utility_Name,5)="ConEd",VDER_Utility_Name,"Default")&amp;"-"&amp;Plant_Type&amp;"-"&amp;NYISO_Zone,DRV_Factors,MATCH(W$2,Forecast_Energy_Header,0),FALSE))),0)</f>
        <v>181.59411478913947</v>
      </c>
      <c r="X83" s="25">
        <f>IF(ValGroup&lt;&gt;5,IF(X$3&lt;=System_Age,0,IF(X$2&lt;Forecasts!$F$93,0,VLOOKUP(IF(LEFT(VDER_Utility_Name,5)="ConEd",VDER_Utility_Name,"Default")&amp;"-"&amp;Plant_Type&amp;"-"&amp;NYISO_Zone,DRV_Factors,MATCH(X$2,Forecast_Energy_Header,0),FALSE))),0)</f>
        <v>177.25801949393971</v>
      </c>
      <c r="Y83" s="25">
        <f>IF(ValGroup&lt;&gt;5,IF(Y$3&lt;=System_Age,0,IF(Y$2&lt;Forecasts!$F$93,0,VLOOKUP(IF(LEFT(VDER_Utility_Name,5)="ConEd",VDER_Utility_Name,"Default")&amp;"-"&amp;Plant_Type&amp;"-"&amp;NYISO_Zone,DRV_Factors,MATCH(Y$2,Forecast_Energy_Header,0),FALSE))),0)</f>
        <v>177.25801949393971</v>
      </c>
      <c r="Z83" s="25">
        <f>IF(ValGroup&lt;&gt;5,IF(Z$3&lt;=System_Age,0,IF(Z$2&lt;Forecasts!$F$93,0,VLOOKUP(IF(LEFT(VDER_Utility_Name,5)="ConEd",VDER_Utility_Name,"Default")&amp;"-"&amp;Plant_Type&amp;"-"&amp;NYISO_Zone,DRV_Factors,MATCH(Z$2,Forecast_Energy_Header,0),FALSE))),0)</f>
        <v>178.47934720157957</v>
      </c>
      <c r="AA83" s="25">
        <f>IF(ValGroup&lt;&gt;5,IF(AA$3&lt;=System_Age,0,IF(AA$2&lt;Forecasts!$F$93,0,VLOOKUP(IF(LEFT(VDER_Utility_Name,5)="ConEd",VDER_Utility_Name,"Default")&amp;"-"&amp;Plant_Type&amp;"-"&amp;NYISO_Zone,DRV_Factors,MATCH(AA$2,Forecast_Energy_Header,0),FALSE))),0)</f>
        <v>178.91654279771959</v>
      </c>
    </row>
    <row r="84" spans="2:27" x14ac:dyDescent="0.25">
      <c r="B84" s="23" t="s">
        <v>340</v>
      </c>
      <c r="C84" s="83">
        <f t="shared" ref="C84:AA84" si="38">IF(C$2&lt;DRV_Ref_Year,0,DRV_Rate*IF(C$3&gt;10,DRV_Renewal_Rate,1))</f>
        <v>8.8999999999999996E-2</v>
      </c>
      <c r="D84" s="83">
        <f t="shared" si="38"/>
        <v>8.8999999999999996E-2</v>
      </c>
      <c r="E84" s="83">
        <f t="shared" si="38"/>
        <v>8.8999999999999996E-2</v>
      </c>
      <c r="F84" s="83">
        <f t="shared" si="38"/>
        <v>8.8999999999999996E-2</v>
      </c>
      <c r="G84" s="83">
        <f t="shared" si="38"/>
        <v>8.8999999999999996E-2</v>
      </c>
      <c r="H84" s="83">
        <f t="shared" si="38"/>
        <v>8.8999999999999996E-2</v>
      </c>
      <c r="I84" s="83">
        <f t="shared" si="38"/>
        <v>8.8999999999999996E-2</v>
      </c>
      <c r="J84" s="83">
        <f t="shared" si="38"/>
        <v>8.8999999999999996E-2</v>
      </c>
      <c r="K84" s="83">
        <f t="shared" si="38"/>
        <v>8.8999999999999996E-2</v>
      </c>
      <c r="L84" s="83">
        <f t="shared" si="38"/>
        <v>8.8999999999999996E-2</v>
      </c>
      <c r="M84" s="83">
        <f t="shared" si="38"/>
        <v>4.4499999999999998E-2</v>
      </c>
      <c r="N84" s="83">
        <f t="shared" si="38"/>
        <v>4.4499999999999998E-2</v>
      </c>
      <c r="O84" s="83">
        <f t="shared" si="38"/>
        <v>4.4499999999999998E-2</v>
      </c>
      <c r="P84" s="83">
        <f t="shared" si="38"/>
        <v>4.4499999999999998E-2</v>
      </c>
      <c r="Q84" s="83">
        <f t="shared" si="38"/>
        <v>4.4499999999999998E-2</v>
      </c>
      <c r="R84" s="83">
        <f t="shared" si="38"/>
        <v>4.4499999999999998E-2</v>
      </c>
      <c r="S84" s="83">
        <f t="shared" si="38"/>
        <v>4.4499999999999998E-2</v>
      </c>
      <c r="T84" s="83">
        <f t="shared" si="38"/>
        <v>4.4499999999999998E-2</v>
      </c>
      <c r="U84" s="83">
        <f t="shared" si="38"/>
        <v>4.4499999999999998E-2</v>
      </c>
      <c r="V84" s="83">
        <f t="shared" si="38"/>
        <v>4.4499999999999998E-2</v>
      </c>
      <c r="W84" s="83">
        <f t="shared" si="38"/>
        <v>4.4499999999999998E-2</v>
      </c>
      <c r="X84" s="83">
        <f t="shared" si="38"/>
        <v>4.4499999999999998E-2</v>
      </c>
      <c r="Y84" s="83">
        <f t="shared" si="38"/>
        <v>4.4499999999999998E-2</v>
      </c>
      <c r="Z84" s="83">
        <f t="shared" si="38"/>
        <v>4.4499999999999998E-2</v>
      </c>
      <c r="AA84" s="83">
        <f t="shared" si="38"/>
        <v>4.4499999999999998E-2</v>
      </c>
    </row>
    <row r="85" spans="2:27" x14ac:dyDescent="0.25">
      <c r="B85" s="23" t="s">
        <v>257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 spans="2:27" x14ac:dyDescent="0.25">
      <c r="B86" s="78" t="s">
        <v>54</v>
      </c>
      <c r="C86" s="79">
        <f t="shared" ref="C86:AA86" si="39">System_Size*Fraction_of_Credits*C$82*C$83*C$84</f>
        <v>74935.827741063011</v>
      </c>
      <c r="D86" s="79">
        <f t="shared" si="39"/>
        <v>75258.783625397264</v>
      </c>
      <c r="E86" s="79">
        <f t="shared" si="39"/>
        <v>74552.421851423351</v>
      </c>
      <c r="F86" s="79">
        <f t="shared" si="39"/>
        <v>75617.378346702084</v>
      </c>
      <c r="G86" s="79">
        <f t="shared" si="39"/>
        <v>75052.405837063707</v>
      </c>
      <c r="H86" s="79">
        <f t="shared" si="39"/>
        <v>73062.432047536437</v>
      </c>
      <c r="I86" s="79">
        <f t="shared" si="39"/>
        <v>73188.579708583726</v>
      </c>
      <c r="J86" s="79">
        <f t="shared" si="39"/>
        <v>72989.674571365191</v>
      </c>
      <c r="K86" s="79">
        <f t="shared" si="39"/>
        <v>72293.257552895375</v>
      </c>
      <c r="L86" s="79">
        <f t="shared" si="39"/>
        <v>73137.803647342691</v>
      </c>
      <c r="M86" s="79">
        <f t="shared" si="39"/>
        <v>35594.518177004931</v>
      </c>
      <c r="N86" s="79">
        <f t="shared" si="39"/>
        <v>35407.178607652269</v>
      </c>
      <c r="O86" s="79">
        <f t="shared" si="39"/>
        <v>35462.507693849846</v>
      </c>
      <c r="P86" s="79">
        <f t="shared" si="39"/>
        <v>35205.310318727694</v>
      </c>
      <c r="Q86" s="79">
        <f t="shared" si="39"/>
        <v>35697.544092605553</v>
      </c>
      <c r="R86" s="79">
        <f t="shared" si="39"/>
        <v>35420.14050983874</v>
      </c>
      <c r="S86" s="79">
        <f t="shared" si="39"/>
        <v>34470.480760888982</v>
      </c>
      <c r="T86" s="79">
        <f t="shared" si="39"/>
        <v>34519.355893481501</v>
      </c>
      <c r="U86" s="79">
        <f t="shared" si="39"/>
        <v>34414.820652819857</v>
      </c>
      <c r="V86" s="79">
        <f t="shared" si="39"/>
        <v>34075.728169463706</v>
      </c>
      <c r="W86" s="79">
        <f t="shared" si="39"/>
        <v>34546.010412198921</v>
      </c>
      <c r="X86" s="79">
        <f t="shared" si="39"/>
        <v>33533.782914125703</v>
      </c>
      <c r="Y86" s="79">
        <f t="shared" si="39"/>
        <v>33346.443344773041</v>
      </c>
      <c r="Z86" s="79">
        <f t="shared" si="39"/>
        <v>33387.573733039484</v>
      </c>
      <c r="AA86" s="79">
        <f t="shared" si="39"/>
        <v>33280.266125803821</v>
      </c>
    </row>
    <row r="87" spans="2:27" x14ac:dyDescent="0.25">
      <c r="B87" s="78" t="str">
        <f>"Real "&amp;"$ "&amp;TEXT(Inf_Base_Year,"0000")</f>
        <v>Real $ 2022</v>
      </c>
      <c r="C87" s="79">
        <f t="shared" ref="C87:AA87" si="40">C$86*C$47</f>
        <v>73108.124625427328</v>
      </c>
      <c r="D87" s="79">
        <f t="shared" si="40"/>
        <v>71632.393694607745</v>
      </c>
      <c r="E87" s="79">
        <f t="shared" si="40"/>
        <v>69229.335013872333</v>
      </c>
      <c r="F87" s="79">
        <f t="shared" si="40"/>
        <v>68505.612671261784</v>
      </c>
      <c r="G87" s="79">
        <f t="shared" si="40"/>
        <v>66335.390694498303</v>
      </c>
      <c r="H87" s="79">
        <f t="shared" si="40"/>
        <v>63001.506174043003</v>
      </c>
      <c r="I87" s="79">
        <f t="shared" si="40"/>
        <v>61571.007713963249</v>
      </c>
      <c r="J87" s="79">
        <f t="shared" si="40"/>
        <v>59906.025109211514</v>
      </c>
      <c r="K87" s="79">
        <f t="shared" si="40"/>
        <v>57887.261687264923</v>
      </c>
      <c r="L87" s="79">
        <f t="shared" si="40"/>
        <v>57135.13531503416</v>
      </c>
      <c r="M87" s="79">
        <f t="shared" si="40"/>
        <v>27128.176302510823</v>
      </c>
      <c r="N87" s="79">
        <f t="shared" si="40"/>
        <v>26327.216026570197</v>
      </c>
      <c r="O87" s="79">
        <f t="shared" si="40"/>
        <v>25725.225652903984</v>
      </c>
      <c r="P87" s="79">
        <f t="shared" si="40"/>
        <v>24915.755547732355</v>
      </c>
      <c r="Q87" s="79">
        <f t="shared" si="40"/>
        <v>24647.924659685141</v>
      </c>
      <c r="R87" s="79">
        <f t="shared" si="40"/>
        <v>23859.889795552121</v>
      </c>
      <c r="S87" s="79">
        <f t="shared" si="40"/>
        <v>22653.82957104082</v>
      </c>
      <c r="T87" s="79">
        <f t="shared" si="40"/>
        <v>22132.634211311695</v>
      </c>
      <c r="U87" s="79">
        <f t="shared" si="40"/>
        <v>21527.424174316766</v>
      </c>
      <c r="V87" s="79">
        <f t="shared" si="40"/>
        <v>20795.426758579819</v>
      </c>
      <c r="W87" s="79">
        <f t="shared" si="40"/>
        <v>20568.220825623033</v>
      </c>
      <c r="X87" s="79">
        <f t="shared" si="40"/>
        <v>19478.589712434819</v>
      </c>
      <c r="Y87" s="79">
        <f t="shared" si="40"/>
        <v>18897.337341945211</v>
      </c>
      <c r="Z87" s="79">
        <f t="shared" si="40"/>
        <v>18459.166653049095</v>
      </c>
      <c r="AA87" s="79">
        <f t="shared" si="40"/>
        <v>17951.062362626224</v>
      </c>
    </row>
    <row r="89" spans="2:27" x14ac:dyDescent="0.25">
      <c r="B89" s="72" t="s">
        <v>59</v>
      </c>
    </row>
    <row r="90" spans="2:27" x14ac:dyDescent="0.25">
      <c r="B90" s="23" t="s">
        <v>52</v>
      </c>
      <c r="C90" s="24">
        <f>Fraction_of_Credits</f>
        <v>0.95</v>
      </c>
    </row>
    <row r="91" spans="2:27" x14ac:dyDescent="0.25">
      <c r="B91" s="23" t="s">
        <v>60</v>
      </c>
      <c r="C91" s="23">
        <f>System_Age</f>
        <v>0</v>
      </c>
    </row>
    <row r="92" spans="2:27" x14ac:dyDescent="0.25">
      <c r="B92" s="23" t="s">
        <v>339</v>
      </c>
      <c r="C92" s="27">
        <f>CC_MTC</f>
        <v>3.1399999999999997E-2</v>
      </c>
    </row>
    <row r="93" spans="2:27" x14ac:dyDescent="0.25">
      <c r="B93" s="23" t="s">
        <v>61</v>
      </c>
      <c r="C93" s="74">
        <v>25</v>
      </c>
    </row>
    <row r="94" spans="2:27" x14ac:dyDescent="0.25">
      <c r="B94" s="23" t="s">
        <v>250</v>
      </c>
    </row>
    <row r="95" spans="2:27" x14ac:dyDescent="0.25">
      <c r="B95" s="78" t="s">
        <v>54</v>
      </c>
      <c r="C95" s="79">
        <f t="shared" ref="C95:AA95" si="41">IF(OR(C$3&lt;=System_Age,C$3&gt;$C$93),0,C$56*Fraction_of_Credits*CC_MTC)</f>
        <v>304945.58553905244</v>
      </c>
      <c r="D95" s="79">
        <f t="shared" si="41"/>
        <v>304252.14763221017</v>
      </c>
      <c r="E95" s="79">
        <f t="shared" si="41"/>
        <v>301896.12968366186</v>
      </c>
      <c r="F95" s="79">
        <f t="shared" si="41"/>
        <v>300371.40175596665</v>
      </c>
      <c r="G95" s="79">
        <f t="shared" si="41"/>
        <v>298846.67382827139</v>
      </c>
      <c r="H95" s="79">
        <f t="shared" si="41"/>
        <v>298136.52657427627</v>
      </c>
      <c r="I95" s="79">
        <f t="shared" si="41"/>
        <v>295797.21797288087</v>
      </c>
      <c r="J95" s="79">
        <f t="shared" si="41"/>
        <v>294272.49004518561</v>
      </c>
      <c r="K95" s="79">
        <f t="shared" si="41"/>
        <v>292747.76211749035</v>
      </c>
      <c r="L95" s="79">
        <f t="shared" si="41"/>
        <v>292020.90551634249</v>
      </c>
      <c r="M95" s="79">
        <f t="shared" si="41"/>
        <v>289698.30626209977</v>
      </c>
      <c r="N95" s="79">
        <f t="shared" si="41"/>
        <v>288173.5783344045</v>
      </c>
      <c r="O95" s="79">
        <f t="shared" si="41"/>
        <v>286648.8504067093</v>
      </c>
      <c r="P95" s="79">
        <f t="shared" si="41"/>
        <v>285905.2844584086</v>
      </c>
      <c r="Q95" s="79">
        <f t="shared" si="41"/>
        <v>283599.39455131872</v>
      </c>
      <c r="R95" s="79">
        <f t="shared" si="41"/>
        <v>282074.66662362352</v>
      </c>
      <c r="S95" s="79">
        <f t="shared" si="41"/>
        <v>280549.93869592826</v>
      </c>
      <c r="T95" s="79">
        <f t="shared" si="41"/>
        <v>279789.6634004747</v>
      </c>
      <c r="U95" s="79">
        <f t="shared" si="41"/>
        <v>277500.48284053773</v>
      </c>
      <c r="V95" s="79">
        <f t="shared" si="41"/>
        <v>275975.75491284247</v>
      </c>
      <c r="W95" s="79">
        <f t="shared" si="41"/>
        <v>274451.02698514715</v>
      </c>
      <c r="X95" s="79">
        <f t="shared" si="41"/>
        <v>273674.04234254087</v>
      </c>
      <c r="Y95" s="79">
        <f t="shared" si="41"/>
        <v>271401.57112975663</v>
      </c>
      <c r="Z95" s="79">
        <f t="shared" si="41"/>
        <v>269876.84320206137</v>
      </c>
      <c r="AA95" s="79">
        <f t="shared" si="41"/>
        <v>268352.11527436611</v>
      </c>
    </row>
    <row r="96" spans="2:27" x14ac:dyDescent="0.25">
      <c r="B96" s="78" t="str">
        <f>"Real "&amp;"$ "&amp;TEXT(Inf_Base_Year,"0000")</f>
        <v>Real $ 2022</v>
      </c>
      <c r="C96" s="79">
        <f t="shared" ref="C96:AA96" si="42">C$95*C$47</f>
        <v>297507.88833078288</v>
      </c>
      <c r="D96" s="79">
        <f t="shared" si="42"/>
        <v>289591.57418889727</v>
      </c>
      <c r="E96" s="79">
        <f t="shared" si="42"/>
        <v>280340.56818320049</v>
      </c>
      <c r="F96" s="79">
        <f t="shared" si="42"/>
        <v>272121.66510022426</v>
      </c>
      <c r="G96" s="79">
        <f t="shared" si="42"/>
        <v>264136.91400096053</v>
      </c>
      <c r="H96" s="79">
        <f t="shared" si="42"/>
        <v>257082.19249334911</v>
      </c>
      <c r="I96" s="79">
        <f t="shared" si="42"/>
        <v>248843.91611497698</v>
      </c>
      <c r="J96" s="79">
        <f t="shared" si="42"/>
        <v>241523.1370892158</v>
      </c>
      <c r="K96" s="79">
        <f t="shared" si="42"/>
        <v>234411.43597184098</v>
      </c>
      <c r="L96" s="79">
        <f t="shared" si="42"/>
        <v>228126.26465986631</v>
      </c>
      <c r="M96" s="79">
        <f t="shared" si="42"/>
        <v>220792.05252156346</v>
      </c>
      <c r="N96" s="79">
        <f t="shared" si="42"/>
        <v>214273.16008511165</v>
      </c>
      <c r="O96" s="79">
        <f t="shared" si="42"/>
        <v>207940.91674281069</v>
      </c>
      <c r="P96" s="79">
        <f t="shared" si="42"/>
        <v>202342.94522270336</v>
      </c>
      <c r="Q96" s="79">
        <f t="shared" si="42"/>
        <v>195815.61387807553</v>
      </c>
      <c r="R96" s="79">
        <f t="shared" si="42"/>
        <v>190012.52854678195</v>
      </c>
      <c r="S96" s="79">
        <f t="shared" si="42"/>
        <v>184376.03297354191</v>
      </c>
      <c r="T96" s="79">
        <f t="shared" si="42"/>
        <v>179391.59395839405</v>
      </c>
      <c r="U96" s="79">
        <f t="shared" si="42"/>
        <v>173584.24333954751</v>
      </c>
      <c r="V96" s="79">
        <f t="shared" si="42"/>
        <v>168419.98415683786</v>
      </c>
      <c r="W96" s="79">
        <f t="shared" si="42"/>
        <v>163404.3775676098</v>
      </c>
      <c r="X96" s="79">
        <f t="shared" si="42"/>
        <v>158967.58201677087</v>
      </c>
      <c r="Y96" s="79">
        <f t="shared" si="42"/>
        <v>153802.52075899029</v>
      </c>
      <c r="Z96" s="79">
        <f t="shared" si="42"/>
        <v>149208.25527180752</v>
      </c>
      <c r="AA96" s="79">
        <f t="shared" si="42"/>
        <v>144746.60563780143</v>
      </c>
    </row>
    <row r="98" spans="2:27" x14ac:dyDescent="0.25">
      <c r="B98" s="72" t="s">
        <v>62</v>
      </c>
    </row>
    <row r="99" spans="2:27" x14ac:dyDescent="0.25">
      <c r="B99" s="23" t="s">
        <v>52</v>
      </c>
      <c r="C99" s="24">
        <f>Fraction_of_Credits</f>
        <v>0.95</v>
      </c>
    </row>
    <row r="100" spans="2:27" x14ac:dyDescent="0.25">
      <c r="B100" s="23" t="s">
        <v>60</v>
      </c>
      <c r="C100" s="23">
        <f>System_Age</f>
        <v>0</v>
      </c>
    </row>
    <row r="101" spans="2:27" x14ac:dyDescent="0.25">
      <c r="B101" s="23" t="s">
        <v>63</v>
      </c>
      <c r="C101" s="79">
        <f>Community_Adder</f>
        <v>0</v>
      </c>
    </row>
    <row r="102" spans="2:27" x14ac:dyDescent="0.25">
      <c r="B102" s="23" t="s">
        <v>64</v>
      </c>
      <c r="C102" s="82">
        <v>0.5</v>
      </c>
      <c r="D102" s="82">
        <v>0.25</v>
      </c>
      <c r="E102" s="82">
        <v>0.25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2">
        <v>0</v>
      </c>
      <c r="AA102" s="82">
        <v>0</v>
      </c>
    </row>
    <row r="103" spans="2:27" x14ac:dyDescent="0.25">
      <c r="B103" s="23" t="s">
        <v>249</v>
      </c>
    </row>
    <row r="104" spans="2:27" x14ac:dyDescent="0.25">
      <c r="B104" s="78" t="s">
        <v>54</v>
      </c>
      <c r="C104" s="79">
        <f t="shared" ref="C104:AA104" si="43">IF(C$3&lt;=System_Age,0,IF(C$3&gt;3,0,Community_Adder*C$102)*Fraction_of_Credits)</f>
        <v>0</v>
      </c>
      <c r="D104" s="79">
        <f t="shared" si="43"/>
        <v>0</v>
      </c>
      <c r="E104" s="79">
        <f t="shared" si="43"/>
        <v>0</v>
      </c>
      <c r="F104" s="79">
        <f t="shared" si="43"/>
        <v>0</v>
      </c>
      <c r="G104" s="79">
        <f t="shared" si="43"/>
        <v>0</v>
      </c>
      <c r="H104" s="79">
        <f t="shared" si="43"/>
        <v>0</v>
      </c>
      <c r="I104" s="79">
        <f t="shared" si="43"/>
        <v>0</v>
      </c>
      <c r="J104" s="79">
        <f t="shared" si="43"/>
        <v>0</v>
      </c>
      <c r="K104" s="79">
        <f t="shared" si="43"/>
        <v>0</v>
      </c>
      <c r="L104" s="79">
        <f t="shared" si="43"/>
        <v>0</v>
      </c>
      <c r="M104" s="79">
        <f t="shared" si="43"/>
        <v>0</v>
      </c>
      <c r="N104" s="79">
        <f t="shared" si="43"/>
        <v>0</v>
      </c>
      <c r="O104" s="79">
        <f t="shared" si="43"/>
        <v>0</v>
      </c>
      <c r="P104" s="79">
        <f t="shared" si="43"/>
        <v>0</v>
      </c>
      <c r="Q104" s="79">
        <f t="shared" si="43"/>
        <v>0</v>
      </c>
      <c r="R104" s="79">
        <f t="shared" si="43"/>
        <v>0</v>
      </c>
      <c r="S104" s="79">
        <f t="shared" si="43"/>
        <v>0</v>
      </c>
      <c r="T104" s="79">
        <f t="shared" si="43"/>
        <v>0</v>
      </c>
      <c r="U104" s="79">
        <f t="shared" si="43"/>
        <v>0</v>
      </c>
      <c r="V104" s="79">
        <f t="shared" si="43"/>
        <v>0</v>
      </c>
      <c r="W104" s="79">
        <f t="shared" si="43"/>
        <v>0</v>
      </c>
      <c r="X104" s="79">
        <f t="shared" si="43"/>
        <v>0</v>
      </c>
      <c r="Y104" s="79">
        <f t="shared" si="43"/>
        <v>0</v>
      </c>
      <c r="Z104" s="79">
        <f t="shared" si="43"/>
        <v>0</v>
      </c>
      <c r="AA104" s="79">
        <f t="shared" si="43"/>
        <v>0</v>
      </c>
    </row>
    <row r="105" spans="2:27" x14ac:dyDescent="0.25">
      <c r="B105" s="78" t="str">
        <f>"Real "&amp;"$ "&amp;TEXT(Inf_Base_Year,"0000")</f>
        <v>Real $ 2022</v>
      </c>
      <c r="C105" s="79">
        <f t="shared" ref="C105:AA105" si="44">C$104*C$47</f>
        <v>0</v>
      </c>
      <c r="D105" s="79">
        <f t="shared" si="44"/>
        <v>0</v>
      </c>
      <c r="E105" s="79">
        <f t="shared" si="44"/>
        <v>0</v>
      </c>
      <c r="F105" s="79">
        <f t="shared" si="44"/>
        <v>0</v>
      </c>
      <c r="G105" s="79">
        <f t="shared" si="44"/>
        <v>0</v>
      </c>
      <c r="H105" s="79">
        <f t="shared" si="44"/>
        <v>0</v>
      </c>
      <c r="I105" s="79">
        <f t="shared" si="44"/>
        <v>0</v>
      </c>
      <c r="J105" s="79">
        <f t="shared" si="44"/>
        <v>0</v>
      </c>
      <c r="K105" s="79">
        <f t="shared" si="44"/>
        <v>0</v>
      </c>
      <c r="L105" s="79">
        <f t="shared" si="44"/>
        <v>0</v>
      </c>
      <c r="M105" s="79">
        <f t="shared" si="44"/>
        <v>0</v>
      </c>
      <c r="N105" s="79">
        <f t="shared" si="44"/>
        <v>0</v>
      </c>
      <c r="O105" s="79">
        <f t="shared" si="44"/>
        <v>0</v>
      </c>
      <c r="P105" s="79">
        <f t="shared" si="44"/>
        <v>0</v>
      </c>
      <c r="Q105" s="79">
        <f t="shared" si="44"/>
        <v>0</v>
      </c>
      <c r="R105" s="79">
        <f t="shared" si="44"/>
        <v>0</v>
      </c>
      <c r="S105" s="79">
        <f t="shared" si="44"/>
        <v>0</v>
      </c>
      <c r="T105" s="79">
        <f t="shared" si="44"/>
        <v>0</v>
      </c>
      <c r="U105" s="79">
        <f t="shared" si="44"/>
        <v>0</v>
      </c>
      <c r="V105" s="79">
        <f t="shared" si="44"/>
        <v>0</v>
      </c>
      <c r="W105" s="79">
        <f t="shared" si="44"/>
        <v>0</v>
      </c>
      <c r="X105" s="79">
        <f t="shared" si="44"/>
        <v>0</v>
      </c>
      <c r="Y105" s="79">
        <f t="shared" si="44"/>
        <v>0</v>
      </c>
      <c r="Z105" s="79">
        <f t="shared" si="44"/>
        <v>0</v>
      </c>
      <c r="AA105" s="79">
        <f t="shared" si="44"/>
        <v>0</v>
      </c>
    </row>
    <row r="107" spans="2:27" x14ac:dyDescent="0.25">
      <c r="B107" s="72" t="s">
        <v>255</v>
      </c>
    </row>
    <row r="108" spans="2:27" x14ac:dyDescent="0.25">
      <c r="B108" s="23" t="s">
        <v>52</v>
      </c>
      <c r="C108" s="24">
        <f>Fraction_of_Credits</f>
        <v>0.95</v>
      </c>
    </row>
    <row r="109" spans="2:27" x14ac:dyDescent="0.25">
      <c r="B109" s="23" t="s">
        <v>22</v>
      </c>
      <c r="C109" s="24">
        <f>Residential_Share</f>
        <v>0.85</v>
      </c>
    </row>
    <row r="110" spans="2:27" x14ac:dyDescent="0.25">
      <c r="B110" s="23" t="s">
        <v>67</v>
      </c>
      <c r="C110" s="84">
        <f>IF((C$3&lt;=System_Age),0,(INDEX(Forecast_NEM_Residential,MATCH(NEM_Utility_Name,Forecasts!$D$141:$D$148,0),MATCH(C$2,Forecast_NEM_Header,0))))</f>
        <v>0.24948888888888884</v>
      </c>
      <c r="D110" s="84">
        <f>IF((D$3&lt;=System_Age),0,(INDEX(Forecast_NEM_Residential,MATCH(NEM_Utility_Name,Forecasts!$D$141:$D$148,0),MATCH(D$2,Forecast_NEM_Header,0))))</f>
        <v>0.21884329746135928</v>
      </c>
      <c r="E110" s="84">
        <f>IF((E$3&lt;=System_Age),0,(INDEX(Forecast_NEM_Residential,MATCH(NEM_Utility_Name,Forecasts!$D$141:$D$148,0),MATCH(E$2,Forecast_NEM_Header,0))))</f>
        <v>0.21702598611975898</v>
      </c>
      <c r="F110" s="84">
        <f>IF((F$3&lt;=System_Age),0,(INDEX(Forecast_NEM_Residential,MATCH(NEM_Utility_Name,Forecasts!$D$141:$D$148,0),MATCH(F$2,Forecast_NEM_Header,0))))</f>
        <v>0.21991146883520066</v>
      </c>
      <c r="G110" s="84">
        <f>IF((G$3&lt;=System_Age),0,(INDEX(Forecast_NEM_Residential,MATCH(NEM_Utility_Name,Forecasts!$D$141:$D$148,0),MATCH(G$2,Forecast_NEM_Header,0))))</f>
        <v>0.21694065760397038</v>
      </c>
      <c r="H110" s="84">
        <f>IF((H$3&lt;=System_Age),0,(INDEX(Forecast_NEM_Residential,MATCH(NEM_Utility_Name,Forecasts!$D$141:$D$148,0),MATCH(H$2,Forecast_NEM_Header,0))))</f>
        <v>0.21272048092808946</v>
      </c>
      <c r="I110" s="84">
        <f>IF((I$3&lt;=System_Age),0,(INDEX(Forecast_NEM_Residential,MATCH(NEM_Utility_Name,Forecasts!$D$141:$D$148,0),MATCH(I$2,Forecast_NEM_Header,0))))</f>
        <v>0.20718116826670352</v>
      </c>
      <c r="J110" s="84">
        <f>IF((J$3&lt;=System_Age),0,(INDEX(Forecast_NEM_Residential,MATCH(NEM_Utility_Name,Forecasts!$D$141:$D$148,0),MATCH(J$2,Forecast_NEM_Header,0))))</f>
        <v>0.20173534144687888</v>
      </c>
      <c r="K110" s="84">
        <f>IF((K$3&lt;=System_Age),0,(INDEX(Forecast_NEM_Residential,MATCH(NEM_Utility_Name,Forecasts!$D$141:$D$148,0),MATCH(K$2,Forecast_NEM_Header,0))))</f>
        <v>0.19902086438575717</v>
      </c>
      <c r="L110" s="84">
        <f>IF((L$3&lt;=System_Age),0,(INDEX(Forecast_NEM_Residential,MATCH(NEM_Utility_Name,Forecasts!$D$141:$D$148,0),MATCH(L$2,Forecast_NEM_Header,0))))</f>
        <v>0.19734846435793202</v>
      </c>
      <c r="M110" s="84">
        <f>IF((M$3&lt;=System_Age),0,(INDEX(Forecast_NEM_Residential,MATCH(NEM_Utility_Name,Forecasts!$D$141:$D$148,0),MATCH(M$2,Forecast_NEM_Header,0))))</f>
        <v>0.19375906860937886</v>
      </c>
      <c r="N110" s="84">
        <f>IF((N$3&lt;=System_Age),0,(INDEX(Forecast_NEM_Residential,MATCH(NEM_Utility_Name,Forecasts!$D$141:$D$148,0),MATCH(N$2,Forecast_NEM_Header,0))))</f>
        <v>0.19180605421690816</v>
      </c>
      <c r="O110" s="84">
        <f>IF((O$3&lt;=System_Age),0,(INDEX(Forecast_NEM_Residential,MATCH(NEM_Utility_Name,Forecasts!$D$141:$D$148,0),MATCH(O$2,Forecast_NEM_Header,0))))</f>
        <v>0.19144536700424375</v>
      </c>
      <c r="P110" s="84">
        <f>IF((P$3&lt;=System_Age),0,(INDEX(Forecast_NEM_Residential,MATCH(NEM_Utility_Name,Forecasts!$D$141:$D$148,0),MATCH(P$2,Forecast_NEM_Header,0))))</f>
        <v>0.19133850170945765</v>
      </c>
      <c r="Q110" s="84">
        <f>IF((Q$3&lt;=System_Age),0,(INDEX(Forecast_NEM_Residential,MATCH(NEM_Utility_Name,Forecasts!$D$141:$D$148,0),MATCH(Q$2,Forecast_NEM_Header,0))))</f>
        <v>0.19099405177633469</v>
      </c>
      <c r="R110" s="84">
        <f>IF((R$3&lt;=System_Age),0,(INDEX(Forecast_NEM_Residential,MATCH(NEM_Utility_Name,Forecasts!$D$141:$D$148,0),MATCH(R$2,Forecast_NEM_Header,0))))</f>
        <v>0.19167360279405221</v>
      </c>
      <c r="S110" s="84">
        <f>IF((S$3&lt;=System_Age),0,(INDEX(Forecast_NEM_Residential,MATCH(NEM_Utility_Name,Forecasts!$D$141:$D$148,0),MATCH(S$2,Forecast_NEM_Header,0))))</f>
        <v>0.19220484073908845</v>
      </c>
      <c r="T110" s="84">
        <f>IF((T$3&lt;=System_Age),0,(INDEX(Forecast_NEM_Residential,MATCH(NEM_Utility_Name,Forecasts!$D$141:$D$148,0),MATCH(T$2,Forecast_NEM_Header,0))))</f>
        <v>0.19336800734448667</v>
      </c>
      <c r="U110" s="84">
        <f>IF((U$3&lt;=System_Age),0,(INDEX(Forecast_NEM_Residential,MATCH(NEM_Utility_Name,Forecasts!$D$141:$D$148,0),MATCH(U$2,Forecast_NEM_Header,0))))</f>
        <v>0.19480871585090609</v>
      </c>
      <c r="V110" s="84">
        <f>IF((V$3&lt;=System_Age),0,(INDEX(Forecast_NEM_Residential,MATCH(NEM_Utility_Name,Forecasts!$D$141:$D$148,0),MATCH(V$2,Forecast_NEM_Header,0))))</f>
        <v>0.19548814164273118</v>
      </c>
      <c r="W110" s="84">
        <f>IF((W$3&lt;=System_Age),0,(INDEX(Forecast_NEM_Residential,MATCH(NEM_Utility_Name,Forecasts!$D$141:$D$148,0),MATCH(W$2,Forecast_NEM_Header,0))))</f>
        <v>0.19476511150852743</v>
      </c>
      <c r="X110" s="84">
        <f>IF((X$3&lt;=System_Age),0,(INDEX(Forecast_NEM_Residential,MATCH(NEM_Utility_Name,Forecasts!$D$141:$D$148,0),MATCH(X$2,Forecast_NEM_Header,0))))</f>
        <v>0.19580663545910021</v>
      </c>
      <c r="Y110" s="84">
        <f>IF((Y$3&lt;=System_Age),0,(INDEX(Forecast_NEM_Residential,MATCH(NEM_Utility_Name,Forecasts!$D$141:$D$148,0),MATCH(Y$2,Forecast_NEM_Header,0))))</f>
        <v>0.19680140694953507</v>
      </c>
      <c r="Z110" s="84">
        <f>IF((Z$3&lt;=System_Age),0,(INDEX(Forecast_NEM_Residential,MATCH(NEM_Utility_Name,Forecasts!$D$141:$D$148,0),MATCH(Z$2,Forecast_NEM_Header,0))))</f>
        <v>0.19919721845419058</v>
      </c>
      <c r="AA110" s="84">
        <f>IF((AA$3&lt;=System_Age),0,(INDEX(Forecast_NEM_Residential,MATCH(NEM_Utility_Name,Forecasts!$D$141:$D$148,0),MATCH(AA$2,Forecast_NEM_Header,0))))</f>
        <v>0.20150644876983914</v>
      </c>
    </row>
    <row r="111" spans="2:27" x14ac:dyDescent="0.25">
      <c r="B111" s="23" t="s">
        <v>68</v>
      </c>
      <c r="C111" s="84">
        <f>IF((C$3&lt;=System_Age),0,(INDEX(Forecast_NEM_Commercial,MATCH(NEM_Utility_Name,Forecasts!$D$149:$D$156,0),MATCH(C$2,Forecast_NEM_Header,0))))</f>
        <v>0.14847410527394972</v>
      </c>
      <c r="D111" s="84">
        <f>IF((D$3&lt;=System_Age),0,(INDEX(Forecast_NEM_Commercial,MATCH(NEM_Utility_Name,Forecasts!$D$149:$D$156,0),MATCH(D$2,Forecast_NEM_Header,0))))</f>
        <v>0.12384458864108916</v>
      </c>
      <c r="E111" s="84">
        <f>IF((E$3&lt;=System_Age),0,(INDEX(Forecast_NEM_Commercial,MATCH(NEM_Utility_Name,Forecasts!$D$149:$D$156,0),MATCH(E$2,Forecast_NEM_Header,0))))</f>
        <v>0.1223840359863663</v>
      </c>
      <c r="F111" s="84">
        <f>IF((F$3&lt;=System_Age),0,(INDEX(Forecast_NEM_Commercial,MATCH(NEM_Utility_Name,Forecasts!$D$149:$D$156,0),MATCH(F$2,Forecast_NEM_Header,0))))</f>
        <v>0.12470306594217129</v>
      </c>
      <c r="G111" s="84">
        <f>IF((G$3&lt;=System_Age),0,(INDEX(Forecast_NEM_Commercial,MATCH(NEM_Utility_Name,Forecasts!$D$149:$D$156,0),MATCH(G$2,Forecast_NEM_Header,0))))</f>
        <v>0.12231545841938271</v>
      </c>
      <c r="H111" s="84">
        <f>IF((H$3&lt;=System_Age),0,(INDEX(Forecast_NEM_Commercial,MATCH(NEM_Utility_Name,Forecasts!$D$149:$D$156,0),MATCH(H$2,Forecast_NEM_Header,0))))</f>
        <v>0.1189237499618051</v>
      </c>
      <c r="I111" s="84">
        <f>IF((I$3&lt;=System_Age),0,(INDEX(Forecast_NEM_Commercial,MATCH(NEM_Utility_Name,Forecasts!$D$149:$D$156,0),MATCH(I$2,Forecast_NEM_Header,0))))</f>
        <v>0.11447186677166174</v>
      </c>
      <c r="J111" s="84">
        <f>IF((J$3&lt;=System_Age),0,(INDEX(Forecast_NEM_Commercial,MATCH(NEM_Utility_Name,Forecasts!$D$149:$D$156,0),MATCH(J$2,Forecast_NEM_Header,0))))</f>
        <v>0.11009511709933989</v>
      </c>
      <c r="K111" s="84">
        <f>IF((K$3&lt;=System_Age),0,(INDEX(Forecast_NEM_Commercial,MATCH(NEM_Utility_Name,Forecasts!$D$149:$D$156,0),MATCH(K$2,Forecast_NEM_Header,0))))</f>
        <v>0.10791352246167345</v>
      </c>
      <c r="L111" s="84">
        <f>IF((L$3&lt;=System_Age),0,(INDEX(Forecast_NEM_Commercial,MATCH(NEM_Utility_Name,Forecasts!$D$149:$D$156,0),MATCH(L$2,Forecast_NEM_Header,0))))</f>
        <v>0.10656943339752462</v>
      </c>
      <c r="M111" s="84">
        <f>IF((M$3&lt;=System_Age),0,(INDEX(Forecast_NEM_Commercial,MATCH(NEM_Utility_Name,Forecasts!$D$149:$D$156,0),MATCH(M$2,Forecast_NEM_Header,0))))</f>
        <v>0.10368467646601071</v>
      </c>
      <c r="N111" s="84">
        <f>IF((N$3&lt;=System_Age),0,(INDEX(Forecast_NEM_Commercial,MATCH(NEM_Utility_Name,Forecasts!$D$149:$D$156,0),MATCH(N$2,Forecast_NEM_Header,0))))</f>
        <v>0.10211506079788682</v>
      </c>
      <c r="O111" s="84">
        <f>IF((O$3&lt;=System_Age),0,(INDEX(Forecast_NEM_Commercial,MATCH(NEM_Utility_Name,Forecasts!$D$149:$D$156,0),MATCH(O$2,Forecast_NEM_Header,0))))</f>
        <v>0.10182518054791398</v>
      </c>
      <c r="P111" s="84">
        <f>IF((P$3&lt;=System_Age),0,(INDEX(Forecast_NEM_Commercial,MATCH(NEM_Utility_Name,Forecasts!$D$149:$D$156,0),MATCH(P$2,Forecast_NEM_Header,0))))</f>
        <v>0.10173929411424426</v>
      </c>
      <c r="Q111" s="84">
        <f>IF((Q$3&lt;=System_Age),0,(INDEX(Forecast_NEM_Commercial,MATCH(NEM_Utility_Name,Forecasts!$D$149:$D$156,0),MATCH(Q$2,Forecast_NEM_Header,0))))</f>
        <v>0.10146246358293923</v>
      </c>
      <c r="R111" s="84">
        <f>IF((R$3&lt;=System_Age),0,(INDEX(Forecast_NEM_Commercial,MATCH(NEM_Utility_Name,Forecasts!$D$149:$D$156,0),MATCH(R$2,Forecast_NEM_Header,0))))</f>
        <v>0.10200861108129411</v>
      </c>
      <c r="S111" s="84">
        <f>IF((S$3&lt;=System_Age),0,(INDEX(Forecast_NEM_Commercial,MATCH(NEM_Utility_Name,Forecasts!$D$149:$D$156,0),MATCH(S$2,Forecast_NEM_Header,0))))</f>
        <v>0.10243556103376011</v>
      </c>
      <c r="T111" s="84">
        <f>IF((T$3&lt;=System_Age),0,(INDEX(Forecast_NEM_Commercial,MATCH(NEM_Utility_Name,Forecasts!$D$149:$D$156,0),MATCH(T$2,Forecast_NEM_Header,0))))</f>
        <v>0.10337038493240117</v>
      </c>
      <c r="U111" s="84">
        <f>IF((U$3&lt;=System_Age),0,(INDEX(Forecast_NEM_Commercial,MATCH(NEM_Utility_Name,Forecasts!$D$149:$D$156,0),MATCH(U$2,Forecast_NEM_Header,0))))</f>
        <v>0.10452826613061114</v>
      </c>
      <c r="V111" s="84">
        <f>IF((V$3&lt;=System_Age),0,(INDEX(Forecast_NEM_Commercial,MATCH(NEM_Utility_Name,Forecasts!$D$149:$D$156,0),MATCH(V$2,Forecast_NEM_Header,0))))</f>
        <v>0.10507431298632683</v>
      </c>
      <c r="W111" s="84">
        <f>IF((W$3&lt;=System_Age),0,(INDEX(Forecast_NEM_Commercial,MATCH(NEM_Utility_Name,Forecasts!$D$149:$D$156,0),MATCH(W$2,Forecast_NEM_Header,0))))</f>
        <v>0.10449322181180855</v>
      </c>
      <c r="X111" s="84">
        <f>IF((X$3&lt;=System_Age),0,(INDEX(Forecast_NEM_Commercial,MATCH(NEM_Utility_Name,Forecasts!$D$149:$D$156,0),MATCH(X$2,Forecast_NEM_Header,0))))</f>
        <v>0.10533028287897109</v>
      </c>
      <c r="Y111" s="84">
        <f>IF((Y$3&lt;=System_Age),0,(INDEX(Forecast_NEM_Commercial,MATCH(NEM_Utility_Name,Forecasts!$D$149:$D$156,0),MATCH(Y$2,Forecast_NEM_Header,0))))</f>
        <v>0.10612976952054887</v>
      </c>
      <c r="Z111" s="84">
        <f>IF((Z$3&lt;=System_Age),0,(INDEX(Forecast_NEM_Commercial,MATCH(NEM_Utility_Name,Forecasts!$D$149:$D$156,0),MATCH(Z$2,Forecast_NEM_Header,0))))</f>
        <v>0.10805525623998952</v>
      </c>
      <c r="AA111" s="84">
        <f>IF((AA$3&lt;=System_Age),0,(INDEX(Forecast_NEM_Commercial,MATCH(NEM_Utility_Name,Forecasts!$D$149:$D$156,0),MATCH(AA$2,Forecast_NEM_Header,0))))</f>
        <v>0.1099111586330913</v>
      </c>
    </row>
    <row r="112" spans="2:27" x14ac:dyDescent="0.25">
      <c r="B112" s="23" t="s">
        <v>254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5">
      <c r="B113" s="78" t="s">
        <v>54</v>
      </c>
      <c r="C113" s="79">
        <f t="shared" ref="C113:AA113" si="45">C$114*C$48</f>
        <v>2332688.9106211131</v>
      </c>
      <c r="D113" s="79">
        <f t="shared" si="45"/>
        <v>2082780.7175030033</v>
      </c>
      <c r="E113" s="79">
        <f t="shared" si="45"/>
        <v>2100056.7365875342</v>
      </c>
      <c r="F113" s="79">
        <f t="shared" si="45"/>
        <v>2171257.3942344394</v>
      </c>
      <c r="G113" s="79">
        <f t="shared" si="45"/>
        <v>2183193.7543132221</v>
      </c>
      <c r="H113" s="79">
        <f t="shared" si="45"/>
        <v>2187355.7621450578</v>
      </c>
      <c r="I113" s="79">
        <f t="shared" si="45"/>
        <v>2164246.2151479446</v>
      </c>
      <c r="J113" s="79">
        <f t="shared" si="45"/>
        <v>2146565.217893153</v>
      </c>
      <c r="K113" s="79">
        <f t="shared" si="45"/>
        <v>2158154.2157648513</v>
      </c>
      <c r="L113" s="79">
        <f t="shared" si="45"/>
        <v>2187292.3255281611</v>
      </c>
      <c r="M113" s="79">
        <f t="shared" si="45"/>
        <v>2181971.4538127305</v>
      </c>
      <c r="N113" s="79">
        <f t="shared" si="45"/>
        <v>2201353.8950080439</v>
      </c>
      <c r="O113" s="79">
        <f t="shared" si="45"/>
        <v>2240043.8275336865</v>
      </c>
      <c r="P113" s="79">
        <f t="shared" si="45"/>
        <v>2288754.602199391</v>
      </c>
      <c r="Q113" s="79">
        <f t="shared" si="45"/>
        <v>2322679.6713099512</v>
      </c>
      <c r="R113" s="79">
        <f t="shared" si="45"/>
        <v>2376742.3933712952</v>
      </c>
      <c r="S113" s="79">
        <f t="shared" si="45"/>
        <v>2430002.1396565093</v>
      </c>
      <c r="T113" s="79">
        <f t="shared" si="45"/>
        <v>2499691.3033975917</v>
      </c>
      <c r="U113" s="79">
        <f t="shared" si="45"/>
        <v>2560975.6090823258</v>
      </c>
      <c r="V113" s="79">
        <f t="shared" si="45"/>
        <v>2620073.7819171953</v>
      </c>
      <c r="W113" s="79">
        <f t="shared" si="45"/>
        <v>2660436.4142563157</v>
      </c>
      <c r="X113" s="79">
        <f t="shared" si="45"/>
        <v>2734394.8272593846</v>
      </c>
      <c r="Y113" s="79">
        <f t="shared" si="45"/>
        <v>2794207.4771658601</v>
      </c>
      <c r="Z113" s="79">
        <f t="shared" si="45"/>
        <v>2884120.1339656701</v>
      </c>
      <c r="AA113" s="79">
        <f t="shared" si="45"/>
        <v>2975031.9644053616</v>
      </c>
    </row>
    <row r="114" spans="2:27" x14ac:dyDescent="0.25">
      <c r="B114" s="78" t="str">
        <f>"Real "&amp;"$ "&amp;TEXT(Inf_Base_Year,"0000")</f>
        <v>Real $ 2022</v>
      </c>
      <c r="C114" s="79">
        <f t="shared" ref="C114:AA114" si="46">C$56*Fraction_of_Credits*(Residential_Share*C$110+(1-Residential_Share)*C$111)</f>
        <v>2275794.0591425495</v>
      </c>
      <c r="D114" s="79">
        <f t="shared" si="46"/>
        <v>1982420.671032008</v>
      </c>
      <c r="E114" s="79">
        <f t="shared" si="46"/>
        <v>1950111.4484932343</v>
      </c>
      <c r="F114" s="79">
        <f t="shared" si="46"/>
        <v>1967052.0363329262</v>
      </c>
      <c r="G114" s="79">
        <f t="shared" si="46"/>
        <v>1929625.1604320602</v>
      </c>
      <c r="H114" s="79">
        <f t="shared" si="46"/>
        <v>1886150.0184383343</v>
      </c>
      <c r="I114" s="79">
        <f t="shared" si="46"/>
        <v>1820705.1009648358</v>
      </c>
      <c r="J114" s="79">
        <f t="shared" si="46"/>
        <v>1761786.0416124626</v>
      </c>
      <c r="K114" s="79">
        <f t="shared" si="46"/>
        <v>1728095.2896339705</v>
      </c>
      <c r="L114" s="79">
        <f t="shared" si="46"/>
        <v>1708709.2688095481</v>
      </c>
      <c r="M114" s="79">
        <f t="shared" si="46"/>
        <v>1662978.1583704061</v>
      </c>
      <c r="N114" s="79">
        <f t="shared" si="46"/>
        <v>1636829.643700643</v>
      </c>
      <c r="O114" s="79">
        <f t="shared" si="46"/>
        <v>1624973.4348508201</v>
      </c>
      <c r="P114" s="79">
        <f t="shared" si="46"/>
        <v>1619813.8763972791</v>
      </c>
      <c r="Q114" s="79">
        <f t="shared" si="46"/>
        <v>1603730.3126096178</v>
      </c>
      <c r="R114" s="79">
        <f t="shared" si="46"/>
        <v>1601032.9366848147</v>
      </c>
      <c r="S114" s="79">
        <f t="shared" si="46"/>
        <v>1596985.3948629235</v>
      </c>
      <c r="T114" s="79">
        <f t="shared" si="46"/>
        <v>1602716.8476148529</v>
      </c>
      <c r="U114" s="79">
        <f t="shared" si="46"/>
        <v>1601961.2245829666</v>
      </c>
      <c r="V114" s="79">
        <f t="shared" si="46"/>
        <v>1598954.8972503082</v>
      </c>
      <c r="W114" s="79">
        <f t="shared" si="46"/>
        <v>1583987.3550674808</v>
      </c>
      <c r="X114" s="79">
        <f t="shared" si="46"/>
        <v>1588313.3462271441</v>
      </c>
      <c r="Y114" s="79">
        <f t="shared" si="46"/>
        <v>1583469.6598210272</v>
      </c>
      <c r="Z114" s="79">
        <f t="shared" si="46"/>
        <v>1594558.9405798356</v>
      </c>
      <c r="AA114" s="79">
        <f t="shared" si="46"/>
        <v>1604704.2449110569</v>
      </c>
    </row>
    <row r="116" spans="2:27" x14ac:dyDescent="0.25">
      <c r="B116" s="72" t="s">
        <v>65</v>
      </c>
    </row>
    <row r="117" spans="2:27" x14ac:dyDescent="0.25">
      <c r="B117" s="23" t="s">
        <v>382</v>
      </c>
      <c r="C117" s="74">
        <f>System_Size</f>
        <v>5000</v>
      </c>
    </row>
    <row r="118" spans="2:27" x14ac:dyDescent="0.25">
      <c r="B118" s="23" t="s">
        <v>53</v>
      </c>
      <c r="C118" s="26">
        <f t="shared" ref="C118:AA118" si="47">IF((C$3&lt;=System_Age),0,(VLOOKUP(Plant_Type&amp;"-"&amp;NYISO_Zone,Forecast_Energy_Tier1,MATCH(C$2,Forecast_Energy_Header,0),FALSE)))</f>
        <v>55.575904846191413</v>
      </c>
      <c r="D118" s="26">
        <f t="shared" si="47"/>
        <v>44.727138519287109</v>
      </c>
      <c r="E118" s="26">
        <f t="shared" si="47"/>
        <v>39.137470245361328</v>
      </c>
      <c r="F118" s="26">
        <f t="shared" si="47"/>
        <v>44.204486846923828</v>
      </c>
      <c r="G118" s="26">
        <f t="shared" si="47"/>
        <v>42.380153656005859</v>
      </c>
      <c r="H118" s="26">
        <f t="shared" si="47"/>
        <v>39.525348663330078</v>
      </c>
      <c r="I118" s="26">
        <f t="shared" si="47"/>
        <v>36.473468780517578</v>
      </c>
      <c r="J118" s="26">
        <f t="shared" si="47"/>
        <v>33.217666625976563</v>
      </c>
      <c r="K118" s="26">
        <f t="shared" si="47"/>
        <v>30.819290161132809</v>
      </c>
      <c r="L118" s="26">
        <f t="shared" si="47"/>
        <v>28.07244873046875</v>
      </c>
      <c r="M118" s="26">
        <f t="shared" si="47"/>
        <v>23.719635009765629</v>
      </c>
      <c r="N118" s="26">
        <f t="shared" si="47"/>
        <v>20.831192016601559</v>
      </c>
      <c r="O118" s="26">
        <f t="shared" si="47"/>
        <v>19.041025161743161</v>
      </c>
      <c r="P118" s="26">
        <f t="shared" si="47"/>
        <v>18.35466384887695</v>
      </c>
      <c r="Q118" s="26">
        <f t="shared" si="47"/>
        <v>17.66750335693359</v>
      </c>
      <c r="R118" s="26">
        <f t="shared" si="47"/>
        <v>17.305080413818359</v>
      </c>
      <c r="S118" s="26">
        <f t="shared" si="47"/>
        <v>16.86081695556641</v>
      </c>
      <c r="T118" s="26">
        <f t="shared" si="47"/>
        <v>16.1634407043457</v>
      </c>
      <c r="U118" s="26">
        <f t="shared" si="47"/>
        <v>16.33798789978027</v>
      </c>
      <c r="V118" s="26">
        <f t="shared" si="47"/>
        <v>16.415983200073239</v>
      </c>
      <c r="W118" s="26">
        <f t="shared" si="47"/>
        <v>15.85454750061035</v>
      </c>
      <c r="X118" s="26">
        <f t="shared" si="47"/>
        <v>16.072273254394531</v>
      </c>
      <c r="Y118" s="26">
        <f t="shared" si="47"/>
        <v>16.09664154052734</v>
      </c>
      <c r="Z118" s="26">
        <f t="shared" si="47"/>
        <v>16.783699035644531</v>
      </c>
      <c r="AA118" s="26">
        <f t="shared" si="47"/>
        <v>16.714292526245121</v>
      </c>
    </row>
    <row r="119" spans="2:27" x14ac:dyDescent="0.25">
      <c r="B119" s="23" t="s">
        <v>248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 spans="2:27" x14ac:dyDescent="0.25">
      <c r="B120" s="78" t="s">
        <v>54</v>
      </c>
      <c r="C120" s="79">
        <f t="shared" ref="C120:AA120" si="48">C$121*C$48</f>
        <v>582343.86578324228</v>
      </c>
      <c r="D120" s="79">
        <f t="shared" si="48"/>
        <v>479290.96729813074</v>
      </c>
      <c r="E120" s="79">
        <f t="shared" si="48"/>
        <v>426548.71568187344</v>
      </c>
      <c r="F120" s="79">
        <f t="shared" si="48"/>
        <v>491323.05419290357</v>
      </c>
      <c r="G120" s="79">
        <f t="shared" si="48"/>
        <v>480371.27199270099</v>
      </c>
      <c r="H120" s="79">
        <f t="shared" si="48"/>
        <v>458121.67092062085</v>
      </c>
      <c r="I120" s="79">
        <f t="shared" si="48"/>
        <v>429917.33597962558</v>
      </c>
      <c r="J120" s="79">
        <f t="shared" si="48"/>
        <v>399260.60093152837</v>
      </c>
      <c r="K120" s="79">
        <f t="shared" si="48"/>
        <v>377726.75760708994</v>
      </c>
      <c r="L120" s="79">
        <f t="shared" si="48"/>
        <v>351786.8823790293</v>
      </c>
      <c r="M120" s="79">
        <f t="shared" si="48"/>
        <v>302247.8526034659</v>
      </c>
      <c r="N120" s="79">
        <f t="shared" si="48"/>
        <v>270645.87533547188</v>
      </c>
      <c r="O120" s="79">
        <f t="shared" si="48"/>
        <v>252230.45775405524</v>
      </c>
      <c r="P120" s="79">
        <f t="shared" si="48"/>
        <v>248570.43931921243</v>
      </c>
      <c r="Q120" s="79">
        <f t="shared" si="48"/>
        <v>243268.12587475215</v>
      </c>
      <c r="R120" s="79">
        <f t="shared" si="48"/>
        <v>242921.69242307401</v>
      </c>
      <c r="S120" s="79">
        <f t="shared" si="48"/>
        <v>241291.0704279065</v>
      </c>
      <c r="T120" s="79">
        <f t="shared" si="48"/>
        <v>236451.35321838123</v>
      </c>
      <c r="U120" s="79">
        <f t="shared" si="48"/>
        <v>242975.50994503868</v>
      </c>
      <c r="V120" s="79">
        <f t="shared" si="48"/>
        <v>248863.88893416943</v>
      </c>
      <c r="W120" s="79">
        <f t="shared" si="48"/>
        <v>245000.30870496394</v>
      </c>
      <c r="X120" s="79">
        <f t="shared" si="48"/>
        <v>253853.23357739832</v>
      </c>
      <c r="Y120" s="79">
        <f t="shared" si="48"/>
        <v>258430.21021752592</v>
      </c>
      <c r="Z120" s="79">
        <f t="shared" si="48"/>
        <v>274645.7106519654</v>
      </c>
      <c r="AA120" s="79">
        <f t="shared" si="48"/>
        <v>278763.81738509965</v>
      </c>
    </row>
    <row r="121" spans="2:27" x14ac:dyDescent="0.25">
      <c r="B121" s="78" t="str">
        <f>"Real "&amp;"$ "&amp;TEXT(Inf_Base_Year,"0000")</f>
        <v>Real $ 2022</v>
      </c>
      <c r="C121" s="79">
        <f>(C$56/1000)*C$118</f>
        <v>568140.35686169984</v>
      </c>
      <c r="D121" s="79">
        <f t="shared" ref="D121:AA121" si="49">(D$56/1000)*D$118</f>
        <v>456196.04263950582</v>
      </c>
      <c r="E121" s="79">
        <f t="shared" si="49"/>
        <v>396092.88611076307</v>
      </c>
      <c r="F121" s="79">
        <f t="shared" si="49"/>
        <v>445114.43775104597</v>
      </c>
      <c r="G121" s="79">
        <f t="shared" si="49"/>
        <v>424578.20839518635</v>
      </c>
      <c r="H121" s="79">
        <f t="shared" si="49"/>
        <v>395036.88106344099</v>
      </c>
      <c r="I121" s="79">
        <f t="shared" si="49"/>
        <v>361674.508719337</v>
      </c>
      <c r="J121" s="79">
        <f t="shared" si="49"/>
        <v>327691.76907532627</v>
      </c>
      <c r="K121" s="79">
        <f t="shared" si="49"/>
        <v>302456.5278149923</v>
      </c>
      <c r="L121" s="79">
        <f t="shared" si="49"/>
        <v>274815.35026257404</v>
      </c>
      <c r="M121" s="79">
        <f t="shared" si="49"/>
        <v>230356.62378425436</v>
      </c>
      <c r="N121" s="79">
        <f t="shared" si="49"/>
        <v>201240.33336892902</v>
      </c>
      <c r="O121" s="79">
        <f t="shared" si="49"/>
        <v>182973.11341531691</v>
      </c>
      <c r="P121" s="79">
        <f t="shared" si="49"/>
        <v>175920.05996820764</v>
      </c>
      <c r="Q121" s="79">
        <f t="shared" si="49"/>
        <v>167968.26199328722</v>
      </c>
      <c r="R121" s="79">
        <f t="shared" si="49"/>
        <v>163638.10890455282</v>
      </c>
      <c r="S121" s="79">
        <f t="shared" si="49"/>
        <v>158575.29880145573</v>
      </c>
      <c r="T121" s="79">
        <f t="shared" si="49"/>
        <v>151604.54690118725</v>
      </c>
      <c r="U121" s="79">
        <f t="shared" si="49"/>
        <v>151987.91588440794</v>
      </c>
      <c r="V121" s="79">
        <f t="shared" si="49"/>
        <v>151874.40014337082</v>
      </c>
      <c r="W121" s="79">
        <f t="shared" si="49"/>
        <v>145869.82379910524</v>
      </c>
      <c r="X121" s="79">
        <f t="shared" si="49"/>
        <v>147454.3744942694</v>
      </c>
      <c r="Y121" s="79">
        <f t="shared" si="49"/>
        <v>146451.68635640718</v>
      </c>
      <c r="Z121" s="79">
        <f t="shared" si="49"/>
        <v>151844.84455223696</v>
      </c>
      <c r="AA121" s="79">
        <f t="shared" si="49"/>
        <v>150362.57977648033</v>
      </c>
    </row>
    <row r="122" spans="2:27" x14ac:dyDescent="0.25">
      <c r="B122" s="80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2:27" x14ac:dyDescent="0.25">
      <c r="B123" s="72" t="s">
        <v>66</v>
      </c>
    </row>
    <row r="124" spans="2:27" x14ac:dyDescent="0.25">
      <c r="B124" s="23" t="s">
        <v>60</v>
      </c>
      <c r="C124" s="23">
        <f>System_Age</f>
        <v>0</v>
      </c>
    </row>
    <row r="125" spans="2:27" x14ac:dyDescent="0.25">
      <c r="B125" s="23" t="s">
        <v>382</v>
      </c>
      <c r="C125" s="74">
        <f>System_Size</f>
        <v>5000</v>
      </c>
    </row>
    <row r="126" spans="2:27" x14ac:dyDescent="0.25">
      <c r="B126" s="23" t="s">
        <v>49</v>
      </c>
      <c r="C126" s="83">
        <f t="shared" ref="C126:AA126" si="50">1-Degradation*(C$3-1)</f>
        <v>1</v>
      </c>
      <c r="D126" s="83">
        <f t="shared" si="50"/>
        <v>0.995</v>
      </c>
      <c r="E126" s="83">
        <f t="shared" si="50"/>
        <v>0.99</v>
      </c>
      <c r="F126" s="83">
        <f t="shared" si="50"/>
        <v>0.98499999999999999</v>
      </c>
      <c r="G126" s="83">
        <f t="shared" si="50"/>
        <v>0.98</v>
      </c>
      <c r="H126" s="83">
        <f t="shared" si="50"/>
        <v>0.97499999999999998</v>
      </c>
      <c r="I126" s="83">
        <f t="shared" si="50"/>
        <v>0.97</v>
      </c>
      <c r="J126" s="83">
        <f t="shared" si="50"/>
        <v>0.96499999999999997</v>
      </c>
      <c r="K126" s="83">
        <f t="shared" si="50"/>
        <v>0.96</v>
      </c>
      <c r="L126" s="83">
        <f t="shared" si="50"/>
        <v>0.95499999999999996</v>
      </c>
      <c r="M126" s="83">
        <f t="shared" si="50"/>
        <v>0.95</v>
      </c>
      <c r="N126" s="83">
        <f t="shared" si="50"/>
        <v>0.94499999999999995</v>
      </c>
      <c r="O126" s="83">
        <f t="shared" si="50"/>
        <v>0.94</v>
      </c>
      <c r="P126" s="83">
        <f t="shared" si="50"/>
        <v>0.93500000000000005</v>
      </c>
      <c r="Q126" s="83">
        <f t="shared" si="50"/>
        <v>0.92999999999999994</v>
      </c>
      <c r="R126" s="83">
        <f t="shared" si="50"/>
        <v>0.92500000000000004</v>
      </c>
      <c r="S126" s="83">
        <f t="shared" si="50"/>
        <v>0.92</v>
      </c>
      <c r="T126" s="83">
        <f t="shared" si="50"/>
        <v>0.91500000000000004</v>
      </c>
      <c r="U126" s="83">
        <f t="shared" si="50"/>
        <v>0.91</v>
      </c>
      <c r="V126" s="83">
        <f t="shared" si="50"/>
        <v>0.90500000000000003</v>
      </c>
      <c r="W126" s="83">
        <f t="shared" si="50"/>
        <v>0.9</v>
      </c>
      <c r="X126" s="83">
        <f t="shared" si="50"/>
        <v>0.89500000000000002</v>
      </c>
      <c r="Y126" s="83">
        <f t="shared" si="50"/>
        <v>0.89</v>
      </c>
      <c r="Z126" s="83">
        <f t="shared" si="50"/>
        <v>0.88500000000000001</v>
      </c>
      <c r="AA126" s="83">
        <f t="shared" si="50"/>
        <v>0.88</v>
      </c>
    </row>
    <row r="127" spans="2:27" x14ac:dyDescent="0.25">
      <c r="B127" s="23" t="s">
        <v>56</v>
      </c>
      <c r="C127" s="26">
        <f t="shared" ref="C127:AA127" si="51">IF((C$3&lt;=System_Age),0,VLOOKUP(Plant_Type&amp;"-"&amp;NYISO_Zone,Forecast_ICAP,MATCH(C$2,Forecast_ICAP_Header,0),FALSE))</f>
        <v>10.541406450933867</v>
      </c>
      <c r="D127" s="26">
        <f t="shared" si="51"/>
        <v>7.0987649674941062</v>
      </c>
      <c r="E127" s="26">
        <f t="shared" si="51"/>
        <v>6.8318512349014586</v>
      </c>
      <c r="F127" s="26">
        <f t="shared" si="51"/>
        <v>6.603779015058552</v>
      </c>
      <c r="G127" s="26">
        <f t="shared" si="51"/>
        <v>6.2105406072806844</v>
      </c>
      <c r="H127" s="26">
        <f t="shared" si="51"/>
        <v>5.7925478789478237</v>
      </c>
      <c r="I127" s="26">
        <f t="shared" si="51"/>
        <v>5.4419384503703938</v>
      </c>
      <c r="J127" s="26">
        <f t="shared" si="51"/>
        <v>5.0846071184170585</v>
      </c>
      <c r="K127" s="26">
        <f t="shared" si="51"/>
        <v>4.7645476942520597</v>
      </c>
      <c r="L127" s="26">
        <f t="shared" si="51"/>
        <v>4.3458473102332125</v>
      </c>
      <c r="M127" s="26">
        <f t="shared" si="51"/>
        <v>3.9544104087605794</v>
      </c>
      <c r="N127" s="26">
        <f t="shared" si="51"/>
        <v>3.4643239676213167</v>
      </c>
      <c r="O127" s="26">
        <f t="shared" si="51"/>
        <v>2.8373418560692256</v>
      </c>
      <c r="P127" s="26">
        <f t="shared" si="51"/>
        <v>2.5849513444683496</v>
      </c>
      <c r="Q127" s="26">
        <f t="shared" si="51"/>
        <v>2.3085603535098627</v>
      </c>
      <c r="R127" s="26">
        <f t="shared" si="51"/>
        <v>3.7914237493626803</v>
      </c>
      <c r="S127" s="26">
        <f t="shared" si="51"/>
        <v>5.4974255314065674</v>
      </c>
      <c r="T127" s="26">
        <f t="shared" si="51"/>
        <v>4.7344528032588711</v>
      </c>
      <c r="U127" s="26">
        <f t="shared" si="51"/>
        <v>4.4599203236848464</v>
      </c>
      <c r="V127" s="26">
        <f t="shared" si="51"/>
        <v>4.5989373881994329</v>
      </c>
      <c r="W127" s="26">
        <f t="shared" si="51"/>
        <v>4.7744139605551146</v>
      </c>
      <c r="X127" s="26">
        <f t="shared" si="51"/>
        <v>5.8206979584239633</v>
      </c>
      <c r="Y127" s="26">
        <f t="shared" si="51"/>
        <v>6.6941787398196668</v>
      </c>
      <c r="Z127" s="26">
        <f t="shared" si="51"/>
        <v>7.0408103749516089</v>
      </c>
      <c r="AA127" s="26">
        <f t="shared" si="51"/>
        <v>6.460663480396537</v>
      </c>
    </row>
    <row r="128" spans="2:27" x14ac:dyDescent="0.25">
      <c r="B128" s="26" t="s">
        <v>247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2:27" x14ac:dyDescent="0.25">
      <c r="B129" s="78" t="s">
        <v>54</v>
      </c>
      <c r="C129" s="79">
        <f t="shared" ref="C129:AA129" si="52">C$130*C$48</f>
        <v>54024.708061036064</v>
      </c>
      <c r="D129" s="79">
        <f t="shared" si="52"/>
        <v>37104.246221268135</v>
      </c>
      <c r="E129" s="79">
        <f t="shared" si="52"/>
        <v>36417.924903987259</v>
      </c>
      <c r="F129" s="79">
        <f t="shared" si="52"/>
        <v>35899.981788027937</v>
      </c>
      <c r="G129" s="79">
        <f t="shared" si="52"/>
        <v>34430.617582883664</v>
      </c>
      <c r="H129" s="79">
        <f t="shared" si="52"/>
        <v>32748.20079325679</v>
      </c>
      <c r="I129" s="79">
        <f t="shared" si="52"/>
        <v>31373.460335228596</v>
      </c>
      <c r="J129" s="79">
        <f t="shared" si="52"/>
        <v>29891.357720883178</v>
      </c>
      <c r="K129" s="79">
        <f t="shared" si="52"/>
        <v>28561.282482724459</v>
      </c>
      <c r="L129" s="79">
        <f t="shared" si="52"/>
        <v>26563.573172349192</v>
      </c>
      <c r="M129" s="79">
        <f t="shared" si="52"/>
        <v>24645.513399824733</v>
      </c>
      <c r="N129" s="79">
        <f t="shared" si="52"/>
        <v>22014.392026516318</v>
      </c>
      <c r="O129" s="79">
        <f t="shared" si="52"/>
        <v>18383.143307083883</v>
      </c>
      <c r="P129" s="79">
        <f t="shared" si="52"/>
        <v>17075.290603200556</v>
      </c>
      <c r="Q129" s="79">
        <f t="shared" si="52"/>
        <v>15547.199331659322</v>
      </c>
      <c r="R129" s="79">
        <f t="shared" si="52"/>
        <v>26031.303131336157</v>
      </c>
      <c r="S129" s="79">
        <f t="shared" si="52"/>
        <v>38478.922159026915</v>
      </c>
      <c r="T129" s="79">
        <f t="shared" si="52"/>
        <v>33782.397440890076</v>
      </c>
      <c r="U129" s="79">
        <f t="shared" si="52"/>
        <v>32440.828663148684</v>
      </c>
      <c r="V129" s="79">
        <f t="shared" si="52"/>
        <v>34099.922215068182</v>
      </c>
      <c r="W129" s="79">
        <f t="shared" si="52"/>
        <v>36085.585674287388</v>
      </c>
      <c r="X129" s="79">
        <f t="shared" si="52"/>
        <v>44842.843358310623</v>
      </c>
      <c r="Y129" s="79">
        <f t="shared" si="52"/>
        <v>52566.155951667104</v>
      </c>
      <c r="Z129" s="79">
        <f t="shared" si="52"/>
        <v>56351.916708348923</v>
      </c>
      <c r="AA129" s="79">
        <f t="shared" si="52"/>
        <v>52701.919295197142</v>
      </c>
    </row>
    <row r="130" spans="2:27" x14ac:dyDescent="0.25">
      <c r="B130" s="78" t="str">
        <f>"Real "&amp;"$ "&amp;TEXT(Inf_Base_Year,"0000")</f>
        <v>Real $ 2022</v>
      </c>
      <c r="C130" s="79">
        <f t="shared" ref="C130:AA130" si="53">System_Size*C$126*C$127</f>
        <v>52707.032254669335</v>
      </c>
      <c r="D130" s="79">
        <f t="shared" si="53"/>
        <v>35316.355713283177</v>
      </c>
      <c r="E130" s="79">
        <f t="shared" si="53"/>
        <v>33817.663612762219</v>
      </c>
      <c r="F130" s="79">
        <f t="shared" si="53"/>
        <v>32523.611649163369</v>
      </c>
      <c r="G130" s="79">
        <f t="shared" si="53"/>
        <v>30431.648975675354</v>
      </c>
      <c r="H130" s="79">
        <f t="shared" si="53"/>
        <v>28238.670909870641</v>
      </c>
      <c r="I130" s="79">
        <f t="shared" si="53"/>
        <v>26393.40148429641</v>
      </c>
      <c r="J130" s="79">
        <f t="shared" si="53"/>
        <v>24533.229346362306</v>
      </c>
      <c r="K130" s="79">
        <f t="shared" si="53"/>
        <v>22869.828932409888</v>
      </c>
      <c r="L130" s="79">
        <f t="shared" si="53"/>
        <v>20751.42090636359</v>
      </c>
      <c r="M130" s="79">
        <f t="shared" si="53"/>
        <v>18783.449441612753</v>
      </c>
      <c r="N130" s="79">
        <f t="shared" si="53"/>
        <v>16368.930747010721</v>
      </c>
      <c r="O130" s="79">
        <f t="shared" si="53"/>
        <v>13335.506723525361</v>
      </c>
      <c r="P130" s="79">
        <f t="shared" si="53"/>
        <v>12084.647535389535</v>
      </c>
      <c r="Q130" s="79">
        <f t="shared" si="53"/>
        <v>10734.80564382086</v>
      </c>
      <c r="R130" s="79">
        <f t="shared" si="53"/>
        <v>17535.334840802396</v>
      </c>
      <c r="S130" s="79">
        <f t="shared" si="53"/>
        <v>25288.157444470209</v>
      </c>
      <c r="T130" s="79">
        <f t="shared" si="53"/>
        <v>21660.121574909335</v>
      </c>
      <c r="U130" s="79">
        <f t="shared" si="53"/>
        <v>20292.637472766051</v>
      </c>
      <c r="V130" s="79">
        <f t="shared" si="53"/>
        <v>20810.191681602435</v>
      </c>
      <c r="W130" s="79">
        <f t="shared" si="53"/>
        <v>21484.862822498017</v>
      </c>
      <c r="X130" s="79">
        <f t="shared" si="53"/>
        <v>26047.623363947238</v>
      </c>
      <c r="Y130" s="79">
        <f t="shared" si="53"/>
        <v>29789.095392197516</v>
      </c>
      <c r="Z130" s="79">
        <f t="shared" si="53"/>
        <v>31155.585909160869</v>
      </c>
      <c r="AA130" s="79">
        <f t="shared" si="53"/>
        <v>28426.919313744762</v>
      </c>
    </row>
    <row r="132" spans="2:27" x14ac:dyDescent="0.25">
      <c r="B132" s="72" t="s">
        <v>69</v>
      </c>
    </row>
    <row r="133" spans="2:27" x14ac:dyDescent="0.25">
      <c r="B133" s="23" t="s">
        <v>382</v>
      </c>
      <c r="C133" s="74">
        <f>System_Size</f>
        <v>5000</v>
      </c>
    </row>
    <row r="134" spans="2:27" x14ac:dyDescent="0.25">
      <c r="B134" s="23" t="s">
        <v>60</v>
      </c>
      <c r="C134" s="74">
        <f>System_Age</f>
        <v>0</v>
      </c>
    </row>
    <row r="135" spans="2:27" x14ac:dyDescent="0.25">
      <c r="B135" s="23" t="s">
        <v>381</v>
      </c>
      <c r="C135" s="85">
        <f>VLOOKUP(Plant_Type,ModelFactors!$G$3:$I$5,Model!$C$136+1,FALSE)</f>
        <v>19.013850954938864</v>
      </c>
    </row>
    <row r="136" spans="2:27" x14ac:dyDescent="0.25">
      <c r="B136" s="23" t="s">
        <v>372</v>
      </c>
      <c r="C136" s="138">
        <f>IF(System_Size&gt;VLOOKUP(Plant_Type,ModelFactors!$G$3:$J$5,4,FALSE)*1000,2,1)</f>
        <v>1</v>
      </c>
      <c r="D136" s="86"/>
    </row>
    <row r="137" spans="2:27" x14ac:dyDescent="0.25">
      <c r="B137" s="23" t="s">
        <v>373</v>
      </c>
      <c r="C137" s="138">
        <f>VLOOKUP(Plant_Type,ModelFactors!$G$3:$J$5,4,FALSE)</f>
        <v>5</v>
      </c>
      <c r="D137" s="86"/>
    </row>
    <row r="138" spans="2:27" x14ac:dyDescent="0.25">
      <c r="B138" s="23" t="s">
        <v>374</v>
      </c>
      <c r="C138" s="139">
        <f>VLOOKUP(Plant_Type,ModelFactors!$G$3:$L$5,4+$C$136,FALSE)</f>
        <v>0.74547188212404614</v>
      </c>
      <c r="D138" s="86"/>
    </row>
    <row r="139" spans="2:27" x14ac:dyDescent="0.25">
      <c r="B139" s="23" t="s">
        <v>375</v>
      </c>
      <c r="C139" s="139">
        <f>VLOOKUP(Plant_Type,ModelFactors!$G$3:$N$5,6+$C$136,FALSE)</f>
        <v>0.31</v>
      </c>
      <c r="D139" s="86"/>
    </row>
    <row r="140" spans="2:27" x14ac:dyDescent="0.25">
      <c r="B140" s="23" t="s">
        <v>380</v>
      </c>
      <c r="C140" s="139">
        <f>$C$138*(System_Size/1000/$C$137)^($C$139-1)</f>
        <v>0.74547188212404614</v>
      </c>
    </row>
    <row r="141" spans="2:27" x14ac:dyDescent="0.25">
      <c r="B141" s="23" t="s">
        <v>371</v>
      </c>
      <c r="C141" s="85">
        <f>C$135*C$140</f>
        <v>14.174291257804366</v>
      </c>
      <c r="D141" s="86" t="s">
        <v>341</v>
      </c>
    </row>
    <row r="142" spans="2:27" x14ac:dyDescent="0.25">
      <c r="B142" s="23" t="s">
        <v>246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5">
      <c r="B143" s="78" t="s">
        <v>54</v>
      </c>
      <c r="C143" s="79">
        <f>C$144*C$48</f>
        <v>72643.242696247369</v>
      </c>
      <c r="D143" s="79">
        <f t="shared" ref="D143:AA143" si="54">D$144*D$48</f>
        <v>74459.323763653563</v>
      </c>
      <c r="E143" s="79">
        <f t="shared" si="54"/>
        <v>76320.806857744901</v>
      </c>
      <c r="F143" s="79">
        <f t="shared" si="54"/>
        <v>78228.827029188513</v>
      </c>
      <c r="G143" s="79">
        <f t="shared" si="54"/>
        <v>80184.547704918223</v>
      </c>
      <c r="H143" s="79">
        <f t="shared" si="54"/>
        <v>82189.16139754116</v>
      </c>
      <c r="I143" s="79">
        <f t="shared" si="54"/>
        <v>84243.890432479704</v>
      </c>
      <c r="J143" s="79">
        <f t="shared" si="54"/>
        <v>86349.987693291681</v>
      </c>
      <c r="K143" s="79">
        <f t="shared" si="54"/>
        <v>88508.737385623957</v>
      </c>
      <c r="L143" s="79">
        <f t="shared" si="54"/>
        <v>90721.455820264557</v>
      </c>
      <c r="M143" s="79">
        <f t="shared" si="54"/>
        <v>92989.49221577117</v>
      </c>
      <c r="N143" s="79">
        <f t="shared" si="54"/>
        <v>95314.229521165442</v>
      </c>
      <c r="O143" s="79">
        <f t="shared" si="54"/>
        <v>97697.085259194573</v>
      </c>
      <c r="P143" s="79">
        <f t="shared" si="54"/>
        <v>100139.51239067443</v>
      </c>
      <c r="Q143" s="79">
        <f t="shared" si="54"/>
        <v>102643.00020044131</v>
      </c>
      <c r="R143" s="79">
        <f t="shared" si="54"/>
        <v>105209.07520545233</v>
      </c>
      <c r="S143" s="79">
        <f t="shared" si="54"/>
        <v>107839.30208558863</v>
      </c>
      <c r="T143" s="79">
        <f t="shared" si="54"/>
        <v>110535.28463772834</v>
      </c>
      <c r="U143" s="79">
        <f t="shared" si="54"/>
        <v>113298.66675367155</v>
      </c>
      <c r="V143" s="79">
        <f t="shared" si="54"/>
        <v>116131.13342251333</v>
      </c>
      <c r="W143" s="79">
        <f t="shared" si="54"/>
        <v>119034.41175807615</v>
      </c>
      <c r="X143" s="79">
        <f t="shared" si="54"/>
        <v>122010.27205202804</v>
      </c>
      <c r="Y143" s="79">
        <f t="shared" si="54"/>
        <v>125060.52885332875</v>
      </c>
      <c r="Z143" s="79">
        <f t="shared" si="54"/>
        <v>128187.04207466196</v>
      </c>
      <c r="AA143" s="79">
        <f t="shared" si="54"/>
        <v>131391.71812652849</v>
      </c>
    </row>
    <row r="144" spans="2:27" x14ac:dyDescent="0.25">
      <c r="B144" s="78" t="str">
        <f>"Real "&amp;"$ "&amp;TEXT(Inf_Base_Year,"0000")</f>
        <v>Real $ 2022</v>
      </c>
      <c r="C144" s="79">
        <f t="shared" ref="C144:AA144" si="55">IF(C$3&lt;=System_Age,0,System_Size*$C$141)</f>
        <v>70871.456289021837</v>
      </c>
      <c r="D144" s="79">
        <f t="shared" si="55"/>
        <v>70871.456289021837</v>
      </c>
      <c r="E144" s="79">
        <f t="shared" si="55"/>
        <v>70871.456289021837</v>
      </c>
      <c r="F144" s="79">
        <f t="shared" si="55"/>
        <v>70871.456289021837</v>
      </c>
      <c r="G144" s="79">
        <f t="shared" si="55"/>
        <v>70871.456289021837</v>
      </c>
      <c r="H144" s="79">
        <f t="shared" si="55"/>
        <v>70871.456289021837</v>
      </c>
      <c r="I144" s="79">
        <f t="shared" si="55"/>
        <v>70871.456289021837</v>
      </c>
      <c r="J144" s="79">
        <f t="shared" si="55"/>
        <v>70871.456289021837</v>
      </c>
      <c r="K144" s="79">
        <f t="shared" si="55"/>
        <v>70871.456289021837</v>
      </c>
      <c r="L144" s="79">
        <f t="shared" si="55"/>
        <v>70871.456289021837</v>
      </c>
      <c r="M144" s="79">
        <f t="shared" si="55"/>
        <v>70871.456289021837</v>
      </c>
      <c r="N144" s="79">
        <f t="shared" si="55"/>
        <v>70871.456289021837</v>
      </c>
      <c r="O144" s="79">
        <f t="shared" si="55"/>
        <v>70871.456289021837</v>
      </c>
      <c r="P144" s="79">
        <f t="shared" si="55"/>
        <v>70871.456289021837</v>
      </c>
      <c r="Q144" s="79">
        <f t="shared" si="55"/>
        <v>70871.456289021837</v>
      </c>
      <c r="R144" s="79">
        <f t="shared" si="55"/>
        <v>70871.456289021837</v>
      </c>
      <c r="S144" s="79">
        <f t="shared" si="55"/>
        <v>70871.456289021837</v>
      </c>
      <c r="T144" s="79">
        <f t="shared" si="55"/>
        <v>70871.456289021837</v>
      </c>
      <c r="U144" s="79">
        <f t="shared" si="55"/>
        <v>70871.456289021837</v>
      </c>
      <c r="V144" s="79">
        <f t="shared" si="55"/>
        <v>70871.456289021837</v>
      </c>
      <c r="W144" s="79">
        <f t="shared" si="55"/>
        <v>70871.456289021837</v>
      </c>
      <c r="X144" s="79">
        <f t="shared" si="55"/>
        <v>70871.456289021837</v>
      </c>
      <c r="Y144" s="79">
        <f t="shared" si="55"/>
        <v>70871.456289021837</v>
      </c>
      <c r="Z144" s="79">
        <f t="shared" si="55"/>
        <v>70871.456289021837</v>
      </c>
      <c r="AA144" s="79">
        <f t="shared" si="55"/>
        <v>70871.456289021837</v>
      </c>
    </row>
    <row r="145" spans="2:27" x14ac:dyDescent="0.25">
      <c r="B145" s="80"/>
    </row>
    <row r="146" spans="2:27" x14ac:dyDescent="0.25">
      <c r="B146" s="72" t="s">
        <v>70</v>
      </c>
    </row>
    <row r="147" spans="2:27" x14ac:dyDescent="0.25">
      <c r="B147" s="23" t="s">
        <v>60</v>
      </c>
      <c r="C147" s="23">
        <f>System_Age</f>
        <v>0</v>
      </c>
    </row>
    <row r="148" spans="2:27" x14ac:dyDescent="0.25">
      <c r="B148" s="23" t="s">
        <v>71</v>
      </c>
      <c r="C148" s="79">
        <f>Ground_Lease_Ann</f>
        <v>5000</v>
      </c>
    </row>
    <row r="149" spans="2:27" x14ac:dyDescent="0.25">
      <c r="B149" s="23" t="s">
        <v>72</v>
      </c>
      <c r="C149" s="24">
        <f>Ground_Lease_Esc</f>
        <v>0.02</v>
      </c>
    </row>
    <row r="150" spans="2:27" x14ac:dyDescent="0.25">
      <c r="B150" s="23" t="s">
        <v>245</v>
      </c>
      <c r="C150" s="24"/>
    </row>
    <row r="151" spans="2:27" x14ac:dyDescent="0.25">
      <c r="B151" s="78" t="s">
        <v>54</v>
      </c>
      <c r="C151" s="79">
        <f t="shared" ref="C151:AA151" si="56">IF((C$3&lt;=System_Age),0,Ground_Lease_Ann*(1+Ground_Lease_Esc)^(C$3-1))</f>
        <v>5000</v>
      </c>
      <c r="D151" s="79">
        <f t="shared" si="56"/>
        <v>5100</v>
      </c>
      <c r="E151" s="79">
        <f t="shared" si="56"/>
        <v>5202</v>
      </c>
      <c r="F151" s="79">
        <f t="shared" si="56"/>
        <v>5306.04</v>
      </c>
      <c r="G151" s="79">
        <f t="shared" si="56"/>
        <v>5412.1607999999997</v>
      </c>
      <c r="H151" s="79">
        <f t="shared" si="56"/>
        <v>5520.4040160000004</v>
      </c>
      <c r="I151" s="79">
        <f t="shared" si="56"/>
        <v>5630.8120963199999</v>
      </c>
      <c r="J151" s="79">
        <f t="shared" si="56"/>
        <v>5743.4283382463991</v>
      </c>
      <c r="K151" s="79">
        <f t="shared" si="56"/>
        <v>5858.2969050113279</v>
      </c>
      <c r="L151" s="79">
        <f t="shared" si="56"/>
        <v>5975.4628431115543</v>
      </c>
      <c r="M151" s="79">
        <f t="shared" si="56"/>
        <v>6094.9720999737856</v>
      </c>
      <c r="N151" s="79">
        <f t="shared" si="56"/>
        <v>6216.8715419732598</v>
      </c>
      <c r="O151" s="79">
        <f t="shared" si="56"/>
        <v>6341.2089728127266</v>
      </c>
      <c r="P151" s="79">
        <f t="shared" si="56"/>
        <v>6468.0331522689803</v>
      </c>
      <c r="Q151" s="79">
        <f t="shared" si="56"/>
        <v>6597.3938153143608</v>
      </c>
      <c r="R151" s="79">
        <f t="shared" si="56"/>
        <v>6729.3416916206461</v>
      </c>
      <c r="S151" s="79">
        <f t="shared" si="56"/>
        <v>6863.9285254530605</v>
      </c>
      <c r="T151" s="79">
        <f t="shared" si="56"/>
        <v>7001.2070959621224</v>
      </c>
      <c r="U151" s="79">
        <f t="shared" si="56"/>
        <v>7141.231237881364</v>
      </c>
      <c r="V151" s="79">
        <f t="shared" si="56"/>
        <v>7284.0558626389902</v>
      </c>
      <c r="W151" s="79">
        <f t="shared" si="56"/>
        <v>7429.7369798917716</v>
      </c>
      <c r="X151" s="79">
        <f t="shared" si="56"/>
        <v>7578.3317194896063</v>
      </c>
      <c r="Y151" s="79">
        <f t="shared" si="56"/>
        <v>7729.8983538793982</v>
      </c>
      <c r="Z151" s="79">
        <f t="shared" si="56"/>
        <v>7884.4963209569851</v>
      </c>
      <c r="AA151" s="79">
        <f t="shared" si="56"/>
        <v>8042.1862473761248</v>
      </c>
    </row>
    <row r="152" spans="2:27" x14ac:dyDescent="0.25">
      <c r="B152" s="78" t="str">
        <f>"Real "&amp;"$ "&amp;TEXT(Inf_Base_Year,"0000")</f>
        <v>Real $ 2022</v>
      </c>
      <c r="C152" s="79">
        <f>C$151*C$47</f>
        <v>4878.0487804878057</v>
      </c>
      <c r="D152" s="79">
        <f t="shared" ref="D152:AA152" si="57">D$151*D$47</f>
        <v>4854.2534205829861</v>
      </c>
      <c r="E152" s="79">
        <f t="shared" si="57"/>
        <v>4830.5741356045337</v>
      </c>
      <c r="F152" s="79">
        <f t="shared" si="57"/>
        <v>4807.0103593332924</v>
      </c>
      <c r="G152" s="79">
        <f t="shared" si="57"/>
        <v>4783.5615283121542</v>
      </c>
      <c r="H152" s="79">
        <f t="shared" si="57"/>
        <v>4760.2270818325833</v>
      </c>
      <c r="I152" s="79">
        <f t="shared" si="57"/>
        <v>4737.0064619212044</v>
      </c>
      <c r="J152" s="79">
        <f t="shared" si="57"/>
        <v>4713.8991133264672</v>
      </c>
      <c r="K152" s="79">
        <f t="shared" si="57"/>
        <v>4690.9044835053637</v>
      </c>
      <c r="L152" s="79">
        <f t="shared" si="57"/>
        <v>4668.0220226102156</v>
      </c>
      <c r="M152" s="79">
        <f t="shared" si="57"/>
        <v>4645.2511834755314</v>
      </c>
      <c r="N152" s="79">
        <f t="shared" si="57"/>
        <v>4622.5914216049187</v>
      </c>
      <c r="O152" s="79">
        <f t="shared" si="57"/>
        <v>4600.0421951580665</v>
      </c>
      <c r="P152" s="79">
        <f t="shared" si="57"/>
        <v>4577.6029649377833</v>
      </c>
      <c r="Q152" s="79">
        <f t="shared" si="57"/>
        <v>4555.2731943771114</v>
      </c>
      <c r="R152" s="79">
        <f t="shared" si="57"/>
        <v>4533.0523495264897</v>
      </c>
      <c r="S152" s="79">
        <f t="shared" si="57"/>
        <v>4510.9398990409964</v>
      </c>
      <c r="T152" s="79">
        <f t="shared" si="57"/>
        <v>4488.9353141676256</v>
      </c>
      <c r="U152" s="79">
        <f t="shared" si="57"/>
        <v>4467.0380687326615</v>
      </c>
      <c r="V152" s="79">
        <f t="shared" si="57"/>
        <v>4445.2476391290875</v>
      </c>
      <c r="W152" s="79">
        <f t="shared" si="57"/>
        <v>4423.5635043040693</v>
      </c>
      <c r="X152" s="79">
        <f t="shared" si="57"/>
        <v>4401.9851457464874</v>
      </c>
      <c r="Y152" s="79">
        <f t="shared" si="57"/>
        <v>4380.5120474745536</v>
      </c>
      <c r="Z152" s="79">
        <f t="shared" si="57"/>
        <v>4359.1436960234578</v>
      </c>
      <c r="AA152" s="79">
        <f t="shared" si="57"/>
        <v>4337.8795804331003</v>
      </c>
    </row>
    <row r="153" spans="2:27" x14ac:dyDescent="0.25">
      <c r="B153" s="80"/>
    </row>
    <row r="154" spans="2:27" x14ac:dyDescent="0.25">
      <c r="B154" s="72" t="s">
        <v>244</v>
      </c>
    </row>
    <row r="155" spans="2:27" x14ac:dyDescent="0.25">
      <c r="B155" s="23" t="s">
        <v>382</v>
      </c>
      <c r="C155" s="74">
        <f>System_Size</f>
        <v>5000</v>
      </c>
    </row>
    <row r="156" spans="2:27" x14ac:dyDescent="0.25">
      <c r="B156" s="23" t="s">
        <v>60</v>
      </c>
      <c r="C156" s="23">
        <f>System_Age</f>
        <v>0</v>
      </c>
    </row>
    <row r="157" spans="2:27" x14ac:dyDescent="0.25">
      <c r="B157" s="23" t="s">
        <v>73</v>
      </c>
      <c r="C157" s="85">
        <f>Decomm_Cost_Rate</f>
        <v>1.87</v>
      </c>
    </row>
    <row r="158" spans="2:27" x14ac:dyDescent="0.25">
      <c r="B158" s="23" t="s">
        <v>74</v>
      </c>
      <c r="C158" s="84">
        <f>(1+Inflation)^(YEAR(Date_of_Operation)-Cost_Base_Year)</f>
        <v>1.0249999999999999</v>
      </c>
    </row>
    <row r="159" spans="2:27" x14ac:dyDescent="0.25">
      <c r="B159" s="23" t="s">
        <v>251</v>
      </c>
      <c r="C159" s="85"/>
    </row>
    <row r="160" spans="2:27" x14ac:dyDescent="0.25">
      <c r="B160" s="78" t="s">
        <v>54</v>
      </c>
      <c r="C160" s="79">
        <f t="shared" ref="C160:AA160" si="58">IF(C$3&lt;=System_Age,0,System_Size*Decomm_Cost_Rate)*$C$158</f>
        <v>9583.75</v>
      </c>
      <c r="D160" s="79">
        <f t="shared" si="58"/>
        <v>9583.75</v>
      </c>
      <c r="E160" s="79">
        <f t="shared" si="58"/>
        <v>9583.75</v>
      </c>
      <c r="F160" s="79">
        <f t="shared" si="58"/>
        <v>9583.75</v>
      </c>
      <c r="G160" s="79">
        <f t="shared" si="58"/>
        <v>9583.75</v>
      </c>
      <c r="H160" s="79">
        <f t="shared" si="58"/>
        <v>9583.75</v>
      </c>
      <c r="I160" s="79">
        <f t="shared" si="58"/>
        <v>9583.75</v>
      </c>
      <c r="J160" s="79">
        <f t="shared" si="58"/>
        <v>9583.75</v>
      </c>
      <c r="K160" s="79">
        <f t="shared" si="58"/>
        <v>9583.75</v>
      </c>
      <c r="L160" s="79">
        <f t="shared" si="58"/>
        <v>9583.75</v>
      </c>
      <c r="M160" s="79">
        <f t="shared" si="58"/>
        <v>9583.75</v>
      </c>
      <c r="N160" s="79">
        <f t="shared" si="58"/>
        <v>9583.75</v>
      </c>
      <c r="O160" s="79">
        <f t="shared" si="58"/>
        <v>9583.75</v>
      </c>
      <c r="P160" s="79">
        <f t="shared" si="58"/>
        <v>9583.75</v>
      </c>
      <c r="Q160" s="79">
        <f t="shared" si="58"/>
        <v>9583.75</v>
      </c>
      <c r="R160" s="79">
        <f t="shared" si="58"/>
        <v>9583.75</v>
      </c>
      <c r="S160" s="79">
        <f t="shared" si="58"/>
        <v>9583.75</v>
      </c>
      <c r="T160" s="79">
        <f t="shared" si="58"/>
        <v>9583.75</v>
      </c>
      <c r="U160" s="79">
        <f t="shared" si="58"/>
        <v>9583.75</v>
      </c>
      <c r="V160" s="79">
        <f t="shared" si="58"/>
        <v>9583.75</v>
      </c>
      <c r="W160" s="79">
        <f t="shared" si="58"/>
        <v>9583.75</v>
      </c>
      <c r="X160" s="79">
        <f t="shared" si="58"/>
        <v>9583.75</v>
      </c>
      <c r="Y160" s="79">
        <f t="shared" si="58"/>
        <v>9583.75</v>
      </c>
      <c r="Z160" s="79">
        <f t="shared" si="58"/>
        <v>9583.75</v>
      </c>
      <c r="AA160" s="79">
        <f t="shared" si="58"/>
        <v>9583.75</v>
      </c>
    </row>
    <row r="161" spans="2:27" x14ac:dyDescent="0.25">
      <c r="B161" s="78" t="str">
        <f>"Real "&amp;"$ "&amp;TEXT(Inf_Base_Year,"0000")</f>
        <v>Real $ 2022</v>
      </c>
      <c r="C161" s="79">
        <f>C$160*C$47</f>
        <v>9350</v>
      </c>
      <c r="D161" s="79">
        <f t="shared" ref="D161:AA161" si="59">D$160*D$47</f>
        <v>9121.9512195121952</v>
      </c>
      <c r="E161" s="79">
        <f t="shared" si="59"/>
        <v>8899.4646044021429</v>
      </c>
      <c r="F161" s="79">
        <f t="shared" si="59"/>
        <v>8682.404492099653</v>
      </c>
      <c r="G161" s="79">
        <f t="shared" si="59"/>
        <v>8470.6385288777092</v>
      </c>
      <c r="H161" s="79">
        <f t="shared" si="59"/>
        <v>8264.0375891489857</v>
      </c>
      <c r="I161" s="79">
        <f t="shared" si="59"/>
        <v>8062.4756967307176</v>
      </c>
      <c r="J161" s="79">
        <f t="shared" si="59"/>
        <v>7865.8299480299693</v>
      </c>
      <c r="K161" s="79">
        <f t="shared" si="59"/>
        <v>7673.9804371024111</v>
      </c>
      <c r="L161" s="79">
        <f t="shared" si="59"/>
        <v>7486.8101825389367</v>
      </c>
      <c r="M161" s="79">
        <f t="shared" si="59"/>
        <v>7304.2050561355491</v>
      </c>
      <c r="N161" s="79">
        <f t="shared" si="59"/>
        <v>7126.0537133029748</v>
      </c>
      <c r="O161" s="79">
        <f t="shared" si="59"/>
        <v>6952.2475251736341</v>
      </c>
      <c r="P161" s="79">
        <f t="shared" si="59"/>
        <v>6782.6805123645217</v>
      </c>
      <c r="Q161" s="79">
        <f t="shared" si="59"/>
        <v>6617.2492803556306</v>
      </c>
      <c r="R161" s="79">
        <f t="shared" si="59"/>
        <v>6455.8529564445171</v>
      </c>
      <c r="S161" s="79">
        <f t="shared" si="59"/>
        <v>6298.3931282385547</v>
      </c>
      <c r="T161" s="79">
        <f t="shared" si="59"/>
        <v>6144.7737836473698</v>
      </c>
      <c r="U161" s="79">
        <f t="shared" si="59"/>
        <v>5994.9012523388974</v>
      </c>
      <c r="V161" s="79">
        <f t="shared" si="59"/>
        <v>5848.6841486233152</v>
      </c>
      <c r="W161" s="79">
        <f t="shared" si="59"/>
        <v>5706.0333157300647</v>
      </c>
      <c r="X161" s="79">
        <f t="shared" si="59"/>
        <v>5566.8617714439652</v>
      </c>
      <c r="Y161" s="79">
        <f t="shared" si="59"/>
        <v>5431.0846550672841</v>
      </c>
      <c r="Z161" s="79">
        <f t="shared" si="59"/>
        <v>5298.6191756753988</v>
      </c>
      <c r="AA161" s="79">
        <f t="shared" si="59"/>
        <v>5169.3845616345361</v>
      </c>
    </row>
    <row r="162" spans="2:27" x14ac:dyDescent="0.25">
      <c r="B162" s="80"/>
    </row>
    <row r="163" spans="2:27" x14ac:dyDescent="0.25">
      <c r="B163" s="72" t="s">
        <v>252</v>
      </c>
    </row>
    <row r="164" spans="2:27" x14ac:dyDescent="0.25">
      <c r="B164" s="23" t="s">
        <v>75</v>
      </c>
      <c r="C164" s="74">
        <f>Inverter_Size</f>
        <v>5000</v>
      </c>
    </row>
    <row r="165" spans="2:27" x14ac:dyDescent="0.25">
      <c r="B165" s="23" t="s">
        <v>30</v>
      </c>
      <c r="C165" s="23">
        <f>Inverter_Age</f>
        <v>0</v>
      </c>
    </row>
    <row r="166" spans="2:27" x14ac:dyDescent="0.25">
      <c r="B166" s="23" t="s">
        <v>76</v>
      </c>
      <c r="C166" s="23">
        <f>Inverter_Repl_Cycle</f>
        <v>15</v>
      </c>
    </row>
    <row r="167" spans="2:27" x14ac:dyDescent="0.25">
      <c r="B167" s="23" t="s">
        <v>77</v>
      </c>
      <c r="C167" s="85">
        <f>Inverter_Cost</f>
        <v>100</v>
      </c>
      <c r="D167" s="86"/>
    </row>
    <row r="168" spans="2:27" x14ac:dyDescent="0.25">
      <c r="B168" s="23" t="s">
        <v>253</v>
      </c>
      <c r="C168" s="85"/>
      <c r="D168" s="86"/>
    </row>
    <row r="169" spans="2:27" x14ac:dyDescent="0.25">
      <c r="B169" s="78" t="s">
        <v>54</v>
      </c>
      <c r="C169" s="79">
        <f t="shared" ref="C169:AA169" si="60">IF(ValGroup&lt;&gt;5,IF(C$3=Inverter_Repl_Cycle,IF(System_Age&lt;Inverter_Repl_Cycle,(Inverter_Size*Inverter_Cost),0),0),0)*C$48</f>
        <v>0</v>
      </c>
      <c r="D169" s="79">
        <f t="shared" si="60"/>
        <v>0</v>
      </c>
      <c r="E169" s="79">
        <f t="shared" si="60"/>
        <v>0</v>
      </c>
      <c r="F169" s="79">
        <f t="shared" si="60"/>
        <v>0</v>
      </c>
      <c r="G169" s="79">
        <f t="shared" si="60"/>
        <v>0</v>
      </c>
      <c r="H169" s="79">
        <f t="shared" si="60"/>
        <v>0</v>
      </c>
      <c r="I169" s="79">
        <f t="shared" si="60"/>
        <v>0</v>
      </c>
      <c r="J169" s="79">
        <f t="shared" si="60"/>
        <v>0</v>
      </c>
      <c r="K169" s="79">
        <f t="shared" si="60"/>
        <v>0</v>
      </c>
      <c r="L169" s="79">
        <f t="shared" si="60"/>
        <v>0</v>
      </c>
      <c r="M169" s="79">
        <f t="shared" si="60"/>
        <v>0</v>
      </c>
      <c r="N169" s="79">
        <f t="shared" si="60"/>
        <v>0</v>
      </c>
      <c r="O169" s="79">
        <f t="shared" si="60"/>
        <v>0</v>
      </c>
      <c r="P169" s="79">
        <f t="shared" si="60"/>
        <v>0</v>
      </c>
      <c r="Q169" s="79">
        <f t="shared" si="60"/>
        <v>724149.0832490552</v>
      </c>
      <c r="R169" s="79">
        <f t="shared" si="60"/>
        <v>0</v>
      </c>
      <c r="S169" s="79">
        <f t="shared" si="60"/>
        <v>0</v>
      </c>
      <c r="T169" s="79">
        <f t="shared" si="60"/>
        <v>0</v>
      </c>
      <c r="U169" s="79">
        <f t="shared" si="60"/>
        <v>0</v>
      </c>
      <c r="V169" s="79">
        <f t="shared" si="60"/>
        <v>0</v>
      </c>
      <c r="W169" s="79">
        <f t="shared" si="60"/>
        <v>0</v>
      </c>
      <c r="X169" s="79">
        <f t="shared" si="60"/>
        <v>0</v>
      </c>
      <c r="Y169" s="79">
        <f t="shared" si="60"/>
        <v>0</v>
      </c>
      <c r="Z169" s="79">
        <f t="shared" si="60"/>
        <v>0</v>
      </c>
      <c r="AA169" s="79">
        <f t="shared" si="60"/>
        <v>0</v>
      </c>
    </row>
    <row r="170" spans="2:27" x14ac:dyDescent="0.25">
      <c r="B170" s="78" t="str">
        <f>"Real "&amp;"$ "&amp;TEXT(Inf_Base_Year,"0000")</f>
        <v>Real $ 2022</v>
      </c>
      <c r="C170" s="79">
        <f>C$169*C$47</f>
        <v>0</v>
      </c>
      <c r="D170" s="79">
        <f t="shared" ref="D170:AA170" si="61">D$169*D$47</f>
        <v>0</v>
      </c>
      <c r="E170" s="79">
        <f t="shared" si="61"/>
        <v>0</v>
      </c>
      <c r="F170" s="79">
        <f t="shared" si="61"/>
        <v>0</v>
      </c>
      <c r="G170" s="79">
        <f t="shared" si="61"/>
        <v>0</v>
      </c>
      <c r="H170" s="79">
        <f t="shared" si="61"/>
        <v>0</v>
      </c>
      <c r="I170" s="79">
        <f t="shared" si="61"/>
        <v>0</v>
      </c>
      <c r="J170" s="79">
        <f t="shared" si="61"/>
        <v>0</v>
      </c>
      <c r="K170" s="79">
        <f t="shared" si="61"/>
        <v>0</v>
      </c>
      <c r="L170" s="79">
        <f t="shared" si="61"/>
        <v>0</v>
      </c>
      <c r="M170" s="79">
        <f t="shared" si="61"/>
        <v>0</v>
      </c>
      <c r="N170" s="79">
        <f t="shared" si="61"/>
        <v>0</v>
      </c>
      <c r="O170" s="79">
        <f t="shared" si="61"/>
        <v>0</v>
      </c>
      <c r="P170" s="79">
        <f t="shared" si="61"/>
        <v>0</v>
      </c>
      <c r="Q170" s="79">
        <f t="shared" si="61"/>
        <v>500000</v>
      </c>
      <c r="R170" s="79">
        <f t="shared" si="61"/>
        <v>0</v>
      </c>
      <c r="S170" s="79">
        <f t="shared" si="61"/>
        <v>0</v>
      </c>
      <c r="T170" s="79">
        <f t="shared" si="61"/>
        <v>0</v>
      </c>
      <c r="U170" s="79">
        <f t="shared" si="61"/>
        <v>0</v>
      </c>
      <c r="V170" s="79">
        <f t="shared" si="61"/>
        <v>0</v>
      </c>
      <c r="W170" s="79">
        <f t="shared" si="61"/>
        <v>0</v>
      </c>
      <c r="X170" s="79">
        <f t="shared" si="61"/>
        <v>0</v>
      </c>
      <c r="Y170" s="79">
        <f t="shared" si="61"/>
        <v>0</v>
      </c>
      <c r="Z170" s="79">
        <f t="shared" si="61"/>
        <v>0</v>
      </c>
      <c r="AA170" s="79">
        <f t="shared" si="61"/>
        <v>0</v>
      </c>
    </row>
    <row r="172" spans="2:27" x14ac:dyDescent="0.25">
      <c r="B172" s="72" t="s">
        <v>343</v>
      </c>
    </row>
    <row r="173" spans="2:27" x14ac:dyDescent="0.25">
      <c r="B173" s="23" t="s">
        <v>78</v>
      </c>
    </row>
    <row r="174" spans="2:27" x14ac:dyDescent="0.25">
      <c r="B174" s="78" t="s">
        <v>54</v>
      </c>
      <c r="C174" s="79">
        <f>C$63+C$72+C$86+C$95+C$104-C$143-C$151-C$160-C$169</f>
        <v>937479.46749350138</v>
      </c>
      <c r="D174" s="79">
        <f t="shared" ref="D174:AA174" si="62">D$63+D$72+D$86+D$95+D$104-D$143-D$151-D$160-D$169</f>
        <v>814091.07363572158</v>
      </c>
      <c r="E174" s="79">
        <f t="shared" si="62"/>
        <v>754660.41241046623</v>
      </c>
      <c r="F174" s="79">
        <f t="shared" si="62"/>
        <v>817711.94968334644</v>
      </c>
      <c r="G174" s="79">
        <f t="shared" si="62"/>
        <v>801002.89342823753</v>
      </c>
      <c r="H174" s="79">
        <f t="shared" si="62"/>
        <v>771915.71609732544</v>
      </c>
      <c r="I174" s="79">
        <f t="shared" si="62"/>
        <v>737486.68460812746</v>
      </c>
      <c r="J174" s="79">
        <f t="shared" si="62"/>
        <v>700892.22246522806</v>
      </c>
      <c r="K174" s="79">
        <f t="shared" si="62"/>
        <v>673187.45602118038</v>
      </c>
      <c r="L174" s="79">
        <f t="shared" si="62"/>
        <v>642640.55405945238</v>
      </c>
      <c r="M174" s="79">
        <f t="shared" si="62"/>
        <v>548076.76931254147</v>
      </c>
      <c r="N174" s="79">
        <f t="shared" si="62"/>
        <v>509211.02861100802</v>
      </c>
      <c r="O174" s="79">
        <f t="shared" si="62"/>
        <v>483016.49333490443</v>
      </c>
      <c r="P174" s="79">
        <f t="shared" si="62"/>
        <v>474473.87424380193</v>
      </c>
      <c r="Q174" s="79">
        <f t="shared" si="62"/>
        <v>-260977.30608929793</v>
      </c>
      <c r="R174" s="79">
        <f t="shared" si="62"/>
        <v>468278.45026105869</v>
      </c>
      <c r="S174" s="79">
        <f t="shared" si="62"/>
        <v>473202.6222341563</v>
      </c>
      <c r="T174" s="79">
        <f t="shared" si="62"/>
        <v>460263.81627515669</v>
      </c>
      <c r="U174" s="79">
        <f t="shared" si="62"/>
        <v>460341.36344738147</v>
      </c>
      <c r="V174" s="79">
        <f t="shared" si="62"/>
        <v>463079.59094761667</v>
      </c>
      <c r="W174" s="79">
        <f t="shared" si="62"/>
        <v>456924.95966970222</v>
      </c>
      <c r="X174" s="79">
        <f t="shared" si="62"/>
        <v>469353.23420828523</v>
      </c>
      <c r="Y174" s="79">
        <f t="shared" si="62"/>
        <v>475693.4184666989</v>
      </c>
      <c r="Z174" s="79">
        <f t="shared" si="62"/>
        <v>491051.37188047043</v>
      </c>
      <c r="AA174" s="79">
        <f t="shared" si="62"/>
        <v>486786.48248290067</v>
      </c>
    </row>
    <row r="175" spans="2:27" x14ac:dyDescent="0.25">
      <c r="B175" s="78" t="str">
        <f>"Real "&amp;"$ "&amp;TEXT(Inf_Base_Year,"0000")</f>
        <v>Real $ 2022</v>
      </c>
      <c r="C175" s="79">
        <f>C$64+C$73+C$87+C$96+C$105-C$144-C$152-C$161-C$170</f>
        <v>914614.11462780624</v>
      </c>
      <c r="D175" s="79">
        <f t="shared" ref="D175:AA175" si="63">D$64+D$73+D$87+D$96+D$105-D$144-D$152-D$161-D$170</f>
        <v>774863.60369848576</v>
      </c>
      <c r="E175" s="79">
        <f t="shared" si="63"/>
        <v>700777.21440881363</v>
      </c>
      <c r="F175" s="79">
        <f t="shared" si="63"/>
        <v>740806.66807609249</v>
      </c>
      <c r="G175" s="79">
        <f t="shared" si="63"/>
        <v>707969.84174417669</v>
      </c>
      <c r="H175" s="79">
        <f t="shared" si="63"/>
        <v>665620.50277638226</v>
      </c>
      <c r="I175" s="79">
        <f t="shared" si="63"/>
        <v>620421.90909774764</v>
      </c>
      <c r="J175" s="79">
        <f t="shared" si="63"/>
        <v>575254.88809790276</v>
      </c>
      <c r="K175" s="79">
        <f t="shared" si="63"/>
        <v>539040.28882319306</v>
      </c>
      <c r="L175" s="79">
        <f t="shared" si="63"/>
        <v>502029.77371537988</v>
      </c>
      <c r="M175" s="79">
        <f t="shared" si="63"/>
        <v>417713.84996093414</v>
      </c>
      <c r="N175" s="79">
        <f t="shared" si="63"/>
        <v>378626.85705368995</v>
      </c>
      <c r="O175" s="79">
        <f t="shared" si="63"/>
        <v>350390.00604206463</v>
      </c>
      <c r="P175" s="79">
        <f t="shared" si="63"/>
        <v>335798.06447993009</v>
      </c>
      <c r="Q175" s="79">
        <f t="shared" si="63"/>
        <v>-180195.84097128548</v>
      </c>
      <c r="R175" s="79">
        <f t="shared" si="63"/>
        <v>315444.03991726751</v>
      </c>
      <c r="S175" s="79">
        <f t="shared" si="63"/>
        <v>310986.42432701972</v>
      </c>
      <c r="T175" s="79">
        <f t="shared" si="63"/>
        <v>295105.46829884674</v>
      </c>
      <c r="U175" s="79">
        <f t="shared" si="63"/>
        <v>287956.28185565176</v>
      </c>
      <c r="V175" s="79">
        <f t="shared" si="63"/>
        <v>282604.01858628355</v>
      </c>
      <c r="W175" s="79">
        <f t="shared" si="63"/>
        <v>272046.85458864609</v>
      </c>
      <c r="X175" s="79">
        <f t="shared" si="63"/>
        <v>272630.71102832287</v>
      </c>
      <c r="Y175" s="79">
        <f t="shared" si="63"/>
        <v>269574.14639895537</v>
      </c>
      <c r="Z175" s="79">
        <f t="shared" si="63"/>
        <v>271490.20115169662</v>
      </c>
      <c r="AA175" s="79">
        <f t="shared" si="63"/>
        <v>262568.04772239336</v>
      </c>
    </row>
    <row r="176" spans="2:27" x14ac:dyDescent="0.25">
      <c r="B176" s="23" t="s">
        <v>243</v>
      </c>
    </row>
    <row r="177" spans="2:27" x14ac:dyDescent="0.25">
      <c r="B177" s="78" t="s">
        <v>54</v>
      </c>
      <c r="C177" s="79">
        <f>C$113-C$143-C$151-C$160-C$169</f>
        <v>2245461.9179248656</v>
      </c>
      <c r="D177" s="79">
        <f t="shared" ref="D177:AA177" si="64">D$113-D$143-D$151-D$160-D$169</f>
        <v>1993637.6437393497</v>
      </c>
      <c r="E177" s="79">
        <f t="shared" si="64"/>
        <v>2008950.1797297893</v>
      </c>
      <c r="F177" s="79">
        <f t="shared" si="64"/>
        <v>2078138.7772052507</v>
      </c>
      <c r="G177" s="79">
        <f t="shared" si="64"/>
        <v>2088013.2958083036</v>
      </c>
      <c r="H177" s="79">
        <f t="shared" si="64"/>
        <v>2090062.4467315166</v>
      </c>
      <c r="I177" s="79">
        <f t="shared" si="64"/>
        <v>2064787.7626191447</v>
      </c>
      <c r="J177" s="79">
        <f t="shared" si="64"/>
        <v>2044888.0518616149</v>
      </c>
      <c r="K177" s="79">
        <f t="shared" si="64"/>
        <v>2054203.431474216</v>
      </c>
      <c r="L177" s="79">
        <f t="shared" si="64"/>
        <v>2081011.6568647851</v>
      </c>
      <c r="M177" s="79">
        <f t="shared" si="64"/>
        <v>2073303.2394969855</v>
      </c>
      <c r="N177" s="79">
        <f t="shared" si="64"/>
        <v>2090239.043944905</v>
      </c>
      <c r="O177" s="79">
        <f t="shared" si="64"/>
        <v>2126421.7833016794</v>
      </c>
      <c r="P177" s="79">
        <f t="shared" si="64"/>
        <v>2172563.3066564472</v>
      </c>
      <c r="Q177" s="79">
        <f t="shared" si="64"/>
        <v>1479706.4440451404</v>
      </c>
      <c r="R177" s="79">
        <f t="shared" si="64"/>
        <v>2255220.2264742223</v>
      </c>
      <c r="S177" s="79">
        <f t="shared" si="64"/>
        <v>2305715.1590454676</v>
      </c>
      <c r="T177" s="79">
        <f t="shared" si="64"/>
        <v>2372571.0616639014</v>
      </c>
      <c r="U177" s="79">
        <f t="shared" si="64"/>
        <v>2430951.9610907729</v>
      </c>
      <c r="V177" s="79">
        <f t="shared" si="64"/>
        <v>2487074.8426320427</v>
      </c>
      <c r="W177" s="79">
        <f t="shared" si="64"/>
        <v>2524388.5155183482</v>
      </c>
      <c r="X177" s="79">
        <f t="shared" si="64"/>
        <v>2595222.4734878666</v>
      </c>
      <c r="Y177" s="79">
        <f t="shared" si="64"/>
        <v>2651833.2999586519</v>
      </c>
      <c r="Z177" s="79">
        <f t="shared" si="64"/>
        <v>2738464.8455700511</v>
      </c>
      <c r="AA177" s="79">
        <f t="shared" si="64"/>
        <v>2826014.3100314569</v>
      </c>
    </row>
    <row r="178" spans="2:27" x14ac:dyDescent="0.25">
      <c r="B178" s="78" t="str">
        <f>"Real "&amp;"$ "&amp;TEXT(Inf_Base_Year,"0000")</f>
        <v>Real $ 2022</v>
      </c>
      <c r="C178" s="79">
        <f>C$114-C$144-C$152-C$161-C$170</f>
        <v>2190694.5540730399</v>
      </c>
      <c r="D178" s="79">
        <f t="shared" ref="D178:AA178" si="65">D$114-D$144-D$152-D$161-D$170</f>
        <v>1897573.0101028911</v>
      </c>
      <c r="E178" s="79">
        <f t="shared" si="65"/>
        <v>1865509.9534642058</v>
      </c>
      <c r="F178" s="79">
        <f t="shared" si="65"/>
        <v>1882691.1651924714</v>
      </c>
      <c r="G178" s="79">
        <f t="shared" si="65"/>
        <v>1845499.5040858488</v>
      </c>
      <c r="H178" s="79">
        <f t="shared" si="65"/>
        <v>1802254.297478331</v>
      </c>
      <c r="I178" s="79">
        <f t="shared" si="65"/>
        <v>1737034.1625171623</v>
      </c>
      <c r="J178" s="79">
        <f t="shared" si="65"/>
        <v>1678334.8562620843</v>
      </c>
      <c r="K178" s="79">
        <f t="shared" si="65"/>
        <v>1644858.9484243409</v>
      </c>
      <c r="L178" s="79">
        <f t="shared" si="65"/>
        <v>1625682.980315377</v>
      </c>
      <c r="M178" s="79">
        <f t="shared" si="65"/>
        <v>1580157.2458417732</v>
      </c>
      <c r="N178" s="79">
        <f t="shared" si="65"/>
        <v>1554209.5422767133</v>
      </c>
      <c r="O178" s="79">
        <f t="shared" si="65"/>
        <v>1542549.6888414666</v>
      </c>
      <c r="P178" s="79">
        <f t="shared" si="65"/>
        <v>1537582.1366309552</v>
      </c>
      <c r="Q178" s="79">
        <f t="shared" si="65"/>
        <v>1021686.3338458634</v>
      </c>
      <c r="R178" s="79">
        <f t="shared" si="65"/>
        <v>1519172.5750898221</v>
      </c>
      <c r="S178" s="79">
        <f t="shared" si="65"/>
        <v>1515304.6055466221</v>
      </c>
      <c r="T178" s="79">
        <f t="shared" si="65"/>
        <v>1521211.6822280162</v>
      </c>
      <c r="U178" s="79">
        <f t="shared" si="65"/>
        <v>1520627.8289728733</v>
      </c>
      <c r="V178" s="79">
        <f t="shared" si="65"/>
        <v>1517789.5091735339</v>
      </c>
      <c r="W178" s="79">
        <f t="shared" si="65"/>
        <v>1502986.301958425</v>
      </c>
      <c r="X178" s="79">
        <f t="shared" si="65"/>
        <v>1507473.043020932</v>
      </c>
      <c r="Y178" s="79">
        <f t="shared" si="65"/>
        <v>1502786.6068294637</v>
      </c>
      <c r="Z178" s="79">
        <f t="shared" si="65"/>
        <v>1514029.7214191151</v>
      </c>
      <c r="AA178" s="79">
        <f t="shared" si="65"/>
        <v>1524325.5244799675</v>
      </c>
    </row>
    <row r="179" spans="2:27" x14ac:dyDescent="0.25">
      <c r="B179" s="23" t="s">
        <v>344</v>
      </c>
    </row>
    <row r="180" spans="2:27" x14ac:dyDescent="0.25">
      <c r="B180" s="78" t="s">
        <v>54</v>
      </c>
      <c r="C180" s="79">
        <f>C$120+C$129-C$143-C$151-C$160-C$169</f>
        <v>549141.58114803093</v>
      </c>
      <c r="D180" s="79">
        <f t="shared" ref="D180:AA180" si="66">D$120+D$129-D$143-D$151-D$160-D$169</f>
        <v>427252.1397557453</v>
      </c>
      <c r="E180" s="79">
        <f t="shared" si="66"/>
        <v>371860.08372811577</v>
      </c>
      <c r="F180" s="79">
        <f t="shared" si="66"/>
        <v>434104.41895174299</v>
      </c>
      <c r="G180" s="79">
        <f t="shared" si="66"/>
        <v>419621.43107066647</v>
      </c>
      <c r="H180" s="79">
        <f t="shared" si="66"/>
        <v>393576.5563003365</v>
      </c>
      <c r="I180" s="79">
        <f t="shared" si="66"/>
        <v>361832.34378605452</v>
      </c>
      <c r="J180" s="79">
        <f t="shared" si="66"/>
        <v>327474.79262087343</v>
      </c>
      <c r="K180" s="79">
        <f t="shared" si="66"/>
        <v>302337.25579917908</v>
      </c>
      <c r="L180" s="79">
        <f t="shared" si="66"/>
        <v>272069.78688800236</v>
      </c>
      <c r="M180" s="79">
        <f t="shared" si="66"/>
        <v>218225.15168754567</v>
      </c>
      <c r="N180" s="79">
        <f t="shared" si="66"/>
        <v>181545.41629884951</v>
      </c>
      <c r="O180" s="79">
        <f t="shared" si="66"/>
        <v>156991.55682913185</v>
      </c>
      <c r="P180" s="79">
        <f t="shared" si="66"/>
        <v>149454.4343794696</v>
      </c>
      <c r="Q180" s="79">
        <f t="shared" si="66"/>
        <v>-584157.9020583994</v>
      </c>
      <c r="R180" s="79">
        <f t="shared" si="66"/>
        <v>147430.82865733717</v>
      </c>
      <c r="S180" s="79">
        <f t="shared" si="66"/>
        <v>155483.01197589174</v>
      </c>
      <c r="T180" s="79">
        <f t="shared" si="66"/>
        <v>143113.50892558083</v>
      </c>
      <c r="U180" s="79">
        <f t="shared" si="66"/>
        <v>145392.6906166345</v>
      </c>
      <c r="V180" s="79">
        <f t="shared" si="66"/>
        <v>149964.87186408532</v>
      </c>
      <c r="W180" s="79">
        <f t="shared" si="66"/>
        <v>145037.9956412834</v>
      </c>
      <c r="X180" s="79">
        <f t="shared" si="66"/>
        <v>159523.72316419129</v>
      </c>
      <c r="Y180" s="79">
        <f t="shared" si="66"/>
        <v>168622.18896198485</v>
      </c>
      <c r="Z180" s="79">
        <f t="shared" si="66"/>
        <v>185342.33896469534</v>
      </c>
      <c r="AA180" s="79">
        <f t="shared" si="66"/>
        <v>182448.08230639217</v>
      </c>
    </row>
    <row r="181" spans="2:27" x14ac:dyDescent="0.25">
      <c r="B181" s="78" t="str">
        <f>"Real "&amp;"$ "&amp;TEXT(Inf_Base_Year,"0000")</f>
        <v>Real $ 2022</v>
      </c>
      <c r="C181" s="79">
        <f>C$121+C$130-C$144-C$152-C$161-C$170</f>
        <v>535747.88404685946</v>
      </c>
      <c r="D181" s="79">
        <f t="shared" ref="D181:AA181" si="67">D$121+D$130-D$144-D$152-D$161-D$170</f>
        <v>406664.73742367199</v>
      </c>
      <c r="E181" s="79">
        <f t="shared" si="67"/>
        <v>345309.05469449679</v>
      </c>
      <c r="F181" s="79">
        <f t="shared" si="67"/>
        <v>393277.17825975455</v>
      </c>
      <c r="G181" s="79">
        <f t="shared" si="67"/>
        <v>370884.20102465001</v>
      </c>
      <c r="H181" s="79">
        <f t="shared" si="67"/>
        <v>339379.83101330826</v>
      </c>
      <c r="I181" s="79">
        <f t="shared" si="67"/>
        <v>304396.97175595968</v>
      </c>
      <c r="J181" s="79">
        <f t="shared" si="67"/>
        <v>268773.81307131035</v>
      </c>
      <c r="K181" s="79">
        <f t="shared" si="67"/>
        <v>242090.01553777259</v>
      </c>
      <c r="L181" s="79">
        <f t="shared" si="67"/>
        <v>212540.48267476665</v>
      </c>
      <c r="M181" s="79">
        <f t="shared" si="67"/>
        <v>166319.16069723421</v>
      </c>
      <c r="N181" s="79">
        <f t="shared" si="67"/>
        <v>134989.16269201002</v>
      </c>
      <c r="O181" s="79">
        <f t="shared" si="67"/>
        <v>113884.87412948873</v>
      </c>
      <c r="P181" s="79">
        <f t="shared" si="67"/>
        <v>105772.96773727302</v>
      </c>
      <c r="Q181" s="79">
        <f t="shared" si="67"/>
        <v>-403340.91112664645</v>
      </c>
      <c r="R181" s="79">
        <f t="shared" si="67"/>
        <v>99313.082150362359</v>
      </c>
      <c r="S181" s="79">
        <f t="shared" si="67"/>
        <v>102182.66692962455</v>
      </c>
      <c r="T181" s="79">
        <f t="shared" si="67"/>
        <v>91759.503089259757</v>
      </c>
      <c r="U181" s="79">
        <f t="shared" si="67"/>
        <v>90947.157747080579</v>
      </c>
      <c r="V181" s="79">
        <f t="shared" si="67"/>
        <v>91519.203748199026</v>
      </c>
      <c r="W181" s="79">
        <f t="shared" si="67"/>
        <v>86353.633512547298</v>
      </c>
      <c r="X181" s="79">
        <f t="shared" si="67"/>
        <v>92661.694652004357</v>
      </c>
      <c r="Y181" s="79">
        <f t="shared" si="67"/>
        <v>95557.728757041026</v>
      </c>
      <c r="Z181" s="79">
        <f t="shared" si="67"/>
        <v>102471.21130067714</v>
      </c>
      <c r="AA181" s="79">
        <f t="shared" si="67"/>
        <v>98410.778659135613</v>
      </c>
    </row>
  </sheetData>
  <sheetProtection algorithmName="SHA-512" hashValue="hbzXY+Cs7Fbg+zYovXBz7d2MfgUrRC2xznRUsW6byFnA/KQCamGQYl7cE1ERswha8WBNCabgkjnfLM9oW1qixg==" saltValue="Vw7unJdNlwNB32rmmbjKQA==" spinCount="100000" sheet="1" objects="1" scenarios="1" selectLockedCells="1"/>
  <mergeCells count="4">
    <mergeCell ref="B36:C36"/>
    <mergeCell ref="D36:E36"/>
    <mergeCell ref="B39:E39"/>
    <mergeCell ref="D37:E37"/>
  </mergeCells>
  <conditionalFormatting sqref="B5:AA11">
    <cfRule type="expression" dxfId="2" priority="24">
      <formula>IF(OR(Revenue_Model="Tier 1",Revenue_Model="NEM - Net Energy Metering"),1,0)</formula>
    </cfRule>
  </conditionalFormatting>
  <conditionalFormatting sqref="B13:AA15">
    <cfRule type="expression" dxfId="1" priority="26">
      <formula>IF(OR(Revenue_Model="VDER - Value of Distributed Energy Resources",Revenue_Model="Tier 1"),1,0)</formula>
    </cfRule>
  </conditionalFormatting>
  <conditionalFormatting sqref="B17:AA20">
    <cfRule type="expression" dxfId="0" priority="27">
      <formula>IF(OR(Revenue_Model="VDER - Value of Distributed Energy Resources",Revenue_Model="NEM - Net Energy Metering"),1,0)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0023-4BF8-443F-A5AA-4758C8065937}">
  <dimension ref="A1:AB72"/>
  <sheetViews>
    <sheetView zoomScaleNormal="100" workbookViewId="0"/>
  </sheetViews>
  <sheetFormatPr defaultRowHeight="15" x14ac:dyDescent="0.25"/>
  <cols>
    <col min="1" max="1" width="15.5703125" style="23" bestFit="1" customWidth="1"/>
    <col min="2" max="2" width="20.42578125" style="23" bestFit="1" customWidth="1"/>
    <col min="3" max="3" width="18" style="23" bestFit="1" customWidth="1"/>
    <col min="4" max="4" width="11.5703125" style="23" bestFit="1" customWidth="1"/>
    <col min="5" max="5" width="9.7109375" style="170" bestFit="1" customWidth="1"/>
    <col min="6" max="6" width="1.42578125" style="23" customWidth="1"/>
    <col min="7" max="7" width="18.85546875" style="23" bestFit="1" customWidth="1"/>
    <col min="8" max="9" width="13.28515625" style="23" customWidth="1"/>
    <col min="10" max="10" width="9.5703125" style="23" bestFit="1" customWidth="1"/>
    <col min="11" max="14" width="10.7109375" style="23" customWidth="1"/>
    <col min="15" max="15" width="1.42578125" style="23" customWidth="1"/>
    <col min="16" max="16" width="18.140625" style="23" bestFit="1" customWidth="1"/>
    <col min="17" max="17" width="21.85546875" style="156" bestFit="1" customWidth="1"/>
    <col min="18" max="18" width="28.5703125" style="156" bestFit="1" customWidth="1"/>
    <col min="19" max="19" width="35.7109375" style="23" bestFit="1" customWidth="1"/>
    <col min="20" max="20" width="1.42578125" style="23" customWidth="1"/>
    <col min="21" max="21" width="13.7109375" style="23" bestFit="1" customWidth="1"/>
    <col min="22" max="22" width="16.140625" style="23" bestFit="1" customWidth="1"/>
    <col min="23" max="23" width="1.42578125" style="23" customWidth="1"/>
    <col min="24" max="24" width="17.42578125" style="23" bestFit="1" customWidth="1"/>
    <col min="25" max="25" width="12.140625" style="23" bestFit="1" customWidth="1"/>
    <col min="26" max="26" width="1.42578125" style="23" customWidth="1"/>
    <col min="27" max="27" width="5" style="23" bestFit="1" customWidth="1"/>
    <col min="28" max="28" width="5.140625" style="23" bestFit="1" customWidth="1"/>
    <col min="29" max="16384" width="9.140625" style="23"/>
  </cols>
  <sheetData>
    <row r="1" spans="1:28" x14ac:dyDescent="0.25">
      <c r="A1" s="146" t="s">
        <v>79</v>
      </c>
      <c r="B1" s="147" t="s">
        <v>79</v>
      </c>
      <c r="C1" s="147" t="s">
        <v>14</v>
      </c>
      <c r="D1" s="147" t="s">
        <v>25</v>
      </c>
      <c r="E1" s="148" t="s">
        <v>237</v>
      </c>
      <c r="G1" s="192" t="s">
        <v>377</v>
      </c>
      <c r="H1" s="187" t="s">
        <v>383</v>
      </c>
      <c r="I1" s="188"/>
      <c r="J1" s="192" t="s">
        <v>376</v>
      </c>
      <c r="K1" s="189" t="s">
        <v>374</v>
      </c>
      <c r="L1" s="189"/>
      <c r="M1" s="190" t="s">
        <v>375</v>
      </c>
      <c r="N1" s="191"/>
      <c r="P1" s="149" t="s">
        <v>80</v>
      </c>
      <c r="Q1" s="150" t="s">
        <v>81</v>
      </c>
      <c r="R1" s="150" t="s">
        <v>347</v>
      </c>
      <c r="S1" s="151" t="s">
        <v>385</v>
      </c>
      <c r="U1" s="152" t="s">
        <v>82</v>
      </c>
      <c r="V1" s="153" t="s">
        <v>4</v>
      </c>
      <c r="X1" s="149" t="s">
        <v>83</v>
      </c>
      <c r="Y1" s="154" t="s">
        <v>84</v>
      </c>
      <c r="AA1" s="152" t="s">
        <v>85</v>
      </c>
      <c r="AB1" s="154" t="s">
        <v>86</v>
      </c>
    </row>
    <row r="2" spans="1:28" x14ac:dyDescent="0.25">
      <c r="A2" s="146">
        <v>1</v>
      </c>
      <c r="B2" s="147" t="s">
        <v>87</v>
      </c>
      <c r="C2" s="147" t="s">
        <v>88</v>
      </c>
      <c r="D2" s="147" t="s">
        <v>279</v>
      </c>
      <c r="E2" s="148">
        <v>0.19105044924288628</v>
      </c>
      <c r="G2" s="193"/>
      <c r="H2" s="125" t="s">
        <v>378</v>
      </c>
      <c r="I2" s="126" t="s">
        <v>379</v>
      </c>
      <c r="J2" s="193"/>
      <c r="K2" s="125" t="s">
        <v>378</v>
      </c>
      <c r="L2" s="126" t="s">
        <v>379</v>
      </c>
      <c r="M2" s="127" t="s">
        <v>378</v>
      </c>
      <c r="N2" s="126" t="s">
        <v>379</v>
      </c>
      <c r="P2" s="155" t="s">
        <v>89</v>
      </c>
      <c r="Q2" s="156">
        <v>1.0264</v>
      </c>
      <c r="R2" s="157">
        <v>0.05</v>
      </c>
      <c r="S2" s="158">
        <v>5.9900000000000002E-2</v>
      </c>
      <c r="U2" s="146" t="s">
        <v>3</v>
      </c>
      <c r="V2" s="100" t="s">
        <v>5</v>
      </c>
      <c r="X2" s="155" t="s">
        <v>15</v>
      </c>
      <c r="Y2" s="159" t="s">
        <v>88</v>
      </c>
      <c r="AA2" s="160">
        <v>2000</v>
      </c>
      <c r="AB2" s="159">
        <f t="shared" ref="AB2:AB52" si="0">_xlfn.DAYS(DATE(AA2,12,31),DATE(AA2-1,12,31))</f>
        <v>366</v>
      </c>
    </row>
    <row r="3" spans="1:28" x14ac:dyDescent="0.25">
      <c r="A3" s="160">
        <v>1</v>
      </c>
      <c r="B3" s="88" t="s">
        <v>87</v>
      </c>
      <c r="C3" s="88" t="s">
        <v>90</v>
      </c>
      <c r="D3" s="88" t="s">
        <v>280</v>
      </c>
      <c r="E3" s="161">
        <v>0.19105044924288628</v>
      </c>
      <c r="G3" s="128" t="s">
        <v>5</v>
      </c>
      <c r="H3" s="140">
        <v>17.772396768877563</v>
      </c>
      <c r="I3" s="141">
        <v>13.248822069150473</v>
      </c>
      <c r="J3" s="129">
        <v>5</v>
      </c>
      <c r="K3" s="130">
        <f>L3*I3/H3</f>
        <v>0.74547188212404614</v>
      </c>
      <c r="L3" s="131">
        <v>1</v>
      </c>
      <c r="M3" s="130">
        <v>0.31</v>
      </c>
      <c r="N3" s="132">
        <v>1</v>
      </c>
      <c r="P3" s="155" t="s">
        <v>91</v>
      </c>
      <c r="Q3" s="156">
        <v>1.0626992561105206</v>
      </c>
      <c r="R3" s="157">
        <v>0.85399999999999998</v>
      </c>
      <c r="S3" s="158">
        <v>0.12</v>
      </c>
      <c r="U3" s="160" t="s">
        <v>3</v>
      </c>
      <c r="V3" s="100" t="s">
        <v>92</v>
      </c>
      <c r="X3" s="155" t="s">
        <v>93</v>
      </c>
      <c r="Y3" s="159" t="s">
        <v>90</v>
      </c>
      <c r="AA3" s="160">
        <v>2001</v>
      </c>
      <c r="AB3" s="159">
        <f t="shared" si="0"/>
        <v>365</v>
      </c>
    </row>
    <row r="4" spans="1:28" x14ac:dyDescent="0.25">
      <c r="A4" s="160">
        <v>1</v>
      </c>
      <c r="B4" s="88" t="s">
        <v>87</v>
      </c>
      <c r="C4" s="88" t="s">
        <v>94</v>
      </c>
      <c r="D4" s="88" t="s">
        <v>281</v>
      </c>
      <c r="E4" s="161">
        <v>0.1859520261958035</v>
      </c>
      <c r="G4" s="128" t="s">
        <v>92</v>
      </c>
      <c r="H4" s="142">
        <v>19.013850954938864</v>
      </c>
      <c r="I4" s="143">
        <v>14.174291257804366</v>
      </c>
      <c r="J4" s="129">
        <v>5</v>
      </c>
      <c r="K4" s="133">
        <f>L4*I4/H4</f>
        <v>0.74547188212404614</v>
      </c>
      <c r="L4" s="132">
        <v>1</v>
      </c>
      <c r="M4" s="133">
        <f>M3</f>
        <v>0.31</v>
      </c>
      <c r="N4" s="132">
        <f>N3</f>
        <v>1</v>
      </c>
      <c r="P4" s="155" t="s">
        <v>95</v>
      </c>
      <c r="Q4" s="156">
        <v>1.0626992561105206</v>
      </c>
      <c r="R4" s="157">
        <v>0.85399999999999998</v>
      </c>
      <c r="S4" s="158">
        <v>0.12</v>
      </c>
      <c r="U4" s="160" t="s">
        <v>107</v>
      </c>
      <c r="V4" s="100" t="s">
        <v>5</v>
      </c>
      <c r="X4" s="155" t="s">
        <v>97</v>
      </c>
      <c r="Y4" s="159" t="s">
        <v>94</v>
      </c>
      <c r="AA4" s="160">
        <v>2002</v>
      </c>
      <c r="AB4" s="159">
        <f t="shared" si="0"/>
        <v>365</v>
      </c>
    </row>
    <row r="5" spans="1:28" x14ac:dyDescent="0.25">
      <c r="A5" s="160">
        <v>1</v>
      </c>
      <c r="B5" s="88" t="s">
        <v>87</v>
      </c>
      <c r="C5" s="88" t="s">
        <v>98</v>
      </c>
      <c r="D5" s="88" t="s">
        <v>282</v>
      </c>
      <c r="E5" s="161">
        <v>0.19515035200891084</v>
      </c>
      <c r="G5" s="134" t="s">
        <v>103</v>
      </c>
      <c r="H5" s="144">
        <v>26.618949181157248</v>
      </c>
      <c r="I5" s="145">
        <v>26.618949181157248</v>
      </c>
      <c r="J5" s="135">
        <v>100</v>
      </c>
      <c r="K5" s="136">
        <f>L5*I5/H5</f>
        <v>1</v>
      </c>
      <c r="L5" s="137">
        <v>1</v>
      </c>
      <c r="M5" s="136">
        <v>0.86</v>
      </c>
      <c r="N5" s="137">
        <v>0.98</v>
      </c>
      <c r="P5" s="155" t="s">
        <v>99</v>
      </c>
      <c r="Q5" s="156">
        <v>1.0626992561105206</v>
      </c>
      <c r="R5" s="157">
        <v>0.85399999999999998</v>
      </c>
      <c r="S5" s="158">
        <v>0.12</v>
      </c>
      <c r="U5" s="160" t="s">
        <v>107</v>
      </c>
      <c r="V5" s="100" t="s">
        <v>92</v>
      </c>
      <c r="X5" s="155" t="s">
        <v>100</v>
      </c>
      <c r="Y5" s="159" t="s">
        <v>98</v>
      </c>
      <c r="AA5" s="160">
        <v>2003</v>
      </c>
      <c r="AB5" s="159">
        <f t="shared" si="0"/>
        <v>365</v>
      </c>
    </row>
    <row r="6" spans="1:28" x14ac:dyDescent="0.25">
      <c r="A6" s="160">
        <v>1</v>
      </c>
      <c r="B6" s="88" t="s">
        <v>87</v>
      </c>
      <c r="C6" s="88" t="s">
        <v>101</v>
      </c>
      <c r="D6" s="88" t="s">
        <v>283</v>
      </c>
      <c r="E6" s="161">
        <v>0.19515035200891084</v>
      </c>
      <c r="P6" s="155" t="s">
        <v>102</v>
      </c>
      <c r="Q6" s="156">
        <v>1.0626992561105206</v>
      </c>
      <c r="R6" s="157">
        <v>0.85399999999999998</v>
      </c>
      <c r="S6" s="158">
        <v>0.12</v>
      </c>
      <c r="U6" s="160" t="s">
        <v>96</v>
      </c>
      <c r="V6" s="100" t="s">
        <v>5</v>
      </c>
      <c r="X6" s="155" t="s">
        <v>104</v>
      </c>
      <c r="Y6" s="159" t="s">
        <v>101</v>
      </c>
      <c r="AA6" s="160">
        <v>2004</v>
      </c>
      <c r="AB6" s="159">
        <f t="shared" si="0"/>
        <v>366</v>
      </c>
    </row>
    <row r="7" spans="1:28" x14ac:dyDescent="0.25">
      <c r="A7" s="160">
        <v>1</v>
      </c>
      <c r="B7" s="88" t="s">
        <v>87</v>
      </c>
      <c r="C7" s="88" t="s">
        <v>105</v>
      </c>
      <c r="D7" s="88" t="s">
        <v>284</v>
      </c>
      <c r="E7" s="161">
        <v>0.19515035200891084</v>
      </c>
      <c r="P7" s="155" t="s">
        <v>106</v>
      </c>
      <c r="Q7" s="156">
        <v>1.0840000000000001</v>
      </c>
      <c r="R7" s="157">
        <v>0.21</v>
      </c>
      <c r="S7" s="158">
        <v>2.8199999999999999E-2</v>
      </c>
      <c r="U7" s="160" t="s">
        <v>96</v>
      </c>
      <c r="V7" s="100" t="s">
        <v>92</v>
      </c>
      <c r="X7" s="155" t="s">
        <v>108</v>
      </c>
      <c r="Y7" s="159" t="s">
        <v>105</v>
      </c>
      <c r="AA7" s="160">
        <v>2005</v>
      </c>
      <c r="AB7" s="159">
        <f t="shared" si="0"/>
        <v>365</v>
      </c>
    </row>
    <row r="8" spans="1:28" x14ac:dyDescent="0.25">
      <c r="A8" s="160">
        <v>1</v>
      </c>
      <c r="B8" s="88" t="s">
        <v>87</v>
      </c>
      <c r="C8" s="88" t="s">
        <v>109</v>
      </c>
      <c r="D8" s="88" t="s">
        <v>285</v>
      </c>
      <c r="E8" s="161">
        <v>0.19515035200891084</v>
      </c>
      <c r="P8" s="155" t="s">
        <v>17</v>
      </c>
      <c r="Q8" s="156">
        <v>1.0728</v>
      </c>
      <c r="R8" s="157">
        <v>8.8999999999999996E-2</v>
      </c>
      <c r="S8" s="158">
        <v>3.1399999999999997E-2</v>
      </c>
      <c r="U8" s="162" t="s">
        <v>96</v>
      </c>
      <c r="V8" s="104" t="s">
        <v>103</v>
      </c>
      <c r="X8" s="155" t="s">
        <v>110</v>
      </c>
      <c r="Y8" s="159" t="s">
        <v>109</v>
      </c>
      <c r="AA8" s="160">
        <v>2006</v>
      </c>
      <c r="AB8" s="159">
        <f t="shared" si="0"/>
        <v>365</v>
      </c>
    </row>
    <row r="9" spans="1:28" x14ac:dyDescent="0.25">
      <c r="A9" s="160">
        <v>1</v>
      </c>
      <c r="B9" s="88" t="s">
        <v>87</v>
      </c>
      <c r="C9" s="88" t="s">
        <v>111</v>
      </c>
      <c r="D9" s="88" t="s">
        <v>286</v>
      </c>
      <c r="E9" s="161">
        <v>0.19515035200891084</v>
      </c>
      <c r="P9" s="155" t="s">
        <v>112</v>
      </c>
      <c r="Q9" s="156">
        <v>1.0798700000000001</v>
      </c>
      <c r="R9" s="157">
        <v>0.222</v>
      </c>
      <c r="S9" s="158">
        <v>9.11E-2</v>
      </c>
      <c r="X9" s="155" t="s">
        <v>113</v>
      </c>
      <c r="Y9" s="159" t="s">
        <v>111</v>
      </c>
      <c r="AA9" s="160">
        <v>2007</v>
      </c>
      <c r="AB9" s="159">
        <f t="shared" si="0"/>
        <v>365</v>
      </c>
    </row>
    <row r="10" spans="1:28" x14ac:dyDescent="0.25">
      <c r="A10" s="160">
        <v>1</v>
      </c>
      <c r="B10" s="88" t="s">
        <v>87</v>
      </c>
      <c r="C10" s="88" t="s">
        <v>114</v>
      </c>
      <c r="D10" s="88" t="s">
        <v>287</v>
      </c>
      <c r="E10" s="161">
        <v>0.19515035200891084</v>
      </c>
      <c r="P10" s="155" t="s">
        <v>115</v>
      </c>
      <c r="Q10" s="156">
        <v>1.0669</v>
      </c>
      <c r="R10" s="157">
        <v>0.33800000000000002</v>
      </c>
      <c r="S10" s="158">
        <v>0.05</v>
      </c>
      <c r="X10" s="155" t="s">
        <v>116</v>
      </c>
      <c r="Y10" s="159" t="s">
        <v>114</v>
      </c>
      <c r="AA10" s="160">
        <v>2008</v>
      </c>
      <c r="AB10" s="159">
        <f t="shared" si="0"/>
        <v>366</v>
      </c>
    </row>
    <row r="11" spans="1:28" x14ac:dyDescent="0.25">
      <c r="A11" s="160">
        <v>1</v>
      </c>
      <c r="B11" s="88" t="s">
        <v>87</v>
      </c>
      <c r="C11" s="88" t="s">
        <v>117</v>
      </c>
      <c r="D11" s="88" t="s">
        <v>288</v>
      </c>
      <c r="E11" s="161">
        <v>0.19515035200891084</v>
      </c>
      <c r="P11" s="163" t="s">
        <v>118</v>
      </c>
      <c r="Q11" s="164">
        <v>1.0692899914456799</v>
      </c>
      <c r="R11" s="165">
        <v>0.109</v>
      </c>
      <c r="S11" s="166">
        <v>3.8289999999999998E-2</v>
      </c>
      <c r="X11" s="155" t="s">
        <v>119</v>
      </c>
      <c r="Y11" s="159" t="s">
        <v>117</v>
      </c>
      <c r="AA11" s="160">
        <v>2009</v>
      </c>
      <c r="AB11" s="159">
        <f t="shared" si="0"/>
        <v>365</v>
      </c>
    </row>
    <row r="12" spans="1:28" x14ac:dyDescent="0.25">
      <c r="A12" s="162">
        <v>1</v>
      </c>
      <c r="B12" s="167" t="s">
        <v>87</v>
      </c>
      <c r="C12" s="167" t="s">
        <v>120</v>
      </c>
      <c r="D12" s="167" t="s">
        <v>289</v>
      </c>
      <c r="E12" s="168">
        <v>0.19515035200891084</v>
      </c>
      <c r="X12" s="163" t="s">
        <v>121</v>
      </c>
      <c r="Y12" s="169" t="s">
        <v>120</v>
      </c>
      <c r="AA12" s="160">
        <v>2010</v>
      </c>
      <c r="AB12" s="159">
        <f t="shared" si="0"/>
        <v>365</v>
      </c>
    </row>
    <row r="13" spans="1:28" x14ac:dyDescent="0.25">
      <c r="A13" s="146">
        <v>2</v>
      </c>
      <c r="B13" s="147" t="s">
        <v>122</v>
      </c>
      <c r="C13" s="147" t="s">
        <v>88</v>
      </c>
      <c r="D13" s="147" t="s">
        <v>290</v>
      </c>
      <c r="E13" s="148">
        <v>0.23339684815097766</v>
      </c>
      <c r="AA13" s="160">
        <v>2011</v>
      </c>
      <c r="AB13" s="159">
        <f t="shared" si="0"/>
        <v>365</v>
      </c>
    </row>
    <row r="14" spans="1:28" x14ac:dyDescent="0.25">
      <c r="A14" s="160">
        <v>2</v>
      </c>
      <c r="B14" s="88" t="s">
        <v>122</v>
      </c>
      <c r="C14" s="88" t="s">
        <v>90</v>
      </c>
      <c r="D14" s="88" t="s">
        <v>291</v>
      </c>
      <c r="E14" s="161">
        <v>0.23987652643201832</v>
      </c>
      <c r="AA14" s="160">
        <v>2012</v>
      </c>
      <c r="AB14" s="159">
        <f t="shared" si="0"/>
        <v>366</v>
      </c>
    </row>
    <row r="15" spans="1:28" x14ac:dyDescent="0.25">
      <c r="A15" s="160">
        <v>2</v>
      </c>
      <c r="B15" s="88" t="s">
        <v>122</v>
      </c>
      <c r="C15" s="88" t="s">
        <v>94</v>
      </c>
      <c r="D15" s="88" t="s">
        <v>292</v>
      </c>
      <c r="E15" s="161">
        <v>0.22456364081777536</v>
      </c>
      <c r="AA15" s="160">
        <v>2013</v>
      </c>
      <c r="AB15" s="159">
        <f t="shared" si="0"/>
        <v>365</v>
      </c>
    </row>
    <row r="16" spans="1:28" x14ac:dyDescent="0.25">
      <c r="A16" s="160">
        <v>2</v>
      </c>
      <c r="B16" s="88" t="s">
        <v>122</v>
      </c>
      <c r="C16" s="88" t="s">
        <v>98</v>
      </c>
      <c r="D16" s="88" t="s">
        <v>293</v>
      </c>
      <c r="E16" s="161">
        <v>0.2209892292436493</v>
      </c>
      <c r="AA16" s="160">
        <v>2014</v>
      </c>
      <c r="AB16" s="159">
        <f t="shared" si="0"/>
        <v>365</v>
      </c>
    </row>
    <row r="17" spans="1:28" x14ac:dyDescent="0.25">
      <c r="A17" s="160">
        <v>2</v>
      </c>
      <c r="B17" s="88" t="s">
        <v>122</v>
      </c>
      <c r="C17" s="88" t="s">
        <v>101</v>
      </c>
      <c r="D17" s="88" t="s">
        <v>294</v>
      </c>
      <c r="E17" s="161">
        <v>0.2209892292436493</v>
      </c>
      <c r="AA17" s="160">
        <v>2015</v>
      </c>
      <c r="AB17" s="159">
        <f t="shared" si="0"/>
        <v>365</v>
      </c>
    </row>
    <row r="18" spans="1:28" x14ac:dyDescent="0.25">
      <c r="A18" s="160">
        <v>2</v>
      </c>
      <c r="B18" s="88" t="s">
        <v>122</v>
      </c>
      <c r="C18" s="88" t="s">
        <v>105</v>
      </c>
      <c r="D18" s="88" t="s">
        <v>295</v>
      </c>
      <c r="E18" s="161">
        <v>0.22346593470602444</v>
      </c>
      <c r="AA18" s="160">
        <v>2016</v>
      </c>
      <c r="AB18" s="159">
        <f t="shared" si="0"/>
        <v>366</v>
      </c>
    </row>
    <row r="19" spans="1:28" x14ac:dyDescent="0.25">
      <c r="A19" s="160">
        <v>2</v>
      </c>
      <c r="B19" s="88" t="s">
        <v>122</v>
      </c>
      <c r="C19" s="88" t="s">
        <v>109</v>
      </c>
      <c r="D19" s="88" t="s">
        <v>296</v>
      </c>
      <c r="E19" s="161">
        <v>0.20998756314857955</v>
      </c>
      <c r="AA19" s="160">
        <v>2017</v>
      </c>
      <c r="AB19" s="159">
        <f t="shared" si="0"/>
        <v>365</v>
      </c>
    </row>
    <row r="20" spans="1:28" x14ac:dyDescent="0.25">
      <c r="A20" s="160">
        <v>2</v>
      </c>
      <c r="B20" s="88" t="s">
        <v>122</v>
      </c>
      <c r="C20" s="88" t="s">
        <v>111</v>
      </c>
      <c r="D20" s="88" t="s">
        <v>297</v>
      </c>
      <c r="E20" s="161">
        <v>0.20998756314857955</v>
      </c>
      <c r="AA20" s="160">
        <v>2018</v>
      </c>
      <c r="AB20" s="159">
        <f t="shared" si="0"/>
        <v>365</v>
      </c>
    </row>
    <row r="21" spans="1:28" x14ac:dyDescent="0.25">
      <c r="A21" s="160">
        <v>2</v>
      </c>
      <c r="B21" s="88" t="s">
        <v>122</v>
      </c>
      <c r="C21" s="88" t="s">
        <v>114</v>
      </c>
      <c r="D21" s="88" t="s">
        <v>298</v>
      </c>
      <c r="E21" s="161">
        <v>0.20998756314857955</v>
      </c>
      <c r="AA21" s="160">
        <v>2019</v>
      </c>
      <c r="AB21" s="159">
        <f t="shared" si="0"/>
        <v>365</v>
      </c>
    </row>
    <row r="22" spans="1:28" x14ac:dyDescent="0.25">
      <c r="A22" s="160">
        <v>2</v>
      </c>
      <c r="B22" s="88" t="s">
        <v>122</v>
      </c>
      <c r="C22" s="88" t="s">
        <v>117</v>
      </c>
      <c r="D22" s="88" t="s">
        <v>299</v>
      </c>
      <c r="E22" s="161">
        <v>0.20998756314857955</v>
      </c>
      <c r="AA22" s="160">
        <v>2020</v>
      </c>
      <c r="AB22" s="159">
        <f t="shared" si="0"/>
        <v>366</v>
      </c>
    </row>
    <row r="23" spans="1:28" x14ac:dyDescent="0.25">
      <c r="A23" s="162">
        <v>2</v>
      </c>
      <c r="B23" s="167" t="s">
        <v>122</v>
      </c>
      <c r="C23" s="167" t="s">
        <v>120</v>
      </c>
      <c r="D23" s="167" t="s">
        <v>300</v>
      </c>
      <c r="E23" s="168">
        <v>0.20998756314857955</v>
      </c>
      <c r="AA23" s="160">
        <v>2021</v>
      </c>
      <c r="AB23" s="159">
        <f t="shared" si="0"/>
        <v>365</v>
      </c>
    </row>
    <row r="24" spans="1:28" x14ac:dyDescent="0.25">
      <c r="A24" s="146">
        <v>3</v>
      </c>
      <c r="B24" s="147" t="s">
        <v>124</v>
      </c>
      <c r="C24" s="147" t="s">
        <v>88</v>
      </c>
      <c r="D24" s="147" t="s">
        <v>301</v>
      </c>
      <c r="E24" s="148">
        <v>0.19105044924288628</v>
      </c>
      <c r="AA24" s="160">
        <v>2022</v>
      </c>
      <c r="AB24" s="159">
        <f t="shared" si="0"/>
        <v>365</v>
      </c>
    </row>
    <row r="25" spans="1:28" x14ac:dyDescent="0.25">
      <c r="A25" s="160">
        <v>3</v>
      </c>
      <c r="B25" s="88" t="s">
        <v>124</v>
      </c>
      <c r="C25" s="88" t="s">
        <v>90</v>
      </c>
      <c r="D25" s="88" t="s">
        <v>302</v>
      </c>
      <c r="E25" s="161">
        <v>0.19105044924288628</v>
      </c>
      <c r="AA25" s="160">
        <v>2023</v>
      </c>
      <c r="AB25" s="159">
        <f t="shared" si="0"/>
        <v>365</v>
      </c>
    </row>
    <row r="26" spans="1:28" x14ac:dyDescent="0.25">
      <c r="A26" s="160">
        <v>3</v>
      </c>
      <c r="B26" s="88" t="s">
        <v>124</v>
      </c>
      <c r="C26" s="88" t="s">
        <v>94</v>
      </c>
      <c r="D26" s="88" t="s">
        <v>303</v>
      </c>
      <c r="E26" s="161">
        <v>0.1859520261958035</v>
      </c>
      <c r="AA26" s="160">
        <v>2024</v>
      </c>
      <c r="AB26" s="159">
        <f t="shared" si="0"/>
        <v>366</v>
      </c>
    </row>
    <row r="27" spans="1:28" x14ac:dyDescent="0.25">
      <c r="A27" s="160">
        <v>3</v>
      </c>
      <c r="B27" s="88" t="s">
        <v>124</v>
      </c>
      <c r="C27" s="88" t="s">
        <v>98</v>
      </c>
      <c r="D27" s="88" t="s">
        <v>304</v>
      </c>
      <c r="E27" s="161">
        <v>0.19515035200891084</v>
      </c>
      <c r="AA27" s="160">
        <v>2025</v>
      </c>
      <c r="AB27" s="159">
        <f t="shared" si="0"/>
        <v>365</v>
      </c>
    </row>
    <row r="28" spans="1:28" x14ac:dyDescent="0.25">
      <c r="A28" s="160">
        <v>3</v>
      </c>
      <c r="B28" s="88" t="s">
        <v>124</v>
      </c>
      <c r="C28" s="88" t="s">
        <v>101</v>
      </c>
      <c r="D28" s="88" t="s">
        <v>305</v>
      </c>
      <c r="E28" s="161">
        <v>0.19515035200891084</v>
      </c>
      <c r="AA28" s="160">
        <v>2026</v>
      </c>
      <c r="AB28" s="159">
        <f t="shared" si="0"/>
        <v>365</v>
      </c>
    </row>
    <row r="29" spans="1:28" x14ac:dyDescent="0.25">
      <c r="A29" s="160">
        <v>3</v>
      </c>
      <c r="B29" s="88" t="s">
        <v>124</v>
      </c>
      <c r="C29" s="88" t="s">
        <v>105</v>
      </c>
      <c r="D29" s="88" t="s">
        <v>306</v>
      </c>
      <c r="E29" s="161">
        <v>0.19515035200891084</v>
      </c>
      <c r="AA29" s="160">
        <v>2027</v>
      </c>
      <c r="AB29" s="159">
        <f t="shared" si="0"/>
        <v>365</v>
      </c>
    </row>
    <row r="30" spans="1:28" x14ac:dyDescent="0.25">
      <c r="A30" s="160">
        <v>3</v>
      </c>
      <c r="B30" s="88" t="s">
        <v>124</v>
      </c>
      <c r="C30" s="88" t="s">
        <v>109</v>
      </c>
      <c r="D30" s="88" t="s">
        <v>307</v>
      </c>
      <c r="E30" s="161">
        <v>0.19515035200891084</v>
      </c>
      <c r="AA30" s="160">
        <v>2028</v>
      </c>
      <c r="AB30" s="159">
        <f t="shared" si="0"/>
        <v>366</v>
      </c>
    </row>
    <row r="31" spans="1:28" x14ac:dyDescent="0.25">
      <c r="A31" s="160">
        <v>3</v>
      </c>
      <c r="B31" s="88" t="s">
        <v>124</v>
      </c>
      <c r="C31" s="88" t="s">
        <v>111</v>
      </c>
      <c r="D31" s="88" t="s">
        <v>308</v>
      </c>
      <c r="E31" s="161">
        <v>0.19515035200891084</v>
      </c>
      <c r="AA31" s="160">
        <v>2029</v>
      </c>
      <c r="AB31" s="159">
        <f t="shared" si="0"/>
        <v>365</v>
      </c>
    </row>
    <row r="32" spans="1:28" x14ac:dyDescent="0.25">
      <c r="A32" s="160">
        <v>3</v>
      </c>
      <c r="B32" s="88" t="s">
        <v>124</v>
      </c>
      <c r="C32" s="88" t="s">
        <v>114</v>
      </c>
      <c r="D32" s="88" t="s">
        <v>309</v>
      </c>
      <c r="E32" s="161">
        <v>0.19515035200891084</v>
      </c>
      <c r="AA32" s="160">
        <v>2030</v>
      </c>
      <c r="AB32" s="159">
        <f t="shared" si="0"/>
        <v>365</v>
      </c>
    </row>
    <row r="33" spans="1:28" x14ac:dyDescent="0.25">
      <c r="A33" s="160">
        <v>3</v>
      </c>
      <c r="B33" s="88" t="s">
        <v>124</v>
      </c>
      <c r="C33" s="88" t="s">
        <v>117</v>
      </c>
      <c r="D33" s="88" t="s">
        <v>310</v>
      </c>
      <c r="E33" s="161">
        <v>0.19515035200891084</v>
      </c>
      <c r="AA33" s="160">
        <v>2031</v>
      </c>
      <c r="AB33" s="159">
        <f t="shared" si="0"/>
        <v>365</v>
      </c>
    </row>
    <row r="34" spans="1:28" x14ac:dyDescent="0.25">
      <c r="A34" s="162">
        <v>3</v>
      </c>
      <c r="B34" s="167" t="s">
        <v>124</v>
      </c>
      <c r="C34" s="167" t="s">
        <v>120</v>
      </c>
      <c r="D34" s="167" t="s">
        <v>311</v>
      </c>
      <c r="E34" s="168">
        <v>0.19515035200891084</v>
      </c>
      <c r="AA34" s="160">
        <v>2032</v>
      </c>
      <c r="AB34" s="159">
        <f t="shared" si="0"/>
        <v>366</v>
      </c>
    </row>
    <row r="35" spans="1:28" x14ac:dyDescent="0.25">
      <c r="A35" s="146">
        <v>4</v>
      </c>
      <c r="B35" s="147" t="s">
        <v>125</v>
      </c>
      <c r="C35" s="147" t="s">
        <v>88</v>
      </c>
      <c r="D35" s="147" t="s">
        <v>312</v>
      </c>
      <c r="E35" s="148">
        <v>0.23339684815097766</v>
      </c>
      <c r="AA35" s="160">
        <v>2033</v>
      </c>
      <c r="AB35" s="159">
        <f t="shared" si="0"/>
        <v>365</v>
      </c>
    </row>
    <row r="36" spans="1:28" x14ac:dyDescent="0.25">
      <c r="A36" s="160">
        <v>4</v>
      </c>
      <c r="B36" s="88" t="s">
        <v>125</v>
      </c>
      <c r="C36" s="88" t="s">
        <v>90</v>
      </c>
      <c r="D36" s="88" t="s">
        <v>313</v>
      </c>
      <c r="E36" s="161">
        <v>0.23987652643201832</v>
      </c>
      <c r="AA36" s="160">
        <v>2034</v>
      </c>
      <c r="AB36" s="159">
        <f t="shared" si="0"/>
        <v>365</v>
      </c>
    </row>
    <row r="37" spans="1:28" x14ac:dyDescent="0.25">
      <c r="A37" s="160">
        <v>4</v>
      </c>
      <c r="B37" s="88" t="s">
        <v>125</v>
      </c>
      <c r="C37" s="88" t="s">
        <v>94</v>
      </c>
      <c r="D37" s="88" t="s">
        <v>314</v>
      </c>
      <c r="E37" s="161">
        <v>0.22456364081777536</v>
      </c>
      <c r="AA37" s="160">
        <v>2035</v>
      </c>
      <c r="AB37" s="159">
        <f t="shared" si="0"/>
        <v>365</v>
      </c>
    </row>
    <row r="38" spans="1:28" x14ac:dyDescent="0.25">
      <c r="A38" s="160">
        <v>4</v>
      </c>
      <c r="B38" s="88" t="s">
        <v>125</v>
      </c>
      <c r="C38" s="88" t="s">
        <v>98</v>
      </c>
      <c r="D38" s="88" t="s">
        <v>315</v>
      </c>
      <c r="E38" s="161">
        <v>0.2209892292436493</v>
      </c>
      <c r="AA38" s="160">
        <v>2036</v>
      </c>
      <c r="AB38" s="159">
        <f t="shared" si="0"/>
        <v>366</v>
      </c>
    </row>
    <row r="39" spans="1:28" x14ac:dyDescent="0.25">
      <c r="A39" s="160">
        <v>4</v>
      </c>
      <c r="B39" s="88" t="s">
        <v>125</v>
      </c>
      <c r="C39" s="88" t="s">
        <v>101</v>
      </c>
      <c r="D39" s="88" t="s">
        <v>316</v>
      </c>
      <c r="E39" s="161">
        <v>0.2209892292436493</v>
      </c>
      <c r="AA39" s="160">
        <v>2037</v>
      </c>
      <c r="AB39" s="159">
        <f t="shared" si="0"/>
        <v>365</v>
      </c>
    </row>
    <row r="40" spans="1:28" x14ac:dyDescent="0.25">
      <c r="A40" s="160">
        <v>4</v>
      </c>
      <c r="B40" s="88" t="s">
        <v>125</v>
      </c>
      <c r="C40" s="88" t="s">
        <v>105</v>
      </c>
      <c r="D40" s="88" t="s">
        <v>317</v>
      </c>
      <c r="E40" s="161">
        <v>0.22346593470602444</v>
      </c>
      <c r="AA40" s="160">
        <v>2038</v>
      </c>
      <c r="AB40" s="159">
        <f t="shared" si="0"/>
        <v>365</v>
      </c>
    </row>
    <row r="41" spans="1:28" x14ac:dyDescent="0.25">
      <c r="A41" s="160">
        <v>4</v>
      </c>
      <c r="B41" s="88" t="s">
        <v>125</v>
      </c>
      <c r="C41" s="88" t="s">
        <v>109</v>
      </c>
      <c r="D41" s="88" t="s">
        <v>318</v>
      </c>
      <c r="E41" s="161">
        <v>0.20998756314857955</v>
      </c>
      <c r="AA41" s="160">
        <v>2039</v>
      </c>
      <c r="AB41" s="159">
        <f t="shared" si="0"/>
        <v>365</v>
      </c>
    </row>
    <row r="42" spans="1:28" x14ac:dyDescent="0.25">
      <c r="A42" s="160">
        <v>4</v>
      </c>
      <c r="B42" s="88" t="s">
        <v>125</v>
      </c>
      <c r="C42" s="88" t="s">
        <v>111</v>
      </c>
      <c r="D42" s="88" t="s">
        <v>319</v>
      </c>
      <c r="E42" s="161">
        <v>0.20998756314857955</v>
      </c>
      <c r="AA42" s="160">
        <v>2040</v>
      </c>
      <c r="AB42" s="159">
        <f t="shared" si="0"/>
        <v>366</v>
      </c>
    </row>
    <row r="43" spans="1:28" x14ac:dyDescent="0.25">
      <c r="A43" s="160">
        <v>4</v>
      </c>
      <c r="B43" s="88" t="s">
        <v>125</v>
      </c>
      <c r="C43" s="88" t="s">
        <v>114</v>
      </c>
      <c r="D43" s="88" t="s">
        <v>320</v>
      </c>
      <c r="E43" s="161">
        <v>0.20998756314857955</v>
      </c>
      <c r="AA43" s="160">
        <v>2041</v>
      </c>
      <c r="AB43" s="159">
        <f t="shared" si="0"/>
        <v>365</v>
      </c>
    </row>
    <row r="44" spans="1:28" x14ac:dyDescent="0.25">
      <c r="A44" s="160">
        <v>4</v>
      </c>
      <c r="B44" s="88" t="s">
        <v>125</v>
      </c>
      <c r="C44" s="88" t="s">
        <v>117</v>
      </c>
      <c r="D44" s="88" t="s">
        <v>321</v>
      </c>
      <c r="E44" s="161">
        <v>0.20998756314857955</v>
      </c>
      <c r="Q44" s="23"/>
      <c r="R44" s="23"/>
      <c r="AA44" s="160">
        <v>2042</v>
      </c>
      <c r="AB44" s="159">
        <f t="shared" si="0"/>
        <v>365</v>
      </c>
    </row>
    <row r="45" spans="1:28" x14ac:dyDescent="0.25">
      <c r="A45" s="162">
        <v>4</v>
      </c>
      <c r="B45" s="167" t="s">
        <v>125</v>
      </c>
      <c r="C45" s="167" t="s">
        <v>120</v>
      </c>
      <c r="D45" s="167" t="s">
        <v>322</v>
      </c>
      <c r="E45" s="168">
        <v>0.20998756314857955</v>
      </c>
      <c r="Q45" s="23"/>
      <c r="R45" s="23"/>
      <c r="AA45" s="160">
        <v>2043</v>
      </c>
      <c r="AB45" s="159">
        <f t="shared" si="0"/>
        <v>365</v>
      </c>
    </row>
    <row r="46" spans="1:28" x14ac:dyDescent="0.25">
      <c r="A46" s="146">
        <v>5</v>
      </c>
      <c r="B46" s="147" t="s">
        <v>126</v>
      </c>
      <c r="C46" s="147" t="s">
        <v>88</v>
      </c>
      <c r="D46" s="147" t="s">
        <v>323</v>
      </c>
      <c r="E46" s="148">
        <v>0.30428883264833301</v>
      </c>
      <c r="Q46" s="23"/>
      <c r="R46" s="23"/>
      <c r="AA46" s="160">
        <v>2044</v>
      </c>
      <c r="AB46" s="159">
        <f t="shared" si="0"/>
        <v>366</v>
      </c>
    </row>
    <row r="47" spans="1:28" x14ac:dyDescent="0.25">
      <c r="A47" s="160">
        <v>5</v>
      </c>
      <c r="B47" s="88" t="s">
        <v>126</v>
      </c>
      <c r="C47" s="88" t="s">
        <v>90</v>
      </c>
      <c r="D47" s="88" t="s">
        <v>324</v>
      </c>
      <c r="E47" s="161">
        <v>0.32004427704093208</v>
      </c>
      <c r="Q47" s="23"/>
      <c r="R47" s="23"/>
      <c r="AA47" s="160">
        <v>2045</v>
      </c>
      <c r="AB47" s="159">
        <f t="shared" si="0"/>
        <v>365</v>
      </c>
    </row>
    <row r="48" spans="1:28" x14ac:dyDescent="0.25">
      <c r="A48" s="160">
        <v>5</v>
      </c>
      <c r="B48" s="88" t="s">
        <v>126</v>
      </c>
      <c r="C48" s="88" t="s">
        <v>94</v>
      </c>
      <c r="D48" s="88" t="s">
        <v>325</v>
      </c>
      <c r="E48" s="161">
        <v>0.32004427704093208</v>
      </c>
      <c r="Q48" s="23"/>
      <c r="R48" s="23"/>
      <c r="AA48" s="160">
        <v>2046</v>
      </c>
      <c r="AB48" s="159">
        <f t="shared" si="0"/>
        <v>365</v>
      </c>
    </row>
    <row r="49" spans="1:28" x14ac:dyDescent="0.25">
      <c r="A49" s="160">
        <v>5</v>
      </c>
      <c r="B49" s="88" t="s">
        <v>126</v>
      </c>
      <c r="C49" s="88" t="s">
        <v>98</v>
      </c>
      <c r="D49" s="88" t="s">
        <v>326</v>
      </c>
      <c r="E49" s="161">
        <v>0.34367361608543501</v>
      </c>
      <c r="Q49" s="23"/>
      <c r="R49" s="23"/>
      <c r="AA49" s="160">
        <v>2047</v>
      </c>
      <c r="AB49" s="159">
        <f t="shared" si="0"/>
        <v>365</v>
      </c>
    </row>
    <row r="50" spans="1:28" x14ac:dyDescent="0.25">
      <c r="A50" s="160">
        <v>5</v>
      </c>
      <c r="B50" s="88" t="s">
        <v>126</v>
      </c>
      <c r="C50" s="88" t="s">
        <v>101</v>
      </c>
      <c r="D50" s="88" t="s">
        <v>327</v>
      </c>
      <c r="E50" s="161">
        <v>0.34367361608543501</v>
      </c>
      <c r="Q50" s="23"/>
      <c r="R50" s="23"/>
      <c r="AA50" s="160">
        <v>2048</v>
      </c>
      <c r="AB50" s="159">
        <f t="shared" si="0"/>
        <v>366</v>
      </c>
    </row>
    <row r="51" spans="1:28" x14ac:dyDescent="0.25">
      <c r="A51" s="160">
        <v>5</v>
      </c>
      <c r="B51" s="88" t="s">
        <v>126</v>
      </c>
      <c r="C51" s="88" t="s">
        <v>105</v>
      </c>
      <c r="D51" s="88" t="s">
        <v>328</v>
      </c>
      <c r="E51" s="161">
        <v>0.34367361608543501</v>
      </c>
      <c r="Q51" s="23"/>
      <c r="R51" s="23"/>
      <c r="AA51" s="160">
        <v>2049</v>
      </c>
      <c r="AB51" s="159">
        <f t="shared" si="0"/>
        <v>365</v>
      </c>
    </row>
    <row r="52" spans="1:28" x14ac:dyDescent="0.25">
      <c r="A52" s="160">
        <v>5</v>
      </c>
      <c r="B52" s="88" t="s">
        <v>126</v>
      </c>
      <c r="C52" s="88" t="s">
        <v>109</v>
      </c>
      <c r="D52" s="88" t="s">
        <v>329</v>
      </c>
      <c r="E52" s="161">
        <v>0.34367361608543501</v>
      </c>
      <c r="Q52" s="23"/>
      <c r="R52" s="23"/>
      <c r="AA52" s="162">
        <v>2050</v>
      </c>
      <c r="AB52" s="169">
        <f t="shared" si="0"/>
        <v>365</v>
      </c>
    </row>
    <row r="53" spans="1:28" x14ac:dyDescent="0.25">
      <c r="A53" s="160">
        <v>5</v>
      </c>
      <c r="B53" s="88" t="s">
        <v>126</v>
      </c>
      <c r="C53" s="88" t="s">
        <v>111</v>
      </c>
      <c r="D53" s="88" t="s">
        <v>330</v>
      </c>
      <c r="E53" s="161">
        <v>0.34367361608543501</v>
      </c>
      <c r="Q53" s="23"/>
      <c r="R53" s="23"/>
    </row>
    <row r="54" spans="1:28" x14ac:dyDescent="0.25">
      <c r="A54" s="160">
        <v>5</v>
      </c>
      <c r="B54" s="88" t="s">
        <v>126</v>
      </c>
      <c r="C54" s="88" t="s">
        <v>114</v>
      </c>
      <c r="D54" s="88" t="s">
        <v>331</v>
      </c>
      <c r="E54" s="161">
        <v>0.34367361608543501</v>
      </c>
      <c r="Q54" s="23"/>
      <c r="R54" s="23"/>
    </row>
    <row r="55" spans="1:28" x14ac:dyDescent="0.25">
      <c r="A55" s="160">
        <v>5</v>
      </c>
      <c r="B55" s="88" t="s">
        <v>126</v>
      </c>
      <c r="C55" s="88" t="s">
        <v>117</v>
      </c>
      <c r="D55" s="88" t="s">
        <v>332</v>
      </c>
      <c r="E55" s="161">
        <v>0.34367361608543501</v>
      </c>
      <c r="Q55" s="23"/>
      <c r="R55" s="23"/>
    </row>
    <row r="56" spans="1:28" x14ac:dyDescent="0.25">
      <c r="A56" s="162">
        <v>5</v>
      </c>
      <c r="B56" s="167" t="s">
        <v>126</v>
      </c>
      <c r="C56" s="167" t="s">
        <v>120</v>
      </c>
      <c r="D56" s="167" t="s">
        <v>333</v>
      </c>
      <c r="E56" s="168">
        <v>0.34367361608543501</v>
      </c>
      <c r="Q56" s="23"/>
      <c r="R56" s="23"/>
    </row>
    <row r="57" spans="1:28" x14ac:dyDescent="0.25">
      <c r="A57" s="146">
        <v>6</v>
      </c>
      <c r="B57" s="147" t="s">
        <v>127</v>
      </c>
      <c r="C57" s="147" t="s">
        <v>89</v>
      </c>
      <c r="D57" s="147" t="s">
        <v>357</v>
      </c>
      <c r="E57" s="148">
        <v>0.19515035200891084</v>
      </c>
      <c r="Q57" s="23"/>
      <c r="R57" s="23"/>
    </row>
    <row r="58" spans="1:28" x14ac:dyDescent="0.25">
      <c r="A58" s="160">
        <v>6</v>
      </c>
      <c r="B58" s="88" t="s">
        <v>127</v>
      </c>
      <c r="C58" s="88" t="s">
        <v>128</v>
      </c>
      <c r="D58" s="88" t="s">
        <v>358</v>
      </c>
      <c r="E58" s="161">
        <v>0.19515035200891084</v>
      </c>
      <c r="Q58" s="23"/>
      <c r="R58" s="23"/>
    </row>
    <row r="59" spans="1:28" x14ac:dyDescent="0.25">
      <c r="A59" s="160">
        <v>6</v>
      </c>
      <c r="B59" s="88" t="s">
        <v>127</v>
      </c>
      <c r="C59" s="88" t="s">
        <v>129</v>
      </c>
      <c r="D59" s="88" t="s">
        <v>334</v>
      </c>
      <c r="E59" s="161">
        <v>0.19515035200891084</v>
      </c>
      <c r="Q59" s="23"/>
      <c r="R59" s="23"/>
    </row>
    <row r="60" spans="1:28" x14ac:dyDescent="0.25">
      <c r="A60" s="160">
        <v>6</v>
      </c>
      <c r="B60" s="88" t="s">
        <v>127</v>
      </c>
      <c r="C60" s="88" t="s">
        <v>106</v>
      </c>
      <c r="D60" s="88" t="s">
        <v>359</v>
      </c>
      <c r="E60" s="161">
        <v>0.19105044924288628</v>
      </c>
      <c r="Q60" s="23"/>
      <c r="R60" s="23"/>
    </row>
    <row r="61" spans="1:28" x14ac:dyDescent="0.25">
      <c r="A61" s="160">
        <v>6</v>
      </c>
      <c r="B61" s="88" t="s">
        <v>127</v>
      </c>
      <c r="C61" s="88" t="s">
        <v>17</v>
      </c>
      <c r="D61" s="88" t="s">
        <v>360</v>
      </c>
      <c r="E61" s="161">
        <v>0.19515035200891084</v>
      </c>
      <c r="Q61" s="23"/>
      <c r="R61" s="23"/>
    </row>
    <row r="62" spans="1:28" x14ac:dyDescent="0.25">
      <c r="A62" s="160">
        <v>6</v>
      </c>
      <c r="B62" s="88" t="s">
        <v>127</v>
      </c>
      <c r="C62" s="88" t="s">
        <v>112</v>
      </c>
      <c r="D62" s="88" t="s">
        <v>361</v>
      </c>
      <c r="E62" s="161">
        <v>0.19515035200891084</v>
      </c>
    </row>
    <row r="63" spans="1:28" x14ac:dyDescent="0.25">
      <c r="A63" s="160">
        <v>6</v>
      </c>
      <c r="B63" s="88" t="s">
        <v>127</v>
      </c>
      <c r="C63" s="88" t="s">
        <v>115</v>
      </c>
      <c r="D63" s="88" t="s">
        <v>362</v>
      </c>
      <c r="E63" s="161">
        <v>0.19515035200891084</v>
      </c>
    </row>
    <row r="64" spans="1:28" x14ac:dyDescent="0.25">
      <c r="A64" s="162">
        <v>6</v>
      </c>
      <c r="B64" s="167" t="s">
        <v>127</v>
      </c>
      <c r="C64" s="167" t="s">
        <v>118</v>
      </c>
      <c r="D64" s="167" t="s">
        <v>363</v>
      </c>
      <c r="E64" s="168">
        <v>0.1859520261958035</v>
      </c>
    </row>
    <row r="65" spans="1:5" x14ac:dyDescent="0.25">
      <c r="A65" s="160">
        <v>7</v>
      </c>
      <c r="B65" s="88" t="s">
        <v>130</v>
      </c>
      <c r="C65" s="88" t="s">
        <v>89</v>
      </c>
      <c r="D65" s="88" t="s">
        <v>364</v>
      </c>
      <c r="E65" s="161">
        <v>0.22346593470602444</v>
      </c>
    </row>
    <row r="66" spans="1:5" x14ac:dyDescent="0.25">
      <c r="A66" s="160">
        <v>7</v>
      </c>
      <c r="B66" s="88" t="s">
        <v>130</v>
      </c>
      <c r="C66" s="88" t="s">
        <v>128</v>
      </c>
      <c r="D66" s="88" t="s">
        <v>365</v>
      </c>
      <c r="E66" s="161">
        <v>0.20998756314857955</v>
      </c>
    </row>
    <row r="67" spans="1:5" x14ac:dyDescent="0.25">
      <c r="A67" s="160">
        <v>7</v>
      </c>
      <c r="B67" s="88" t="s">
        <v>130</v>
      </c>
      <c r="C67" s="88" t="s">
        <v>129</v>
      </c>
      <c r="D67" s="88" t="s">
        <v>335</v>
      </c>
      <c r="E67" s="161">
        <v>0.20998756314857955</v>
      </c>
    </row>
    <row r="68" spans="1:5" x14ac:dyDescent="0.25">
      <c r="A68" s="160">
        <v>7</v>
      </c>
      <c r="B68" s="88" t="s">
        <v>130</v>
      </c>
      <c r="C68" s="88" t="s">
        <v>106</v>
      </c>
      <c r="D68" s="88" t="s">
        <v>366</v>
      </c>
      <c r="E68" s="161">
        <v>0.23339684815097766</v>
      </c>
    </row>
    <row r="69" spans="1:5" x14ac:dyDescent="0.25">
      <c r="A69" s="160">
        <v>7</v>
      </c>
      <c r="B69" s="88" t="s">
        <v>130</v>
      </c>
      <c r="C69" s="88" t="s">
        <v>17</v>
      </c>
      <c r="D69" s="88" t="s">
        <v>367</v>
      </c>
      <c r="E69" s="161">
        <v>0.2209892292436493</v>
      </c>
    </row>
    <row r="70" spans="1:5" x14ac:dyDescent="0.25">
      <c r="A70" s="160">
        <v>7</v>
      </c>
      <c r="B70" s="88" t="s">
        <v>130</v>
      </c>
      <c r="C70" s="88" t="s">
        <v>112</v>
      </c>
      <c r="D70" s="88" t="s">
        <v>368</v>
      </c>
      <c r="E70" s="161">
        <v>0.20998756314857955</v>
      </c>
    </row>
    <row r="71" spans="1:5" x14ac:dyDescent="0.25">
      <c r="A71" s="160">
        <v>7</v>
      </c>
      <c r="B71" s="88" t="s">
        <v>130</v>
      </c>
      <c r="C71" s="88" t="s">
        <v>115</v>
      </c>
      <c r="D71" s="88" t="s">
        <v>369</v>
      </c>
      <c r="E71" s="161">
        <v>0.20998756314857955</v>
      </c>
    </row>
    <row r="72" spans="1:5" x14ac:dyDescent="0.25">
      <c r="A72" s="162">
        <v>7</v>
      </c>
      <c r="B72" s="167" t="s">
        <v>130</v>
      </c>
      <c r="C72" s="167" t="s">
        <v>118</v>
      </c>
      <c r="D72" s="167" t="s">
        <v>370</v>
      </c>
      <c r="E72" s="168">
        <v>0.22456364081777536</v>
      </c>
    </row>
  </sheetData>
  <sheetProtection algorithmName="SHA-512" hashValue="5cmWwXzFigibRZbgqdE3rxs14AjTXHjPvxxtF3wfPckBSAhkaKfdT8hzvHMstdSTCSiZbrYcDh2ASAq9SHaOgQ==" saltValue="LKbjMDzvaWFWcseKVwFOJw==" spinCount="100000" sheet="1" objects="1" scenarios="1" selectLockedCells="1"/>
  <sortState xmlns:xlrd2="http://schemas.microsoft.com/office/spreadsheetml/2017/richdata2" ref="A65:E72">
    <sortCondition ref="C65:C72"/>
  </sortState>
  <mergeCells count="5">
    <mergeCell ref="H1:I1"/>
    <mergeCell ref="K1:L1"/>
    <mergeCell ref="M1:N1"/>
    <mergeCell ref="J1:J2"/>
    <mergeCell ref="G1:G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E48C-1911-4900-BC69-3A60B60E0777}">
  <dimension ref="A1:AG156"/>
  <sheetViews>
    <sheetView zoomScaleNormal="100" workbookViewId="0"/>
  </sheetViews>
  <sheetFormatPr defaultRowHeight="15" x14ac:dyDescent="0.25"/>
  <cols>
    <col min="1" max="1" width="14.28515625" style="23" customWidth="1"/>
    <col min="2" max="2" width="10.7109375" style="23" customWidth="1"/>
    <col min="3" max="3" width="35.7109375" style="23" customWidth="1"/>
    <col min="4" max="5" width="21.42578125" style="23" customWidth="1"/>
    <col min="6" max="33" width="5.7109375" style="23" customWidth="1"/>
    <col min="34" max="16384" width="9.140625" style="23"/>
  </cols>
  <sheetData>
    <row r="1" spans="1:33" x14ac:dyDescent="0.25">
      <c r="A1" s="23" t="s">
        <v>277</v>
      </c>
      <c r="B1" s="23" t="s">
        <v>131</v>
      </c>
      <c r="C1" s="87" t="s">
        <v>132</v>
      </c>
      <c r="D1" s="23" t="s">
        <v>133</v>
      </c>
      <c r="E1" s="23" t="s">
        <v>134</v>
      </c>
      <c r="F1" s="88">
        <v>2023</v>
      </c>
      <c r="G1" s="88">
        <v>2024</v>
      </c>
      <c r="H1" s="88">
        <v>2025</v>
      </c>
      <c r="I1" s="88">
        <v>2026</v>
      </c>
      <c r="J1" s="88">
        <v>2027</v>
      </c>
      <c r="K1" s="88">
        <v>2028</v>
      </c>
      <c r="L1" s="88">
        <v>2029</v>
      </c>
      <c r="M1" s="88">
        <v>2030</v>
      </c>
      <c r="N1" s="88">
        <v>2031</v>
      </c>
      <c r="O1" s="88">
        <v>2032</v>
      </c>
      <c r="P1" s="88">
        <v>2033</v>
      </c>
      <c r="Q1" s="88">
        <v>2034</v>
      </c>
      <c r="R1" s="88">
        <v>2035</v>
      </c>
      <c r="S1" s="88">
        <v>2036</v>
      </c>
      <c r="T1" s="88">
        <v>2037</v>
      </c>
      <c r="U1" s="88">
        <v>2038</v>
      </c>
      <c r="V1" s="88">
        <v>2039</v>
      </c>
      <c r="W1" s="88">
        <v>2040</v>
      </c>
      <c r="X1" s="88">
        <v>2041</v>
      </c>
      <c r="Y1" s="88">
        <v>2042</v>
      </c>
      <c r="Z1" s="88">
        <v>2043</v>
      </c>
      <c r="AA1" s="88">
        <v>2044</v>
      </c>
      <c r="AB1" s="88">
        <v>2045</v>
      </c>
      <c r="AC1" s="88">
        <v>2046</v>
      </c>
      <c r="AD1" s="88">
        <v>2047</v>
      </c>
      <c r="AE1" s="88">
        <v>2048</v>
      </c>
      <c r="AF1" s="88">
        <v>2049</v>
      </c>
      <c r="AG1" s="88">
        <v>2050</v>
      </c>
    </row>
    <row r="2" spans="1:33" x14ac:dyDescent="0.25">
      <c r="A2" s="87" t="s">
        <v>3</v>
      </c>
      <c r="B2" s="87" t="s">
        <v>135</v>
      </c>
      <c r="C2" s="87" t="s">
        <v>136</v>
      </c>
      <c r="D2" s="87" t="s">
        <v>5</v>
      </c>
      <c r="E2" s="87" t="s">
        <v>88</v>
      </c>
      <c r="F2" s="89">
        <v>55.436817169189453</v>
      </c>
      <c r="G2" s="89">
        <v>44.745517730712891</v>
      </c>
      <c r="H2" s="89">
        <v>39.020870208740227</v>
      </c>
      <c r="I2" s="89">
        <v>43.967914581298828</v>
      </c>
      <c r="J2" s="89">
        <v>42.090629577636719</v>
      </c>
      <c r="K2" s="89">
        <v>39.170051574707031</v>
      </c>
      <c r="L2" s="89">
        <v>36.106754302978523</v>
      </c>
      <c r="M2" s="89">
        <v>32.808261871337891</v>
      </c>
      <c r="N2" s="89">
        <v>30.136814117431641</v>
      </c>
      <c r="O2" s="89">
        <v>27.148469924926761</v>
      </c>
      <c r="P2" s="89">
        <v>22.635074615478519</v>
      </c>
      <c r="Q2" s="89">
        <v>19.55520057678223</v>
      </c>
      <c r="R2" s="89">
        <v>17.568613052368161</v>
      </c>
      <c r="S2" s="89">
        <v>16.930604934692379</v>
      </c>
      <c r="T2" s="89">
        <v>16.217502593994141</v>
      </c>
      <c r="U2" s="89">
        <v>15.785478591918951</v>
      </c>
      <c r="V2" s="89">
        <v>15.387692451477051</v>
      </c>
      <c r="W2" s="89">
        <v>14.67457103729248</v>
      </c>
      <c r="X2" s="89">
        <v>14.811470985412599</v>
      </c>
      <c r="Y2" s="89">
        <v>14.97232246398926</v>
      </c>
      <c r="Z2" s="89">
        <v>14.423506736755369</v>
      </c>
      <c r="AA2" s="89">
        <v>14.6047830581665</v>
      </c>
      <c r="AB2" s="89">
        <v>14.669179916381839</v>
      </c>
      <c r="AC2" s="89">
        <v>15.25836181640625</v>
      </c>
      <c r="AD2" s="89">
        <v>15.10512733459473</v>
      </c>
      <c r="AE2" s="89">
        <v>15.283963203430179</v>
      </c>
      <c r="AF2" s="89">
        <v>14.60155200958252</v>
      </c>
      <c r="AG2" s="89">
        <v>17.980045318603519</v>
      </c>
    </row>
    <row r="3" spans="1:33" x14ac:dyDescent="0.25">
      <c r="A3" s="87" t="s">
        <v>3</v>
      </c>
      <c r="B3" s="87" t="s">
        <v>135</v>
      </c>
      <c r="C3" s="87" t="s">
        <v>137</v>
      </c>
      <c r="D3" s="87" t="s">
        <v>5</v>
      </c>
      <c r="E3" s="87" t="s">
        <v>90</v>
      </c>
      <c r="F3" s="89">
        <v>55.436817169189453</v>
      </c>
      <c r="G3" s="89">
        <v>44.745517730712891</v>
      </c>
      <c r="H3" s="89">
        <v>39.020870208740227</v>
      </c>
      <c r="I3" s="89">
        <v>43.967914581298828</v>
      </c>
      <c r="J3" s="89">
        <v>42.090629577636719</v>
      </c>
      <c r="K3" s="89">
        <v>39.170051574707031</v>
      </c>
      <c r="L3" s="89">
        <v>36.106754302978523</v>
      </c>
      <c r="M3" s="89">
        <v>32.808261871337891</v>
      </c>
      <c r="N3" s="89">
        <v>30.136814117431641</v>
      </c>
      <c r="O3" s="89">
        <v>27.148469924926761</v>
      </c>
      <c r="P3" s="89">
        <v>22.635074615478519</v>
      </c>
      <c r="Q3" s="89">
        <v>19.55520057678223</v>
      </c>
      <c r="R3" s="89">
        <v>17.568613052368161</v>
      </c>
      <c r="S3" s="89">
        <v>16.930604934692379</v>
      </c>
      <c r="T3" s="89">
        <v>16.217502593994141</v>
      </c>
      <c r="U3" s="89">
        <v>15.785478591918951</v>
      </c>
      <c r="V3" s="89">
        <v>15.387692451477051</v>
      </c>
      <c r="W3" s="89">
        <v>14.67457103729248</v>
      </c>
      <c r="X3" s="89">
        <v>14.811470985412599</v>
      </c>
      <c r="Y3" s="89">
        <v>14.97232246398926</v>
      </c>
      <c r="Z3" s="89">
        <v>14.423506736755369</v>
      </c>
      <c r="AA3" s="89">
        <v>14.6047830581665</v>
      </c>
      <c r="AB3" s="89">
        <v>14.669179916381839</v>
      </c>
      <c r="AC3" s="89">
        <v>15.25836181640625</v>
      </c>
      <c r="AD3" s="89">
        <v>15.10512733459473</v>
      </c>
      <c r="AE3" s="89">
        <v>15.283963203430179</v>
      </c>
      <c r="AF3" s="89">
        <v>14.60155200958252</v>
      </c>
      <c r="AG3" s="89">
        <v>17.980043411254879</v>
      </c>
    </row>
    <row r="4" spans="1:33" x14ac:dyDescent="0.25">
      <c r="A4" s="87" t="s">
        <v>3</v>
      </c>
      <c r="B4" s="87" t="s">
        <v>135</v>
      </c>
      <c r="C4" s="87" t="s">
        <v>138</v>
      </c>
      <c r="D4" s="87" t="s">
        <v>5</v>
      </c>
      <c r="E4" s="87" t="s">
        <v>94</v>
      </c>
      <c r="F4" s="89">
        <v>46.2537841796875</v>
      </c>
      <c r="G4" s="89">
        <v>37.343101501464837</v>
      </c>
      <c r="H4" s="89">
        <v>39.157859802246087</v>
      </c>
      <c r="I4" s="89">
        <v>44.107963562011719</v>
      </c>
      <c r="J4" s="89">
        <v>42.180332183837891</v>
      </c>
      <c r="K4" s="89">
        <v>39.271598815917969</v>
      </c>
      <c r="L4" s="89">
        <v>35.955047607421882</v>
      </c>
      <c r="M4" s="89">
        <v>32.383270263671882</v>
      </c>
      <c r="N4" s="89">
        <v>29.652585983276371</v>
      </c>
      <c r="O4" s="89">
        <v>26.838882446289059</v>
      </c>
      <c r="P4" s="89">
        <v>22.489614486694339</v>
      </c>
      <c r="Q4" s="89">
        <v>19.46815299987793</v>
      </c>
      <c r="R4" s="89">
        <v>17.478887557983398</v>
      </c>
      <c r="S4" s="89">
        <v>16.859479904174801</v>
      </c>
      <c r="T4" s="89">
        <v>16.04470252990723</v>
      </c>
      <c r="U4" s="89">
        <v>15.562508583068849</v>
      </c>
      <c r="V4" s="89">
        <v>15.077034950256349</v>
      </c>
      <c r="W4" s="89">
        <v>14.920994758605961</v>
      </c>
      <c r="X4" s="89">
        <v>15.05946254730225</v>
      </c>
      <c r="Y4" s="89">
        <v>15.22331714630127</v>
      </c>
      <c r="Z4" s="89">
        <v>14.67928504943848</v>
      </c>
      <c r="AA4" s="89">
        <v>14.88825607299805</v>
      </c>
      <c r="AB4" s="89">
        <v>14.832295417785639</v>
      </c>
      <c r="AC4" s="89">
        <v>15.565712928771971</v>
      </c>
      <c r="AD4" s="89">
        <v>15.43447303771973</v>
      </c>
      <c r="AE4" s="89">
        <v>15.5775260925293</v>
      </c>
      <c r="AF4" s="89">
        <v>14.864070892333981</v>
      </c>
      <c r="AG4" s="89">
        <v>18.426507949829102</v>
      </c>
    </row>
    <row r="5" spans="1:33" x14ac:dyDescent="0.25">
      <c r="A5" s="87" t="s">
        <v>3</v>
      </c>
      <c r="B5" s="87" t="s">
        <v>135</v>
      </c>
      <c r="C5" s="87" t="s">
        <v>139</v>
      </c>
      <c r="D5" s="87" t="s">
        <v>5</v>
      </c>
      <c r="E5" s="87" t="s">
        <v>98</v>
      </c>
      <c r="F5" s="89">
        <v>46.680229187011719</v>
      </c>
      <c r="G5" s="89">
        <v>37.439754486083977</v>
      </c>
      <c r="H5" s="89">
        <v>39.208621978759773</v>
      </c>
      <c r="I5" s="89">
        <v>44.136592864990227</v>
      </c>
      <c r="J5" s="89">
        <v>42.265262603759773</v>
      </c>
      <c r="K5" s="89">
        <v>39.404659271240227</v>
      </c>
      <c r="L5" s="89">
        <v>36.123783111572273</v>
      </c>
      <c r="M5" s="89">
        <v>32.529502868652337</v>
      </c>
      <c r="N5" s="89">
        <v>29.801860809326168</v>
      </c>
      <c r="O5" s="89">
        <v>26.99086952209473</v>
      </c>
      <c r="P5" s="89">
        <v>22.67233848571777</v>
      </c>
      <c r="Q5" s="89">
        <v>19.630569458007809</v>
      </c>
      <c r="R5" s="89">
        <v>17.619464874267582</v>
      </c>
      <c r="S5" s="89">
        <v>16.979879379272461</v>
      </c>
      <c r="T5" s="89">
        <v>16.164470672607418</v>
      </c>
      <c r="U5" s="89">
        <v>15.688937187194821</v>
      </c>
      <c r="V5" s="89">
        <v>15.250673294067379</v>
      </c>
      <c r="W5" s="89">
        <v>15.054665565490721</v>
      </c>
      <c r="X5" s="89">
        <v>15.2171516418457</v>
      </c>
      <c r="Y5" s="89">
        <v>15.387797355651861</v>
      </c>
      <c r="Z5" s="89">
        <v>14.863693237304689</v>
      </c>
      <c r="AA5" s="89">
        <v>15.10170269012451</v>
      </c>
      <c r="AB5" s="89">
        <v>15.07261943817139</v>
      </c>
      <c r="AC5" s="89">
        <v>15.81421947479248</v>
      </c>
      <c r="AD5" s="89">
        <v>15.71875667572021</v>
      </c>
      <c r="AE5" s="89">
        <v>15.87193584442139</v>
      </c>
      <c r="AF5" s="89">
        <v>15.172243118286129</v>
      </c>
      <c r="AG5" s="89">
        <v>18.75099945068359</v>
      </c>
    </row>
    <row r="6" spans="1:33" x14ac:dyDescent="0.25">
      <c r="A6" s="87" t="s">
        <v>3</v>
      </c>
      <c r="B6" s="87" t="s">
        <v>135</v>
      </c>
      <c r="C6" s="87" t="s">
        <v>140</v>
      </c>
      <c r="D6" s="87" t="s">
        <v>5</v>
      </c>
      <c r="E6" s="87" t="s">
        <v>101</v>
      </c>
      <c r="F6" s="89">
        <v>46.680229187011719</v>
      </c>
      <c r="G6" s="89">
        <v>37.439754486083977</v>
      </c>
      <c r="H6" s="89">
        <v>39.208621978759773</v>
      </c>
      <c r="I6" s="89">
        <v>44.136592864990227</v>
      </c>
      <c r="J6" s="89">
        <v>42.265262603759773</v>
      </c>
      <c r="K6" s="89">
        <v>39.404659271240227</v>
      </c>
      <c r="L6" s="89">
        <v>36.123783111572273</v>
      </c>
      <c r="M6" s="89">
        <v>32.529502868652337</v>
      </c>
      <c r="N6" s="89">
        <v>29.801860809326168</v>
      </c>
      <c r="O6" s="89">
        <v>26.99086952209473</v>
      </c>
      <c r="P6" s="89">
        <v>22.67233848571777</v>
      </c>
      <c r="Q6" s="89">
        <v>19.630569458007809</v>
      </c>
      <c r="R6" s="89">
        <v>17.619464874267582</v>
      </c>
      <c r="S6" s="89">
        <v>16.979879379272461</v>
      </c>
      <c r="T6" s="89">
        <v>16.164470672607418</v>
      </c>
      <c r="U6" s="89">
        <v>15.688937187194821</v>
      </c>
      <c r="V6" s="89">
        <v>15.250673294067379</v>
      </c>
      <c r="W6" s="89">
        <v>15.054665565490721</v>
      </c>
      <c r="X6" s="89">
        <v>15.2171516418457</v>
      </c>
      <c r="Y6" s="89">
        <v>15.387797355651861</v>
      </c>
      <c r="Z6" s="89">
        <v>14.863693237304689</v>
      </c>
      <c r="AA6" s="89">
        <v>15.10170269012451</v>
      </c>
      <c r="AB6" s="89">
        <v>15.07261943817139</v>
      </c>
      <c r="AC6" s="89">
        <v>15.81421947479248</v>
      </c>
      <c r="AD6" s="89">
        <v>15.71875667572021</v>
      </c>
      <c r="AE6" s="89">
        <v>15.87193584442139</v>
      </c>
      <c r="AF6" s="89">
        <v>15.172243118286129</v>
      </c>
      <c r="AG6" s="89">
        <v>18.75099945068359</v>
      </c>
    </row>
    <row r="7" spans="1:33" x14ac:dyDescent="0.25">
      <c r="A7" s="87" t="s">
        <v>3</v>
      </c>
      <c r="B7" s="87" t="s">
        <v>135</v>
      </c>
      <c r="C7" s="87" t="s">
        <v>141</v>
      </c>
      <c r="D7" s="87" t="s">
        <v>5</v>
      </c>
      <c r="E7" s="87" t="s">
        <v>105</v>
      </c>
      <c r="F7" s="89">
        <v>55.955520629882813</v>
      </c>
      <c r="G7" s="89">
        <v>43.452354431152337</v>
      </c>
      <c r="H7" s="89">
        <v>43.371650695800781</v>
      </c>
      <c r="I7" s="89">
        <v>45.1732177734375</v>
      </c>
      <c r="J7" s="89">
        <v>42.799079895019531</v>
      </c>
      <c r="K7" s="89">
        <v>40.051399230957031</v>
      </c>
      <c r="L7" s="89">
        <v>36.745159149169922</v>
      </c>
      <c r="M7" s="89">
        <v>33.037765502929688</v>
      </c>
      <c r="N7" s="89">
        <v>30.46220779418945</v>
      </c>
      <c r="O7" s="89">
        <v>27.989866256713871</v>
      </c>
      <c r="P7" s="89">
        <v>24.030704498291019</v>
      </c>
      <c r="Q7" s="89">
        <v>21.301029205322269</v>
      </c>
      <c r="R7" s="89">
        <v>19.631610870361332</v>
      </c>
      <c r="S7" s="89">
        <v>18.976779937744141</v>
      </c>
      <c r="T7" s="89">
        <v>18.296476364135739</v>
      </c>
      <c r="U7" s="89">
        <v>17.833454132080082</v>
      </c>
      <c r="V7" s="89">
        <v>17.51836013793945</v>
      </c>
      <c r="W7" s="89">
        <v>17.57080078125</v>
      </c>
      <c r="X7" s="89">
        <v>17.832267761230469</v>
      </c>
      <c r="Y7" s="89">
        <v>17.955759048461911</v>
      </c>
      <c r="Z7" s="89">
        <v>17.41434288024902</v>
      </c>
      <c r="AA7" s="89">
        <v>17.702207565307621</v>
      </c>
      <c r="AB7" s="89">
        <v>17.780668258666989</v>
      </c>
      <c r="AC7" s="89">
        <v>18.691007614135739</v>
      </c>
      <c r="AD7" s="89">
        <v>18.783426284790039</v>
      </c>
      <c r="AE7" s="89">
        <v>18.951936721801761</v>
      </c>
      <c r="AF7" s="89">
        <v>18.319919586181641</v>
      </c>
      <c r="AG7" s="89">
        <v>21.442388534545898</v>
      </c>
    </row>
    <row r="8" spans="1:33" x14ac:dyDescent="0.25">
      <c r="A8" s="87" t="s">
        <v>3</v>
      </c>
      <c r="B8" s="87" t="s">
        <v>135</v>
      </c>
      <c r="C8" s="87" t="s">
        <v>142</v>
      </c>
      <c r="D8" s="87" t="s">
        <v>5</v>
      </c>
      <c r="E8" s="87" t="s">
        <v>109</v>
      </c>
      <c r="F8" s="89">
        <v>64.784446716308594</v>
      </c>
      <c r="G8" s="89">
        <v>47.417060852050781</v>
      </c>
      <c r="H8" s="89">
        <v>46.317344665527337</v>
      </c>
      <c r="I8" s="89">
        <v>47.767410278320313</v>
      </c>
      <c r="J8" s="89">
        <v>45.251499176025391</v>
      </c>
      <c r="K8" s="89">
        <v>42.372802734375</v>
      </c>
      <c r="L8" s="89">
        <v>38.816188812255859</v>
      </c>
      <c r="M8" s="89">
        <v>34.993373870849609</v>
      </c>
      <c r="N8" s="89">
        <v>32.380046844482422</v>
      </c>
      <c r="O8" s="89">
        <v>29.820648193359379</v>
      </c>
      <c r="P8" s="89">
        <v>25.864143371582031</v>
      </c>
      <c r="Q8" s="89">
        <v>23.151775360107418</v>
      </c>
      <c r="R8" s="89">
        <v>21.562332153320309</v>
      </c>
      <c r="S8" s="89">
        <v>20.845529556274411</v>
      </c>
      <c r="T8" s="89">
        <v>20.145223617553711</v>
      </c>
      <c r="U8" s="89">
        <v>19.61428070068359</v>
      </c>
      <c r="V8" s="89">
        <v>19.273386001586911</v>
      </c>
      <c r="W8" s="89">
        <v>19.383743286132809</v>
      </c>
      <c r="X8" s="89">
        <v>19.678487777709961</v>
      </c>
      <c r="Y8" s="89">
        <v>19.775516510009769</v>
      </c>
      <c r="Z8" s="89">
        <v>19.23890495300293</v>
      </c>
      <c r="AA8" s="89">
        <v>19.514841079711911</v>
      </c>
      <c r="AB8" s="89">
        <v>19.617938995361332</v>
      </c>
      <c r="AC8" s="89">
        <v>20.504142761230469</v>
      </c>
      <c r="AD8" s="89">
        <v>20.60819244384766</v>
      </c>
      <c r="AE8" s="89">
        <v>20.78011322021484</v>
      </c>
      <c r="AF8" s="89">
        <v>20.20058631896973</v>
      </c>
      <c r="AG8" s="89">
        <v>23.13649749755859</v>
      </c>
    </row>
    <row r="9" spans="1:33" x14ac:dyDescent="0.25">
      <c r="A9" s="87" t="s">
        <v>3</v>
      </c>
      <c r="B9" s="87" t="s">
        <v>135</v>
      </c>
      <c r="C9" s="87" t="s">
        <v>143</v>
      </c>
      <c r="D9" s="87" t="s">
        <v>5</v>
      </c>
      <c r="E9" s="87" t="s">
        <v>111</v>
      </c>
      <c r="F9" s="89">
        <v>64.784446716308594</v>
      </c>
      <c r="G9" s="89">
        <v>47.417060852050781</v>
      </c>
      <c r="H9" s="89">
        <v>46.317344665527337</v>
      </c>
      <c r="I9" s="89">
        <v>47.767410278320313</v>
      </c>
      <c r="J9" s="89">
        <v>45.251499176025391</v>
      </c>
      <c r="K9" s="89">
        <v>42.372810363769531</v>
      </c>
      <c r="L9" s="89">
        <v>38.816188812255859</v>
      </c>
      <c r="M9" s="89">
        <v>34.993373870849609</v>
      </c>
      <c r="N9" s="89">
        <v>32.380046844482422</v>
      </c>
      <c r="O9" s="89">
        <v>29.820648193359379</v>
      </c>
      <c r="P9" s="89">
        <v>25.864143371582031</v>
      </c>
      <c r="Q9" s="89">
        <v>23.151775360107418</v>
      </c>
      <c r="R9" s="89">
        <v>21.562332153320309</v>
      </c>
      <c r="S9" s="89">
        <v>20.845529556274411</v>
      </c>
      <c r="T9" s="89">
        <v>20.145223617553711</v>
      </c>
      <c r="U9" s="89">
        <v>19.61428070068359</v>
      </c>
      <c r="V9" s="89">
        <v>19.273384094238281</v>
      </c>
      <c r="W9" s="89">
        <v>19.383743286132809</v>
      </c>
      <c r="X9" s="89">
        <v>19.678487777709961</v>
      </c>
      <c r="Y9" s="89">
        <v>19.775516510009769</v>
      </c>
      <c r="Z9" s="89">
        <v>19.23890495300293</v>
      </c>
      <c r="AA9" s="89">
        <v>19.514841079711911</v>
      </c>
      <c r="AB9" s="89">
        <v>19.617938995361332</v>
      </c>
      <c r="AC9" s="89">
        <v>20.504142761230469</v>
      </c>
      <c r="AD9" s="89">
        <v>20.60819244384766</v>
      </c>
      <c r="AE9" s="89">
        <v>20.78011322021484</v>
      </c>
      <c r="AF9" s="89">
        <v>20.20058631896973</v>
      </c>
      <c r="AG9" s="89">
        <v>23.13649749755859</v>
      </c>
    </row>
    <row r="10" spans="1:33" x14ac:dyDescent="0.25">
      <c r="A10" s="87" t="s">
        <v>3</v>
      </c>
      <c r="B10" s="87" t="s">
        <v>135</v>
      </c>
      <c r="C10" s="87" t="s">
        <v>144</v>
      </c>
      <c r="D10" s="87" t="s">
        <v>5</v>
      </c>
      <c r="E10" s="87" t="s">
        <v>114</v>
      </c>
      <c r="F10" s="89">
        <v>64.804191589355469</v>
      </c>
      <c r="G10" s="89">
        <v>48.381008148193359</v>
      </c>
      <c r="H10" s="89">
        <v>46.813102722167969</v>
      </c>
      <c r="I10" s="89">
        <v>47.767410278320313</v>
      </c>
      <c r="J10" s="89">
        <v>45.251499176025391</v>
      </c>
      <c r="K10" s="89">
        <v>42.372810363769531</v>
      </c>
      <c r="L10" s="89">
        <v>38.816188812255859</v>
      </c>
      <c r="M10" s="89">
        <v>34.993373870849609</v>
      </c>
      <c r="N10" s="89">
        <v>32.380046844482422</v>
      </c>
      <c r="O10" s="89">
        <v>29.820648193359379</v>
      </c>
      <c r="P10" s="89">
        <v>25.864143371582031</v>
      </c>
      <c r="Q10" s="89">
        <v>23.151775360107418</v>
      </c>
      <c r="R10" s="89">
        <v>21.562332153320309</v>
      </c>
      <c r="S10" s="89">
        <v>20.845529556274411</v>
      </c>
      <c r="T10" s="89">
        <v>20.145223617553711</v>
      </c>
      <c r="U10" s="89">
        <v>19.61428070068359</v>
      </c>
      <c r="V10" s="89">
        <v>19.273384094238281</v>
      </c>
      <c r="W10" s="89">
        <v>19.383743286132809</v>
      </c>
      <c r="X10" s="89">
        <v>19.678487777709961</v>
      </c>
      <c r="Y10" s="89">
        <v>19.775516510009769</v>
      </c>
      <c r="Z10" s="89">
        <v>19.23890495300293</v>
      </c>
      <c r="AA10" s="89">
        <v>19.514841079711911</v>
      </c>
      <c r="AB10" s="89">
        <v>19.617938995361332</v>
      </c>
      <c r="AC10" s="89">
        <v>20.501449584960941</v>
      </c>
      <c r="AD10" s="89">
        <v>20.601480484008789</v>
      </c>
      <c r="AE10" s="89">
        <v>20.763523101806641</v>
      </c>
      <c r="AF10" s="89">
        <v>20.155643463134769</v>
      </c>
      <c r="AG10" s="89">
        <v>23.046230316162109</v>
      </c>
    </row>
    <row r="11" spans="1:33" x14ac:dyDescent="0.25">
      <c r="A11" s="87" t="s">
        <v>3</v>
      </c>
      <c r="B11" s="87" t="s">
        <v>135</v>
      </c>
      <c r="C11" s="87" t="s">
        <v>145</v>
      </c>
      <c r="D11" s="87" t="s">
        <v>5</v>
      </c>
      <c r="E11" s="87" t="s">
        <v>117</v>
      </c>
      <c r="F11" s="89">
        <v>64.804191589355469</v>
      </c>
      <c r="G11" s="89">
        <v>48.381008148193359</v>
      </c>
      <c r="H11" s="89">
        <v>46.813102722167969</v>
      </c>
      <c r="I11" s="89">
        <v>47.767410278320313</v>
      </c>
      <c r="J11" s="89">
        <v>45.251499176025391</v>
      </c>
      <c r="K11" s="89">
        <v>42.372802734375</v>
      </c>
      <c r="L11" s="89">
        <v>38.816188812255859</v>
      </c>
      <c r="M11" s="89">
        <v>34.993373870849609</v>
      </c>
      <c r="N11" s="89">
        <v>32.380046844482422</v>
      </c>
      <c r="O11" s="89">
        <v>29.820648193359379</v>
      </c>
      <c r="P11" s="89">
        <v>25.864143371582031</v>
      </c>
      <c r="Q11" s="89">
        <v>23.151775360107418</v>
      </c>
      <c r="R11" s="89">
        <v>21.562332153320309</v>
      </c>
      <c r="S11" s="89">
        <v>20.845529556274411</v>
      </c>
      <c r="T11" s="89">
        <v>20.145223617553711</v>
      </c>
      <c r="U11" s="89">
        <v>19.61428070068359</v>
      </c>
      <c r="V11" s="89">
        <v>19.273386001586911</v>
      </c>
      <c r="W11" s="89">
        <v>19.383743286132809</v>
      </c>
      <c r="X11" s="89">
        <v>19.678487777709961</v>
      </c>
      <c r="Y11" s="89">
        <v>19.775516510009769</v>
      </c>
      <c r="Z11" s="89">
        <v>19.23890495300293</v>
      </c>
      <c r="AA11" s="89">
        <v>19.514841079711911</v>
      </c>
      <c r="AB11" s="89">
        <v>19.617938995361332</v>
      </c>
      <c r="AC11" s="89">
        <v>20.501449584960941</v>
      </c>
      <c r="AD11" s="89">
        <v>20.601480484008789</v>
      </c>
      <c r="AE11" s="89">
        <v>20.763523101806641</v>
      </c>
      <c r="AF11" s="89">
        <v>20.155643463134769</v>
      </c>
      <c r="AG11" s="89">
        <v>23.046230316162109</v>
      </c>
    </row>
    <row r="12" spans="1:33" x14ac:dyDescent="0.25">
      <c r="A12" s="87" t="s">
        <v>3</v>
      </c>
      <c r="B12" s="87" t="s">
        <v>135</v>
      </c>
      <c r="C12" s="87" t="s">
        <v>146</v>
      </c>
      <c r="D12" s="87" t="s">
        <v>5</v>
      </c>
      <c r="E12" s="87" t="s">
        <v>120</v>
      </c>
      <c r="F12" s="89">
        <v>67.000030517578125</v>
      </c>
      <c r="G12" s="89">
        <v>49.823940277099609</v>
      </c>
      <c r="H12" s="89">
        <v>47.2974853515625</v>
      </c>
      <c r="I12" s="89">
        <v>48.301589965820313</v>
      </c>
      <c r="J12" s="89">
        <v>45.834983825683587</v>
      </c>
      <c r="K12" s="89">
        <v>42.985057830810547</v>
      </c>
      <c r="L12" s="89">
        <v>39.317531585693359</v>
      </c>
      <c r="M12" s="89">
        <v>35.197952270507813</v>
      </c>
      <c r="N12" s="89">
        <v>32.267692565917969</v>
      </c>
      <c r="O12" s="89">
        <v>29.417304992675781</v>
      </c>
      <c r="P12" s="89">
        <v>25.388811111450199</v>
      </c>
      <c r="Q12" s="89">
        <v>22.422941207885739</v>
      </c>
      <c r="R12" s="89">
        <v>20.593328475952148</v>
      </c>
      <c r="S12" s="89">
        <v>19.695041656494141</v>
      </c>
      <c r="T12" s="89">
        <v>18.836971282958981</v>
      </c>
      <c r="U12" s="89">
        <v>18.131647109985352</v>
      </c>
      <c r="V12" s="89">
        <v>17.70939826965332</v>
      </c>
      <c r="W12" s="89">
        <v>17.687421798706051</v>
      </c>
      <c r="X12" s="89">
        <v>17.8320198059082</v>
      </c>
      <c r="Y12" s="89">
        <v>17.74776458740234</v>
      </c>
      <c r="Z12" s="89">
        <v>17.12956619262695</v>
      </c>
      <c r="AA12" s="89">
        <v>17.104646682739261</v>
      </c>
      <c r="AB12" s="89">
        <v>17.085577011108398</v>
      </c>
      <c r="AC12" s="89">
        <v>17.543378829956051</v>
      </c>
      <c r="AD12" s="89">
        <v>17.497604370117191</v>
      </c>
      <c r="AE12" s="89">
        <v>17.431362152099609</v>
      </c>
      <c r="AF12" s="89">
        <v>16.969429016113281</v>
      </c>
      <c r="AG12" s="89">
        <v>18.70936393737793</v>
      </c>
    </row>
    <row r="13" spans="1:33" x14ac:dyDescent="0.25">
      <c r="A13" s="87" t="s">
        <v>3</v>
      </c>
      <c r="B13" s="87" t="s">
        <v>135</v>
      </c>
      <c r="C13" s="87" t="s">
        <v>147</v>
      </c>
      <c r="D13" s="87" t="s">
        <v>92</v>
      </c>
      <c r="E13" s="87" t="s">
        <v>88</v>
      </c>
      <c r="F13" s="89">
        <v>55.575904846191413</v>
      </c>
      <c r="G13" s="89">
        <v>44.727138519287109</v>
      </c>
      <c r="H13" s="89">
        <v>39.137470245361328</v>
      </c>
      <c r="I13" s="89">
        <v>44.204486846923828</v>
      </c>
      <c r="J13" s="89">
        <v>42.380153656005859</v>
      </c>
      <c r="K13" s="89">
        <v>39.525348663330078</v>
      </c>
      <c r="L13" s="89">
        <v>36.473468780517578</v>
      </c>
      <c r="M13" s="89">
        <v>33.217666625976563</v>
      </c>
      <c r="N13" s="89">
        <v>30.819290161132809</v>
      </c>
      <c r="O13" s="89">
        <v>28.07244873046875</v>
      </c>
      <c r="P13" s="89">
        <v>23.719635009765629</v>
      </c>
      <c r="Q13" s="89">
        <v>20.831192016601559</v>
      </c>
      <c r="R13" s="89">
        <v>19.041025161743161</v>
      </c>
      <c r="S13" s="89">
        <v>18.35466384887695</v>
      </c>
      <c r="T13" s="89">
        <v>17.66750335693359</v>
      </c>
      <c r="U13" s="89">
        <v>17.305080413818359</v>
      </c>
      <c r="V13" s="89">
        <v>16.86081695556641</v>
      </c>
      <c r="W13" s="89">
        <v>16.1634407043457</v>
      </c>
      <c r="X13" s="89">
        <v>16.33798789978027</v>
      </c>
      <c r="Y13" s="89">
        <v>16.415983200073239</v>
      </c>
      <c r="Z13" s="89">
        <v>15.85454750061035</v>
      </c>
      <c r="AA13" s="89">
        <v>16.072273254394531</v>
      </c>
      <c r="AB13" s="89">
        <v>16.09664154052734</v>
      </c>
      <c r="AC13" s="89">
        <v>16.783699035644531</v>
      </c>
      <c r="AD13" s="89">
        <v>16.714292526245121</v>
      </c>
      <c r="AE13" s="89">
        <v>16.814226150512699</v>
      </c>
      <c r="AF13" s="89">
        <v>16.214704513549801</v>
      </c>
      <c r="AG13" s="89">
        <v>19.67098236083984</v>
      </c>
    </row>
    <row r="14" spans="1:33" x14ac:dyDescent="0.25">
      <c r="A14" s="87" t="s">
        <v>3</v>
      </c>
      <c r="B14" s="87" t="s">
        <v>135</v>
      </c>
      <c r="C14" s="87" t="s">
        <v>148</v>
      </c>
      <c r="D14" s="87" t="s">
        <v>92</v>
      </c>
      <c r="E14" s="87" t="s">
        <v>90</v>
      </c>
      <c r="F14" s="89">
        <v>55.234516143798828</v>
      </c>
      <c r="G14" s="89">
        <v>44.501983642578132</v>
      </c>
      <c r="H14" s="89">
        <v>38.851959228515632</v>
      </c>
      <c r="I14" s="89">
        <v>43.944980621337891</v>
      </c>
      <c r="J14" s="89">
        <v>42.155868530273438</v>
      </c>
      <c r="K14" s="89">
        <v>39.343410491943359</v>
      </c>
      <c r="L14" s="89">
        <v>36.297843933105469</v>
      </c>
      <c r="M14" s="89">
        <v>33.076988220214837</v>
      </c>
      <c r="N14" s="89">
        <v>30.629938125610352</v>
      </c>
      <c r="O14" s="89">
        <v>27.8244514465332</v>
      </c>
      <c r="P14" s="89">
        <v>23.450090408325199</v>
      </c>
      <c r="Q14" s="89">
        <v>20.531404495239261</v>
      </c>
      <c r="R14" s="89">
        <v>18.682565689086911</v>
      </c>
      <c r="S14" s="89">
        <v>18.029140472412109</v>
      </c>
      <c r="T14" s="89">
        <v>17.318418502807621</v>
      </c>
      <c r="U14" s="89">
        <v>16.93281173706055</v>
      </c>
      <c r="V14" s="89">
        <v>16.515483856201168</v>
      </c>
      <c r="W14" s="89">
        <v>15.805794715881349</v>
      </c>
      <c r="X14" s="89">
        <v>15.965999603271481</v>
      </c>
      <c r="Y14" s="89">
        <v>16.07523345947266</v>
      </c>
      <c r="Z14" s="89">
        <v>15.504176139831539</v>
      </c>
      <c r="AA14" s="89">
        <v>15.732102394104</v>
      </c>
      <c r="AB14" s="89">
        <v>15.782364845275881</v>
      </c>
      <c r="AC14" s="89">
        <v>16.442924499511719</v>
      </c>
      <c r="AD14" s="89">
        <v>16.339227676391602</v>
      </c>
      <c r="AE14" s="89">
        <v>16.466005325317379</v>
      </c>
      <c r="AF14" s="89">
        <v>15.83135986328125</v>
      </c>
      <c r="AG14" s="89">
        <v>19.271932601928711</v>
      </c>
    </row>
    <row r="15" spans="1:33" x14ac:dyDescent="0.25">
      <c r="A15" s="87" t="s">
        <v>3</v>
      </c>
      <c r="B15" s="87" t="s">
        <v>135</v>
      </c>
      <c r="C15" s="87" t="s">
        <v>149</v>
      </c>
      <c r="D15" s="87" t="s">
        <v>92</v>
      </c>
      <c r="E15" s="87" t="s">
        <v>94</v>
      </c>
      <c r="F15" s="89">
        <v>46.106292724609382</v>
      </c>
      <c r="G15" s="89">
        <v>37.283676147460938</v>
      </c>
      <c r="H15" s="89">
        <v>39.060043334960938</v>
      </c>
      <c r="I15" s="89">
        <v>44.110309600830078</v>
      </c>
      <c r="J15" s="89">
        <v>42.230300903320313</v>
      </c>
      <c r="K15" s="89">
        <v>39.354812622070313</v>
      </c>
      <c r="L15" s="89">
        <v>36.05303955078125</v>
      </c>
      <c r="M15" s="89">
        <v>32.528099060058587</v>
      </c>
      <c r="N15" s="89">
        <v>29.97982025146484</v>
      </c>
      <c r="O15" s="89">
        <v>27.32211875915527</v>
      </c>
      <c r="P15" s="89">
        <v>23.065444946289059</v>
      </c>
      <c r="Q15" s="89">
        <v>20.18247032165527</v>
      </c>
      <c r="R15" s="89">
        <v>18.343879699707031</v>
      </c>
      <c r="S15" s="89">
        <v>17.706525802612301</v>
      </c>
      <c r="T15" s="89">
        <v>16.924289703369141</v>
      </c>
      <c r="U15" s="89">
        <v>16.528390884399411</v>
      </c>
      <c r="V15" s="89">
        <v>16.007022857666019</v>
      </c>
      <c r="W15" s="89">
        <v>15.856410026550289</v>
      </c>
      <c r="X15" s="89">
        <v>16.00130462646484</v>
      </c>
      <c r="Y15" s="89">
        <v>16.111087799072269</v>
      </c>
      <c r="Z15" s="89">
        <v>15.534500122070311</v>
      </c>
      <c r="AA15" s="89">
        <v>15.761221885681151</v>
      </c>
      <c r="AB15" s="89">
        <v>15.684438705444339</v>
      </c>
      <c r="AC15" s="89">
        <v>16.44724273681641</v>
      </c>
      <c r="AD15" s="89">
        <v>16.365985870361332</v>
      </c>
      <c r="AE15" s="89">
        <v>16.4578742980957</v>
      </c>
      <c r="AF15" s="89">
        <v>15.794425964355471</v>
      </c>
      <c r="AG15" s="89">
        <v>19.38665771484375</v>
      </c>
    </row>
    <row r="16" spans="1:33" x14ac:dyDescent="0.25">
      <c r="A16" s="87" t="s">
        <v>3</v>
      </c>
      <c r="B16" s="87" t="s">
        <v>135</v>
      </c>
      <c r="C16" s="87" t="s">
        <v>150</v>
      </c>
      <c r="D16" s="87" t="s">
        <v>92</v>
      </c>
      <c r="E16" s="87" t="s">
        <v>98</v>
      </c>
      <c r="F16" s="89">
        <v>45.744026184082031</v>
      </c>
      <c r="G16" s="89">
        <v>36.957622528076172</v>
      </c>
      <c r="H16" s="89">
        <v>38.767772674560547</v>
      </c>
      <c r="I16" s="89">
        <v>43.843460083007813</v>
      </c>
      <c r="J16" s="89">
        <v>41.966758728027337</v>
      </c>
      <c r="K16" s="89">
        <v>39.089687347412109</v>
      </c>
      <c r="L16" s="89">
        <v>35.807758331298828</v>
      </c>
      <c r="M16" s="89">
        <v>32.270526885986328</v>
      </c>
      <c r="N16" s="89">
        <v>29.726102828979489</v>
      </c>
      <c r="O16" s="89">
        <v>27.06382942199707</v>
      </c>
      <c r="P16" s="89">
        <v>22.707101821899411</v>
      </c>
      <c r="Q16" s="89">
        <v>19.81254768371582</v>
      </c>
      <c r="R16" s="89">
        <v>17.990140914916989</v>
      </c>
      <c r="S16" s="89">
        <v>17.325273513793949</v>
      </c>
      <c r="T16" s="89">
        <v>16.542726516723629</v>
      </c>
      <c r="U16" s="89">
        <v>16.146917343139648</v>
      </c>
      <c r="V16" s="89">
        <v>15.585004806518549</v>
      </c>
      <c r="W16" s="89">
        <v>15.418770790100099</v>
      </c>
      <c r="X16" s="89">
        <v>15.561038970947269</v>
      </c>
      <c r="Y16" s="89">
        <v>15.645772933959959</v>
      </c>
      <c r="Z16" s="89">
        <v>15.077798843383791</v>
      </c>
      <c r="AA16" s="89">
        <v>15.301357269287109</v>
      </c>
      <c r="AB16" s="89">
        <v>15.19782638549805</v>
      </c>
      <c r="AC16" s="89">
        <v>15.92045974731445</v>
      </c>
      <c r="AD16" s="89">
        <v>15.84433174133301</v>
      </c>
      <c r="AE16" s="89">
        <v>15.881197929382321</v>
      </c>
      <c r="AF16" s="89">
        <v>15.21904277801514</v>
      </c>
      <c r="AG16" s="89">
        <v>18.74416542053223</v>
      </c>
    </row>
    <row r="17" spans="1:33" x14ac:dyDescent="0.25">
      <c r="A17" s="87" t="s">
        <v>3</v>
      </c>
      <c r="B17" s="87" t="s">
        <v>135</v>
      </c>
      <c r="C17" s="87" t="s">
        <v>151</v>
      </c>
      <c r="D17" s="87" t="s">
        <v>92</v>
      </c>
      <c r="E17" s="87" t="s">
        <v>101</v>
      </c>
      <c r="F17" s="89">
        <v>45.744026184082031</v>
      </c>
      <c r="G17" s="89">
        <v>36.957622528076172</v>
      </c>
      <c r="H17" s="89">
        <v>38.767772674560547</v>
      </c>
      <c r="I17" s="89">
        <v>43.843460083007813</v>
      </c>
      <c r="J17" s="89">
        <v>41.966758728027337</v>
      </c>
      <c r="K17" s="89">
        <v>39.089687347412109</v>
      </c>
      <c r="L17" s="89">
        <v>35.807758331298828</v>
      </c>
      <c r="M17" s="89">
        <v>32.270526885986328</v>
      </c>
      <c r="N17" s="89">
        <v>29.726102828979489</v>
      </c>
      <c r="O17" s="89">
        <v>27.06382942199707</v>
      </c>
      <c r="P17" s="89">
        <v>22.707101821899411</v>
      </c>
      <c r="Q17" s="89">
        <v>19.81254768371582</v>
      </c>
      <c r="R17" s="89">
        <v>17.990140914916989</v>
      </c>
      <c r="S17" s="89">
        <v>17.325273513793949</v>
      </c>
      <c r="T17" s="89">
        <v>16.542726516723629</v>
      </c>
      <c r="U17" s="89">
        <v>16.146917343139648</v>
      </c>
      <c r="V17" s="89">
        <v>15.585004806518549</v>
      </c>
      <c r="W17" s="89">
        <v>15.418770790100099</v>
      </c>
      <c r="X17" s="89">
        <v>15.561038970947269</v>
      </c>
      <c r="Y17" s="89">
        <v>15.645772933959959</v>
      </c>
      <c r="Z17" s="89">
        <v>15.077798843383791</v>
      </c>
      <c r="AA17" s="89">
        <v>15.301357269287109</v>
      </c>
      <c r="AB17" s="89">
        <v>15.19782638549805</v>
      </c>
      <c r="AC17" s="89">
        <v>15.92045974731445</v>
      </c>
      <c r="AD17" s="89">
        <v>15.84433174133301</v>
      </c>
      <c r="AE17" s="89">
        <v>15.881197929382321</v>
      </c>
      <c r="AF17" s="89">
        <v>15.21904277801514</v>
      </c>
      <c r="AG17" s="89">
        <v>18.74416542053223</v>
      </c>
    </row>
    <row r="18" spans="1:33" x14ac:dyDescent="0.25">
      <c r="A18" s="87" t="s">
        <v>3</v>
      </c>
      <c r="B18" s="87" t="s">
        <v>135</v>
      </c>
      <c r="C18" s="87" t="s">
        <v>152</v>
      </c>
      <c r="D18" s="87" t="s">
        <v>92</v>
      </c>
      <c r="E18" s="87" t="s">
        <v>105</v>
      </c>
      <c r="F18" s="89">
        <v>54.996665954589837</v>
      </c>
      <c r="G18" s="89">
        <v>43.017318725585938</v>
      </c>
      <c r="H18" s="89">
        <v>43.002937316894531</v>
      </c>
      <c r="I18" s="89">
        <v>44.908866882324219</v>
      </c>
      <c r="J18" s="89">
        <v>42.578460693359382</v>
      </c>
      <c r="K18" s="89">
        <v>39.85546875</v>
      </c>
      <c r="L18" s="89">
        <v>36.575550079345703</v>
      </c>
      <c r="M18" s="89">
        <v>32.910877227783203</v>
      </c>
      <c r="N18" s="89">
        <v>30.471902847290039</v>
      </c>
      <c r="O18" s="89">
        <v>28.118898391723629</v>
      </c>
      <c r="P18" s="89">
        <v>24.138519287109379</v>
      </c>
      <c r="Q18" s="89">
        <v>21.50399017333984</v>
      </c>
      <c r="R18" s="89">
        <v>19.954195022583011</v>
      </c>
      <c r="S18" s="89">
        <v>19.294094085693359</v>
      </c>
      <c r="T18" s="89">
        <v>18.622396469116211</v>
      </c>
      <c r="U18" s="89">
        <v>18.21979904174805</v>
      </c>
      <c r="V18" s="89">
        <v>17.824811935424801</v>
      </c>
      <c r="W18" s="89">
        <v>17.90773963928223</v>
      </c>
      <c r="X18" s="89">
        <v>18.157001495361332</v>
      </c>
      <c r="Y18" s="89">
        <v>18.235128402709961</v>
      </c>
      <c r="Z18" s="89">
        <v>17.658073425292969</v>
      </c>
      <c r="AA18" s="89">
        <v>17.93757438659668</v>
      </c>
      <c r="AB18" s="89">
        <v>17.976764678955082</v>
      </c>
      <c r="AC18" s="89">
        <v>18.895357131958011</v>
      </c>
      <c r="AD18" s="89">
        <v>19.015775680541989</v>
      </c>
      <c r="AE18" s="89">
        <v>19.098007202148441</v>
      </c>
      <c r="AF18" s="89">
        <v>18.4912223815918</v>
      </c>
      <c r="AG18" s="89">
        <v>21.585844039916989</v>
      </c>
    </row>
    <row r="19" spans="1:33" x14ac:dyDescent="0.25">
      <c r="A19" s="87" t="s">
        <v>3</v>
      </c>
      <c r="B19" s="87" t="s">
        <v>135</v>
      </c>
      <c r="C19" s="87" t="s">
        <v>153</v>
      </c>
      <c r="D19" s="87" t="s">
        <v>92</v>
      </c>
      <c r="E19" s="87" t="s">
        <v>109</v>
      </c>
      <c r="F19" s="89">
        <v>63.495990753173828</v>
      </c>
      <c r="G19" s="89">
        <v>46.966960906982422</v>
      </c>
      <c r="H19" s="89">
        <v>45.95538330078125</v>
      </c>
      <c r="I19" s="89">
        <v>47.513816833496087</v>
      </c>
      <c r="J19" s="89">
        <v>45.058925628662109</v>
      </c>
      <c r="K19" s="89">
        <v>42.212570190429688</v>
      </c>
      <c r="L19" s="89">
        <v>38.692230224609382</v>
      </c>
      <c r="M19" s="89">
        <v>34.938892364501953</v>
      </c>
      <c r="N19" s="89">
        <v>32.461780548095703</v>
      </c>
      <c r="O19" s="89">
        <v>30.03068733215332</v>
      </c>
      <c r="P19" s="89">
        <v>26.082273483276371</v>
      </c>
      <c r="Q19" s="89">
        <v>23.454641342163089</v>
      </c>
      <c r="R19" s="89">
        <v>21.980720520019531</v>
      </c>
      <c r="S19" s="89">
        <v>21.265115737915039</v>
      </c>
      <c r="T19" s="89">
        <v>20.581012725830082</v>
      </c>
      <c r="U19" s="89">
        <v>20.11685943603516</v>
      </c>
      <c r="V19" s="89">
        <v>19.711093902587891</v>
      </c>
      <c r="W19" s="89">
        <v>19.84712028503418</v>
      </c>
      <c r="X19" s="89">
        <v>20.120059967041019</v>
      </c>
      <c r="Y19" s="89">
        <v>20.184429168701168</v>
      </c>
      <c r="Z19" s="89">
        <v>19.604621887207031</v>
      </c>
      <c r="AA19" s="89">
        <v>19.883413314819339</v>
      </c>
      <c r="AB19" s="89">
        <v>19.95457649230957</v>
      </c>
      <c r="AC19" s="89">
        <v>20.849344253540039</v>
      </c>
      <c r="AD19" s="89">
        <v>20.970249176025391</v>
      </c>
      <c r="AE19" s="89">
        <v>21.077169418334961</v>
      </c>
      <c r="AF19" s="89">
        <v>20.52729606628418</v>
      </c>
      <c r="AG19" s="89">
        <v>23.445514678955082</v>
      </c>
    </row>
    <row r="20" spans="1:33" x14ac:dyDescent="0.25">
      <c r="A20" s="87" t="s">
        <v>3</v>
      </c>
      <c r="B20" s="87" t="s">
        <v>135</v>
      </c>
      <c r="C20" s="87" t="s">
        <v>154</v>
      </c>
      <c r="D20" s="87" t="s">
        <v>92</v>
      </c>
      <c r="E20" s="87" t="s">
        <v>111</v>
      </c>
      <c r="F20" s="89">
        <v>63.495990753173828</v>
      </c>
      <c r="G20" s="89">
        <v>46.966960906982422</v>
      </c>
      <c r="H20" s="89">
        <v>45.95538330078125</v>
      </c>
      <c r="I20" s="89">
        <v>47.513816833496087</v>
      </c>
      <c r="J20" s="89">
        <v>45.058925628662109</v>
      </c>
      <c r="K20" s="89">
        <v>42.212570190429688</v>
      </c>
      <c r="L20" s="89">
        <v>38.692230224609382</v>
      </c>
      <c r="M20" s="89">
        <v>34.938892364501953</v>
      </c>
      <c r="N20" s="89">
        <v>32.461780548095703</v>
      </c>
      <c r="O20" s="89">
        <v>30.03068733215332</v>
      </c>
      <c r="P20" s="89">
        <v>26.082273483276371</v>
      </c>
      <c r="Q20" s="89">
        <v>23.454641342163089</v>
      </c>
      <c r="R20" s="89">
        <v>21.980720520019531</v>
      </c>
      <c r="S20" s="89">
        <v>21.265115737915039</v>
      </c>
      <c r="T20" s="89">
        <v>20.581012725830082</v>
      </c>
      <c r="U20" s="89">
        <v>20.11685943603516</v>
      </c>
      <c r="V20" s="89">
        <v>19.711093902587891</v>
      </c>
      <c r="W20" s="89">
        <v>19.84712028503418</v>
      </c>
      <c r="X20" s="89">
        <v>20.120059967041019</v>
      </c>
      <c r="Y20" s="89">
        <v>20.184429168701168</v>
      </c>
      <c r="Z20" s="89">
        <v>19.604621887207031</v>
      </c>
      <c r="AA20" s="89">
        <v>19.883413314819339</v>
      </c>
      <c r="AB20" s="89">
        <v>19.954574584960941</v>
      </c>
      <c r="AC20" s="89">
        <v>20.849344253540039</v>
      </c>
      <c r="AD20" s="89">
        <v>20.970249176025391</v>
      </c>
      <c r="AE20" s="89">
        <v>21.077169418334961</v>
      </c>
      <c r="AF20" s="89">
        <v>20.52729606628418</v>
      </c>
      <c r="AG20" s="89">
        <v>23.445514678955082</v>
      </c>
    </row>
    <row r="21" spans="1:33" x14ac:dyDescent="0.25">
      <c r="A21" s="87" t="s">
        <v>3</v>
      </c>
      <c r="B21" s="87" t="s">
        <v>135</v>
      </c>
      <c r="C21" s="87" t="s">
        <v>155</v>
      </c>
      <c r="D21" s="87" t="s">
        <v>92</v>
      </c>
      <c r="E21" s="87" t="s">
        <v>114</v>
      </c>
      <c r="F21" s="89">
        <v>63.516193389892578</v>
      </c>
      <c r="G21" s="89">
        <v>47.905361175537109</v>
      </c>
      <c r="H21" s="89">
        <v>46.428630828857422</v>
      </c>
      <c r="I21" s="89">
        <v>47.513816833496087</v>
      </c>
      <c r="J21" s="89">
        <v>45.058925628662109</v>
      </c>
      <c r="K21" s="89">
        <v>42.212570190429688</v>
      </c>
      <c r="L21" s="89">
        <v>38.692230224609382</v>
      </c>
      <c r="M21" s="89">
        <v>34.938892364501953</v>
      </c>
      <c r="N21" s="89">
        <v>32.461780548095703</v>
      </c>
      <c r="O21" s="89">
        <v>30.03068733215332</v>
      </c>
      <c r="P21" s="89">
        <v>26.082273483276371</v>
      </c>
      <c r="Q21" s="89">
        <v>23.454641342163089</v>
      </c>
      <c r="R21" s="89">
        <v>21.980720520019531</v>
      </c>
      <c r="S21" s="89">
        <v>21.265115737915039</v>
      </c>
      <c r="T21" s="89">
        <v>20.581012725830082</v>
      </c>
      <c r="U21" s="89">
        <v>20.11685943603516</v>
      </c>
      <c r="V21" s="89">
        <v>19.711093902587891</v>
      </c>
      <c r="W21" s="89">
        <v>19.84712028503418</v>
      </c>
      <c r="X21" s="89">
        <v>20.120059967041019</v>
      </c>
      <c r="Y21" s="89">
        <v>20.184429168701168</v>
      </c>
      <c r="Z21" s="89">
        <v>19.604621887207031</v>
      </c>
      <c r="AA21" s="89">
        <v>19.883413314819339</v>
      </c>
      <c r="AB21" s="89">
        <v>19.954574584960941</v>
      </c>
      <c r="AC21" s="89">
        <v>20.84694671630859</v>
      </c>
      <c r="AD21" s="89">
        <v>20.964179992675781</v>
      </c>
      <c r="AE21" s="89">
        <v>21.06367111206055</v>
      </c>
      <c r="AF21" s="89">
        <v>20.484991073608398</v>
      </c>
      <c r="AG21" s="89">
        <v>23.359676361083981</v>
      </c>
    </row>
    <row r="22" spans="1:33" x14ac:dyDescent="0.25">
      <c r="A22" s="87" t="s">
        <v>3</v>
      </c>
      <c r="B22" s="87" t="s">
        <v>135</v>
      </c>
      <c r="C22" s="87" t="s">
        <v>156</v>
      </c>
      <c r="D22" s="87" t="s">
        <v>92</v>
      </c>
      <c r="E22" s="87" t="s">
        <v>117</v>
      </c>
      <c r="F22" s="89">
        <v>63.516193389892578</v>
      </c>
      <c r="G22" s="89">
        <v>47.905361175537109</v>
      </c>
      <c r="H22" s="89">
        <v>46.428630828857422</v>
      </c>
      <c r="I22" s="89">
        <v>47.513816833496087</v>
      </c>
      <c r="J22" s="89">
        <v>45.058925628662109</v>
      </c>
      <c r="K22" s="89">
        <v>42.212570190429688</v>
      </c>
      <c r="L22" s="89">
        <v>38.692230224609382</v>
      </c>
      <c r="M22" s="89">
        <v>34.938892364501953</v>
      </c>
      <c r="N22" s="89">
        <v>32.461780548095703</v>
      </c>
      <c r="O22" s="89">
        <v>30.03068733215332</v>
      </c>
      <c r="P22" s="89">
        <v>26.082273483276371</v>
      </c>
      <c r="Q22" s="89">
        <v>23.454641342163089</v>
      </c>
      <c r="R22" s="89">
        <v>21.980720520019531</v>
      </c>
      <c r="S22" s="89">
        <v>21.265115737915039</v>
      </c>
      <c r="T22" s="89">
        <v>20.581012725830082</v>
      </c>
      <c r="U22" s="89">
        <v>20.11685943603516</v>
      </c>
      <c r="V22" s="89">
        <v>19.711093902587891</v>
      </c>
      <c r="W22" s="89">
        <v>19.84712028503418</v>
      </c>
      <c r="X22" s="89">
        <v>20.120059967041019</v>
      </c>
      <c r="Y22" s="89">
        <v>20.184429168701168</v>
      </c>
      <c r="Z22" s="89">
        <v>19.604621887207031</v>
      </c>
      <c r="AA22" s="89">
        <v>19.883413314819339</v>
      </c>
      <c r="AB22" s="89">
        <v>19.95457649230957</v>
      </c>
      <c r="AC22" s="89">
        <v>20.84694671630859</v>
      </c>
      <c r="AD22" s="89">
        <v>20.964179992675781</v>
      </c>
      <c r="AE22" s="89">
        <v>21.06367111206055</v>
      </c>
      <c r="AF22" s="89">
        <v>20.484991073608398</v>
      </c>
      <c r="AG22" s="89">
        <v>23.359676361083981</v>
      </c>
    </row>
    <row r="23" spans="1:33" x14ac:dyDescent="0.25">
      <c r="A23" s="87" t="s">
        <v>3</v>
      </c>
      <c r="B23" s="87" t="s">
        <v>135</v>
      </c>
      <c r="C23" s="87" t="s">
        <v>157</v>
      </c>
      <c r="D23" s="87" t="s">
        <v>92</v>
      </c>
      <c r="E23" s="87" t="s">
        <v>120</v>
      </c>
      <c r="F23" s="89">
        <v>65.638046264648438</v>
      </c>
      <c r="G23" s="89">
        <v>49.277286529541023</v>
      </c>
      <c r="H23" s="89">
        <v>46.92694091796875</v>
      </c>
      <c r="I23" s="89">
        <v>48.065967559814453</v>
      </c>
      <c r="J23" s="89">
        <v>45.672573089599609</v>
      </c>
      <c r="K23" s="89">
        <v>42.856716156005859</v>
      </c>
      <c r="L23" s="89">
        <v>39.214466094970703</v>
      </c>
      <c r="M23" s="89">
        <v>35.160755157470703</v>
      </c>
      <c r="N23" s="89">
        <v>32.383373260498047</v>
      </c>
      <c r="O23" s="89">
        <v>29.677995681762699</v>
      </c>
      <c r="P23" s="89">
        <v>25.662361145019531</v>
      </c>
      <c r="Q23" s="89">
        <v>22.782905578613281</v>
      </c>
      <c r="R23" s="89">
        <v>21.073122024536129</v>
      </c>
      <c r="S23" s="89">
        <v>20.17500114440918</v>
      </c>
      <c r="T23" s="89">
        <v>19.345636367797852</v>
      </c>
      <c r="U23" s="89">
        <v>18.714254379272461</v>
      </c>
      <c r="V23" s="89">
        <v>18.234376907348629</v>
      </c>
      <c r="W23" s="89">
        <v>18.2606201171875</v>
      </c>
      <c r="X23" s="89">
        <v>18.392404556274411</v>
      </c>
      <c r="Y23" s="89">
        <v>18.276950836181641</v>
      </c>
      <c r="Z23" s="89">
        <v>17.628900527954102</v>
      </c>
      <c r="AA23" s="89">
        <v>17.602817535400391</v>
      </c>
      <c r="AB23" s="89">
        <v>17.54658126831055</v>
      </c>
      <c r="AC23" s="89">
        <v>18.056550979614261</v>
      </c>
      <c r="AD23" s="89">
        <v>18.031490325927731</v>
      </c>
      <c r="AE23" s="89">
        <v>17.94771766662598</v>
      </c>
      <c r="AF23" s="89">
        <v>17.491987228393551</v>
      </c>
      <c r="AG23" s="89">
        <v>19.210317611694339</v>
      </c>
    </row>
    <row r="24" spans="1:33" x14ac:dyDescent="0.25">
      <c r="A24" s="87" t="s">
        <v>96</v>
      </c>
      <c r="B24" s="87" t="s">
        <v>135</v>
      </c>
      <c r="C24" s="87" t="s">
        <v>136</v>
      </c>
      <c r="D24" s="87" t="s">
        <v>5</v>
      </c>
      <c r="E24" s="87" t="s">
        <v>88</v>
      </c>
      <c r="F24" s="89">
        <v>55.436817169189453</v>
      </c>
      <c r="G24" s="89">
        <v>44.745517730712891</v>
      </c>
      <c r="H24" s="89">
        <v>39.020870208740227</v>
      </c>
      <c r="I24" s="89">
        <v>43.967914581298828</v>
      </c>
      <c r="J24" s="89">
        <v>42.090629577636719</v>
      </c>
      <c r="K24" s="89">
        <v>39.170051574707031</v>
      </c>
      <c r="L24" s="89">
        <v>36.106754302978523</v>
      </c>
      <c r="M24" s="89">
        <v>32.808261871337891</v>
      </c>
      <c r="N24" s="89">
        <v>30.136814117431641</v>
      </c>
      <c r="O24" s="89">
        <v>27.148469924926761</v>
      </c>
      <c r="P24" s="89">
        <v>22.635074615478519</v>
      </c>
      <c r="Q24" s="89">
        <v>19.55520057678223</v>
      </c>
      <c r="R24" s="89">
        <v>17.568613052368161</v>
      </c>
      <c r="S24" s="89">
        <v>16.930604934692379</v>
      </c>
      <c r="T24" s="89">
        <v>16.217502593994141</v>
      </c>
      <c r="U24" s="89">
        <v>15.785478591918951</v>
      </c>
      <c r="V24" s="89">
        <v>15.387692451477051</v>
      </c>
      <c r="W24" s="89">
        <v>14.67457103729248</v>
      </c>
      <c r="X24" s="89">
        <v>14.811470985412599</v>
      </c>
      <c r="Y24" s="89">
        <v>14.97232246398926</v>
      </c>
      <c r="Z24" s="89">
        <v>14.423506736755369</v>
      </c>
      <c r="AA24" s="89">
        <v>14.6047830581665</v>
      </c>
      <c r="AB24" s="89">
        <v>14.669179916381839</v>
      </c>
      <c r="AC24" s="89">
        <v>15.25836181640625</v>
      </c>
      <c r="AD24" s="89">
        <v>15.10512733459473</v>
      </c>
      <c r="AE24" s="89">
        <v>15.283963203430179</v>
      </c>
      <c r="AF24" s="89">
        <v>14.60155200958252</v>
      </c>
      <c r="AG24" s="89">
        <v>17.980045318603519</v>
      </c>
    </row>
    <row r="25" spans="1:33" x14ac:dyDescent="0.25">
      <c r="A25" s="87" t="s">
        <v>96</v>
      </c>
      <c r="B25" s="87" t="s">
        <v>135</v>
      </c>
      <c r="C25" s="87" t="s">
        <v>137</v>
      </c>
      <c r="D25" s="87" t="s">
        <v>5</v>
      </c>
      <c r="E25" s="87" t="s">
        <v>90</v>
      </c>
      <c r="F25" s="89">
        <v>55.436817169189453</v>
      </c>
      <c r="G25" s="89">
        <v>44.745517730712891</v>
      </c>
      <c r="H25" s="89">
        <v>39.020870208740227</v>
      </c>
      <c r="I25" s="89">
        <v>43.967914581298828</v>
      </c>
      <c r="J25" s="89">
        <v>42.090629577636719</v>
      </c>
      <c r="K25" s="89">
        <v>39.170051574707031</v>
      </c>
      <c r="L25" s="89">
        <v>36.106754302978523</v>
      </c>
      <c r="M25" s="89">
        <v>32.808261871337891</v>
      </c>
      <c r="N25" s="89">
        <v>30.136814117431641</v>
      </c>
      <c r="O25" s="89">
        <v>27.148469924926761</v>
      </c>
      <c r="P25" s="89">
        <v>22.635074615478519</v>
      </c>
      <c r="Q25" s="89">
        <v>19.55520057678223</v>
      </c>
      <c r="R25" s="89">
        <v>17.568613052368161</v>
      </c>
      <c r="S25" s="89">
        <v>16.930604934692379</v>
      </c>
      <c r="T25" s="89">
        <v>16.217502593994141</v>
      </c>
      <c r="U25" s="89">
        <v>15.785478591918951</v>
      </c>
      <c r="V25" s="89">
        <v>15.387692451477051</v>
      </c>
      <c r="W25" s="89">
        <v>14.67457103729248</v>
      </c>
      <c r="X25" s="89">
        <v>14.811470985412599</v>
      </c>
      <c r="Y25" s="89">
        <v>14.97232246398926</v>
      </c>
      <c r="Z25" s="89">
        <v>14.423506736755369</v>
      </c>
      <c r="AA25" s="89">
        <v>14.6047830581665</v>
      </c>
      <c r="AB25" s="89">
        <v>14.669179916381839</v>
      </c>
      <c r="AC25" s="89">
        <v>15.25836181640625</v>
      </c>
      <c r="AD25" s="89">
        <v>15.10512733459473</v>
      </c>
      <c r="AE25" s="89">
        <v>15.283963203430179</v>
      </c>
      <c r="AF25" s="89">
        <v>14.60155200958252</v>
      </c>
      <c r="AG25" s="89">
        <v>17.980043411254879</v>
      </c>
    </row>
    <row r="26" spans="1:33" x14ac:dyDescent="0.25">
      <c r="A26" s="87" t="s">
        <v>96</v>
      </c>
      <c r="B26" s="87" t="s">
        <v>135</v>
      </c>
      <c r="C26" s="87" t="s">
        <v>138</v>
      </c>
      <c r="D26" s="87" t="s">
        <v>5</v>
      </c>
      <c r="E26" s="87" t="s">
        <v>94</v>
      </c>
      <c r="F26" s="89">
        <v>46.2537841796875</v>
      </c>
      <c r="G26" s="89">
        <v>37.343101501464837</v>
      </c>
      <c r="H26" s="89">
        <v>39.157859802246087</v>
      </c>
      <c r="I26" s="89">
        <v>44.107963562011719</v>
      </c>
      <c r="J26" s="89">
        <v>42.180332183837891</v>
      </c>
      <c r="K26" s="89">
        <v>39.271598815917969</v>
      </c>
      <c r="L26" s="89">
        <v>35.955047607421882</v>
      </c>
      <c r="M26" s="89">
        <v>32.383270263671882</v>
      </c>
      <c r="N26" s="89">
        <v>29.652585983276371</v>
      </c>
      <c r="O26" s="89">
        <v>26.838882446289059</v>
      </c>
      <c r="P26" s="89">
        <v>22.489614486694339</v>
      </c>
      <c r="Q26" s="89">
        <v>19.46815299987793</v>
      </c>
      <c r="R26" s="89">
        <v>17.478887557983398</v>
      </c>
      <c r="S26" s="89">
        <v>16.859479904174801</v>
      </c>
      <c r="T26" s="89">
        <v>16.04470252990723</v>
      </c>
      <c r="U26" s="89">
        <v>15.562508583068849</v>
      </c>
      <c r="V26" s="89">
        <v>15.077034950256349</v>
      </c>
      <c r="W26" s="89">
        <v>14.920994758605961</v>
      </c>
      <c r="X26" s="89">
        <v>15.05946254730225</v>
      </c>
      <c r="Y26" s="89">
        <v>15.22331714630127</v>
      </c>
      <c r="Z26" s="89">
        <v>14.67928504943848</v>
      </c>
      <c r="AA26" s="89">
        <v>14.88825607299805</v>
      </c>
      <c r="AB26" s="89">
        <v>14.832295417785639</v>
      </c>
      <c r="AC26" s="89">
        <v>15.565712928771971</v>
      </c>
      <c r="AD26" s="89">
        <v>15.43447303771973</v>
      </c>
      <c r="AE26" s="89">
        <v>15.5775260925293</v>
      </c>
      <c r="AF26" s="89">
        <v>14.864070892333981</v>
      </c>
      <c r="AG26" s="89">
        <v>18.426507949829102</v>
      </c>
    </row>
    <row r="27" spans="1:33" x14ac:dyDescent="0.25">
      <c r="A27" s="87" t="s">
        <v>96</v>
      </c>
      <c r="B27" s="87" t="s">
        <v>135</v>
      </c>
      <c r="C27" s="87" t="s">
        <v>139</v>
      </c>
      <c r="D27" s="87" t="s">
        <v>5</v>
      </c>
      <c r="E27" s="87" t="s">
        <v>98</v>
      </c>
      <c r="F27" s="89">
        <v>46.680229187011719</v>
      </c>
      <c r="G27" s="89">
        <v>37.439754486083977</v>
      </c>
      <c r="H27" s="89">
        <v>39.208621978759773</v>
      </c>
      <c r="I27" s="89">
        <v>44.136592864990227</v>
      </c>
      <c r="J27" s="89">
        <v>42.265262603759773</v>
      </c>
      <c r="K27" s="89">
        <v>39.404659271240227</v>
      </c>
      <c r="L27" s="89">
        <v>36.123783111572273</v>
      </c>
      <c r="M27" s="89">
        <v>32.529502868652337</v>
      </c>
      <c r="N27" s="89">
        <v>29.801860809326168</v>
      </c>
      <c r="O27" s="89">
        <v>26.99086952209473</v>
      </c>
      <c r="P27" s="89">
        <v>22.67233848571777</v>
      </c>
      <c r="Q27" s="89">
        <v>19.630569458007809</v>
      </c>
      <c r="R27" s="89">
        <v>17.619464874267582</v>
      </c>
      <c r="S27" s="89">
        <v>16.979879379272461</v>
      </c>
      <c r="T27" s="89">
        <v>16.164470672607418</v>
      </c>
      <c r="U27" s="89">
        <v>15.688937187194821</v>
      </c>
      <c r="V27" s="89">
        <v>15.250673294067379</v>
      </c>
      <c r="W27" s="89">
        <v>15.054665565490721</v>
      </c>
      <c r="X27" s="89">
        <v>15.2171516418457</v>
      </c>
      <c r="Y27" s="89">
        <v>15.387797355651861</v>
      </c>
      <c r="Z27" s="89">
        <v>14.863693237304689</v>
      </c>
      <c r="AA27" s="89">
        <v>15.10170269012451</v>
      </c>
      <c r="AB27" s="89">
        <v>15.07261943817139</v>
      </c>
      <c r="AC27" s="89">
        <v>15.81421947479248</v>
      </c>
      <c r="AD27" s="89">
        <v>15.71875667572021</v>
      </c>
      <c r="AE27" s="89">
        <v>15.87193584442139</v>
      </c>
      <c r="AF27" s="89">
        <v>15.172243118286129</v>
      </c>
      <c r="AG27" s="89">
        <v>18.75099945068359</v>
      </c>
    </row>
    <row r="28" spans="1:33" x14ac:dyDescent="0.25">
      <c r="A28" s="87" t="s">
        <v>96</v>
      </c>
      <c r="B28" s="87" t="s">
        <v>135</v>
      </c>
      <c r="C28" s="87" t="s">
        <v>140</v>
      </c>
      <c r="D28" s="87" t="s">
        <v>5</v>
      </c>
      <c r="E28" s="87" t="s">
        <v>101</v>
      </c>
      <c r="F28" s="89">
        <v>46.680229187011719</v>
      </c>
      <c r="G28" s="89">
        <v>37.439754486083977</v>
      </c>
      <c r="H28" s="89">
        <v>39.208621978759773</v>
      </c>
      <c r="I28" s="89">
        <v>44.136592864990227</v>
      </c>
      <c r="J28" s="89">
        <v>42.265262603759773</v>
      </c>
      <c r="K28" s="89">
        <v>39.404659271240227</v>
      </c>
      <c r="L28" s="89">
        <v>36.123783111572273</v>
      </c>
      <c r="M28" s="89">
        <v>32.529502868652337</v>
      </c>
      <c r="N28" s="89">
        <v>29.801860809326168</v>
      </c>
      <c r="O28" s="89">
        <v>26.99086952209473</v>
      </c>
      <c r="P28" s="89">
        <v>22.67233848571777</v>
      </c>
      <c r="Q28" s="89">
        <v>19.630569458007809</v>
      </c>
      <c r="R28" s="89">
        <v>17.619464874267582</v>
      </c>
      <c r="S28" s="89">
        <v>16.979879379272461</v>
      </c>
      <c r="T28" s="89">
        <v>16.164470672607418</v>
      </c>
      <c r="U28" s="89">
        <v>15.688937187194821</v>
      </c>
      <c r="V28" s="89">
        <v>15.250673294067379</v>
      </c>
      <c r="W28" s="89">
        <v>15.054665565490721</v>
      </c>
      <c r="X28" s="89">
        <v>15.2171516418457</v>
      </c>
      <c r="Y28" s="89">
        <v>15.387797355651861</v>
      </c>
      <c r="Z28" s="89">
        <v>14.863693237304689</v>
      </c>
      <c r="AA28" s="89">
        <v>15.10170269012451</v>
      </c>
      <c r="AB28" s="89">
        <v>15.07261943817139</v>
      </c>
      <c r="AC28" s="89">
        <v>15.81421947479248</v>
      </c>
      <c r="AD28" s="89">
        <v>15.71875667572021</v>
      </c>
      <c r="AE28" s="89">
        <v>15.87193584442139</v>
      </c>
      <c r="AF28" s="89">
        <v>15.172243118286129</v>
      </c>
      <c r="AG28" s="89">
        <v>18.75099945068359</v>
      </c>
    </row>
    <row r="29" spans="1:33" x14ac:dyDescent="0.25">
      <c r="A29" s="87" t="s">
        <v>96</v>
      </c>
      <c r="B29" s="87" t="s">
        <v>135</v>
      </c>
      <c r="C29" s="87" t="s">
        <v>141</v>
      </c>
      <c r="D29" s="87" t="s">
        <v>5</v>
      </c>
      <c r="E29" s="87" t="s">
        <v>105</v>
      </c>
      <c r="F29" s="89">
        <v>55.955520629882813</v>
      </c>
      <c r="G29" s="89">
        <v>43.452354431152337</v>
      </c>
      <c r="H29" s="89">
        <v>43.371650695800781</v>
      </c>
      <c r="I29" s="89">
        <v>45.1732177734375</v>
      </c>
      <c r="J29" s="89">
        <v>42.799079895019531</v>
      </c>
      <c r="K29" s="89">
        <v>40.051399230957031</v>
      </c>
      <c r="L29" s="89">
        <v>36.745159149169922</v>
      </c>
      <c r="M29" s="89">
        <v>33.037765502929688</v>
      </c>
      <c r="N29" s="89">
        <v>30.46220779418945</v>
      </c>
      <c r="O29" s="89">
        <v>27.989866256713871</v>
      </c>
      <c r="P29" s="89">
        <v>24.030704498291019</v>
      </c>
      <c r="Q29" s="89">
        <v>21.301029205322269</v>
      </c>
      <c r="R29" s="89">
        <v>19.631610870361332</v>
      </c>
      <c r="S29" s="89">
        <v>18.976779937744141</v>
      </c>
      <c r="T29" s="89">
        <v>18.296476364135739</v>
      </c>
      <c r="U29" s="89">
        <v>17.833454132080082</v>
      </c>
      <c r="V29" s="89">
        <v>17.51836013793945</v>
      </c>
      <c r="W29" s="89">
        <v>17.57080078125</v>
      </c>
      <c r="X29" s="89">
        <v>17.832267761230469</v>
      </c>
      <c r="Y29" s="89">
        <v>17.955759048461911</v>
      </c>
      <c r="Z29" s="89">
        <v>17.41434288024902</v>
      </c>
      <c r="AA29" s="89">
        <v>17.702207565307621</v>
      </c>
      <c r="AB29" s="89">
        <v>17.780668258666989</v>
      </c>
      <c r="AC29" s="89">
        <v>18.691007614135739</v>
      </c>
      <c r="AD29" s="89">
        <v>18.783426284790039</v>
      </c>
      <c r="AE29" s="89">
        <v>18.951936721801761</v>
      </c>
      <c r="AF29" s="89">
        <v>18.319919586181641</v>
      </c>
      <c r="AG29" s="89">
        <v>21.442388534545898</v>
      </c>
    </row>
    <row r="30" spans="1:33" x14ac:dyDescent="0.25">
      <c r="A30" s="87" t="s">
        <v>96</v>
      </c>
      <c r="B30" s="87" t="s">
        <v>135</v>
      </c>
      <c r="C30" s="87" t="s">
        <v>142</v>
      </c>
      <c r="D30" s="87" t="s">
        <v>5</v>
      </c>
      <c r="E30" s="87" t="s">
        <v>109</v>
      </c>
      <c r="F30" s="89">
        <v>64.784446716308594</v>
      </c>
      <c r="G30" s="89">
        <v>47.417060852050781</v>
      </c>
      <c r="H30" s="89">
        <v>46.317344665527337</v>
      </c>
      <c r="I30" s="89">
        <v>47.767410278320313</v>
      </c>
      <c r="J30" s="89">
        <v>45.251499176025391</v>
      </c>
      <c r="K30" s="89">
        <v>42.372802734375</v>
      </c>
      <c r="L30" s="89">
        <v>38.816188812255859</v>
      </c>
      <c r="M30" s="89">
        <v>34.993373870849609</v>
      </c>
      <c r="N30" s="89">
        <v>32.380046844482422</v>
      </c>
      <c r="O30" s="89">
        <v>29.820648193359379</v>
      </c>
      <c r="P30" s="89">
        <v>25.864143371582031</v>
      </c>
      <c r="Q30" s="89">
        <v>23.151775360107418</v>
      </c>
      <c r="R30" s="89">
        <v>21.562332153320309</v>
      </c>
      <c r="S30" s="89">
        <v>20.845529556274411</v>
      </c>
      <c r="T30" s="89">
        <v>20.145223617553711</v>
      </c>
      <c r="U30" s="89">
        <v>19.61428070068359</v>
      </c>
      <c r="V30" s="89">
        <v>19.273386001586911</v>
      </c>
      <c r="W30" s="89">
        <v>19.383743286132809</v>
      </c>
      <c r="X30" s="89">
        <v>19.678487777709961</v>
      </c>
      <c r="Y30" s="89">
        <v>19.775516510009769</v>
      </c>
      <c r="Z30" s="89">
        <v>19.23890495300293</v>
      </c>
      <c r="AA30" s="89">
        <v>19.514841079711911</v>
      </c>
      <c r="AB30" s="89">
        <v>19.617938995361332</v>
      </c>
      <c r="AC30" s="89">
        <v>20.504142761230469</v>
      </c>
      <c r="AD30" s="89">
        <v>20.60819244384766</v>
      </c>
      <c r="AE30" s="89">
        <v>20.78011322021484</v>
      </c>
      <c r="AF30" s="89">
        <v>20.20058631896973</v>
      </c>
      <c r="AG30" s="89">
        <v>23.13649749755859</v>
      </c>
    </row>
    <row r="31" spans="1:33" x14ac:dyDescent="0.25">
      <c r="A31" s="87" t="s">
        <v>96</v>
      </c>
      <c r="B31" s="87" t="s">
        <v>135</v>
      </c>
      <c r="C31" s="87" t="s">
        <v>143</v>
      </c>
      <c r="D31" s="87" t="s">
        <v>5</v>
      </c>
      <c r="E31" s="87" t="s">
        <v>111</v>
      </c>
      <c r="F31" s="89">
        <v>64.784446716308594</v>
      </c>
      <c r="G31" s="89">
        <v>47.417060852050781</v>
      </c>
      <c r="H31" s="89">
        <v>46.317344665527337</v>
      </c>
      <c r="I31" s="89">
        <v>47.767410278320313</v>
      </c>
      <c r="J31" s="89">
        <v>45.251499176025391</v>
      </c>
      <c r="K31" s="89">
        <v>42.372810363769531</v>
      </c>
      <c r="L31" s="89">
        <v>38.816188812255859</v>
      </c>
      <c r="M31" s="89">
        <v>34.993373870849609</v>
      </c>
      <c r="N31" s="89">
        <v>32.380046844482422</v>
      </c>
      <c r="O31" s="89">
        <v>29.820648193359379</v>
      </c>
      <c r="P31" s="89">
        <v>25.864143371582031</v>
      </c>
      <c r="Q31" s="89">
        <v>23.151775360107418</v>
      </c>
      <c r="R31" s="89">
        <v>21.562332153320309</v>
      </c>
      <c r="S31" s="89">
        <v>20.845529556274411</v>
      </c>
      <c r="T31" s="89">
        <v>20.145223617553711</v>
      </c>
      <c r="U31" s="89">
        <v>19.61428070068359</v>
      </c>
      <c r="V31" s="89">
        <v>19.273384094238281</v>
      </c>
      <c r="W31" s="89">
        <v>19.383743286132809</v>
      </c>
      <c r="X31" s="89">
        <v>19.678487777709961</v>
      </c>
      <c r="Y31" s="89">
        <v>19.775516510009769</v>
      </c>
      <c r="Z31" s="89">
        <v>19.23890495300293</v>
      </c>
      <c r="AA31" s="89">
        <v>19.514841079711911</v>
      </c>
      <c r="AB31" s="89">
        <v>19.617938995361332</v>
      </c>
      <c r="AC31" s="89">
        <v>20.504142761230469</v>
      </c>
      <c r="AD31" s="89">
        <v>20.60819244384766</v>
      </c>
      <c r="AE31" s="89">
        <v>20.78011322021484</v>
      </c>
      <c r="AF31" s="89">
        <v>20.20058631896973</v>
      </c>
      <c r="AG31" s="89">
        <v>23.13649749755859</v>
      </c>
    </row>
    <row r="32" spans="1:33" x14ac:dyDescent="0.25">
      <c r="A32" s="87" t="s">
        <v>96</v>
      </c>
      <c r="B32" s="87" t="s">
        <v>135</v>
      </c>
      <c r="C32" s="87" t="s">
        <v>144</v>
      </c>
      <c r="D32" s="87" t="s">
        <v>5</v>
      </c>
      <c r="E32" s="87" t="s">
        <v>114</v>
      </c>
      <c r="F32" s="89">
        <v>64.804191589355469</v>
      </c>
      <c r="G32" s="89">
        <v>48.381008148193359</v>
      </c>
      <c r="H32" s="89">
        <v>46.813102722167969</v>
      </c>
      <c r="I32" s="89">
        <v>47.767410278320313</v>
      </c>
      <c r="J32" s="89">
        <v>45.251499176025391</v>
      </c>
      <c r="K32" s="89">
        <v>42.372810363769531</v>
      </c>
      <c r="L32" s="89">
        <v>38.816188812255859</v>
      </c>
      <c r="M32" s="89">
        <v>34.993373870849609</v>
      </c>
      <c r="N32" s="89">
        <v>32.380046844482422</v>
      </c>
      <c r="O32" s="89">
        <v>29.820648193359379</v>
      </c>
      <c r="P32" s="89">
        <v>25.864143371582031</v>
      </c>
      <c r="Q32" s="89">
        <v>23.151775360107418</v>
      </c>
      <c r="R32" s="89">
        <v>21.562332153320309</v>
      </c>
      <c r="S32" s="89">
        <v>20.845529556274411</v>
      </c>
      <c r="T32" s="89">
        <v>20.145223617553711</v>
      </c>
      <c r="U32" s="89">
        <v>19.61428070068359</v>
      </c>
      <c r="V32" s="89">
        <v>19.273384094238281</v>
      </c>
      <c r="W32" s="89">
        <v>19.383743286132809</v>
      </c>
      <c r="X32" s="89">
        <v>19.678487777709961</v>
      </c>
      <c r="Y32" s="89">
        <v>19.775516510009769</v>
      </c>
      <c r="Z32" s="89">
        <v>19.23890495300293</v>
      </c>
      <c r="AA32" s="89">
        <v>19.514841079711911</v>
      </c>
      <c r="AB32" s="89">
        <v>19.617938995361332</v>
      </c>
      <c r="AC32" s="89">
        <v>20.501449584960941</v>
      </c>
      <c r="AD32" s="89">
        <v>20.601480484008789</v>
      </c>
      <c r="AE32" s="89">
        <v>20.763523101806641</v>
      </c>
      <c r="AF32" s="89">
        <v>20.155643463134769</v>
      </c>
      <c r="AG32" s="89">
        <v>23.046230316162109</v>
      </c>
    </row>
    <row r="33" spans="1:33" x14ac:dyDescent="0.25">
      <c r="A33" s="87" t="s">
        <v>96</v>
      </c>
      <c r="B33" s="87" t="s">
        <v>135</v>
      </c>
      <c r="C33" s="87" t="s">
        <v>145</v>
      </c>
      <c r="D33" s="87" t="s">
        <v>5</v>
      </c>
      <c r="E33" s="87" t="s">
        <v>117</v>
      </c>
      <c r="F33" s="89">
        <v>64.804191589355469</v>
      </c>
      <c r="G33" s="89">
        <v>48.381008148193359</v>
      </c>
      <c r="H33" s="89">
        <v>46.813102722167969</v>
      </c>
      <c r="I33" s="89">
        <v>47.767410278320313</v>
      </c>
      <c r="J33" s="89">
        <v>45.251499176025391</v>
      </c>
      <c r="K33" s="89">
        <v>42.372802734375</v>
      </c>
      <c r="L33" s="89">
        <v>38.816188812255859</v>
      </c>
      <c r="M33" s="89">
        <v>34.993373870849609</v>
      </c>
      <c r="N33" s="89">
        <v>32.380046844482422</v>
      </c>
      <c r="O33" s="89">
        <v>29.820648193359379</v>
      </c>
      <c r="P33" s="89">
        <v>25.864143371582031</v>
      </c>
      <c r="Q33" s="89">
        <v>23.151775360107418</v>
      </c>
      <c r="R33" s="89">
        <v>21.562332153320309</v>
      </c>
      <c r="S33" s="89">
        <v>20.845529556274411</v>
      </c>
      <c r="T33" s="89">
        <v>20.145223617553711</v>
      </c>
      <c r="U33" s="89">
        <v>19.61428070068359</v>
      </c>
      <c r="V33" s="89">
        <v>19.273386001586911</v>
      </c>
      <c r="W33" s="89">
        <v>19.383743286132809</v>
      </c>
      <c r="X33" s="89">
        <v>19.678487777709961</v>
      </c>
      <c r="Y33" s="89">
        <v>19.775516510009769</v>
      </c>
      <c r="Z33" s="89">
        <v>19.23890495300293</v>
      </c>
      <c r="AA33" s="89">
        <v>19.514841079711911</v>
      </c>
      <c r="AB33" s="89">
        <v>19.617938995361332</v>
      </c>
      <c r="AC33" s="89">
        <v>20.501449584960941</v>
      </c>
      <c r="AD33" s="89">
        <v>20.601480484008789</v>
      </c>
      <c r="AE33" s="89">
        <v>20.763523101806641</v>
      </c>
      <c r="AF33" s="89">
        <v>20.155643463134769</v>
      </c>
      <c r="AG33" s="89">
        <v>23.046230316162109</v>
      </c>
    </row>
    <row r="34" spans="1:33" x14ac:dyDescent="0.25">
      <c r="A34" s="87" t="s">
        <v>96</v>
      </c>
      <c r="B34" s="87" t="s">
        <v>135</v>
      </c>
      <c r="C34" s="87" t="s">
        <v>146</v>
      </c>
      <c r="D34" s="87" t="s">
        <v>5</v>
      </c>
      <c r="E34" s="87" t="s">
        <v>120</v>
      </c>
      <c r="F34" s="89">
        <v>67.000030517578125</v>
      </c>
      <c r="G34" s="89">
        <v>49.823940277099609</v>
      </c>
      <c r="H34" s="89">
        <v>47.2974853515625</v>
      </c>
      <c r="I34" s="89">
        <v>48.301589965820313</v>
      </c>
      <c r="J34" s="89">
        <v>45.834983825683587</v>
      </c>
      <c r="K34" s="89">
        <v>42.985057830810547</v>
      </c>
      <c r="L34" s="89">
        <v>39.317531585693359</v>
      </c>
      <c r="M34" s="89">
        <v>35.197952270507813</v>
      </c>
      <c r="N34" s="89">
        <v>32.267692565917969</v>
      </c>
      <c r="O34" s="89">
        <v>29.417304992675781</v>
      </c>
      <c r="P34" s="89">
        <v>25.388811111450199</v>
      </c>
      <c r="Q34" s="89">
        <v>22.422941207885739</v>
      </c>
      <c r="R34" s="89">
        <v>20.593328475952148</v>
      </c>
      <c r="S34" s="89">
        <v>19.695041656494141</v>
      </c>
      <c r="T34" s="89">
        <v>18.836971282958981</v>
      </c>
      <c r="U34" s="89">
        <v>18.131647109985352</v>
      </c>
      <c r="V34" s="89">
        <v>17.70939826965332</v>
      </c>
      <c r="W34" s="89">
        <v>17.687421798706051</v>
      </c>
      <c r="X34" s="89">
        <v>17.8320198059082</v>
      </c>
      <c r="Y34" s="89">
        <v>17.74776458740234</v>
      </c>
      <c r="Z34" s="89">
        <v>17.12956619262695</v>
      </c>
      <c r="AA34" s="89">
        <v>17.104646682739261</v>
      </c>
      <c r="AB34" s="89">
        <v>17.085577011108398</v>
      </c>
      <c r="AC34" s="89">
        <v>17.543378829956051</v>
      </c>
      <c r="AD34" s="89">
        <v>17.497604370117191</v>
      </c>
      <c r="AE34" s="89">
        <v>17.431362152099609</v>
      </c>
      <c r="AF34" s="89">
        <v>16.969429016113281</v>
      </c>
      <c r="AG34" s="89">
        <v>18.70936393737793</v>
      </c>
    </row>
    <row r="35" spans="1:33" x14ac:dyDescent="0.25">
      <c r="A35" s="87" t="s">
        <v>96</v>
      </c>
      <c r="B35" s="87" t="s">
        <v>135</v>
      </c>
      <c r="C35" s="87" t="s">
        <v>147</v>
      </c>
      <c r="D35" s="87" t="s">
        <v>92</v>
      </c>
      <c r="E35" s="87" t="s">
        <v>88</v>
      </c>
      <c r="F35" s="89">
        <v>55.575904846191413</v>
      </c>
      <c r="G35" s="89">
        <v>44.727138519287109</v>
      </c>
      <c r="H35" s="89">
        <v>39.137470245361328</v>
      </c>
      <c r="I35" s="89">
        <v>44.204486846923828</v>
      </c>
      <c r="J35" s="89">
        <v>42.380153656005859</v>
      </c>
      <c r="K35" s="89">
        <v>39.525348663330078</v>
      </c>
      <c r="L35" s="89">
        <v>36.473468780517578</v>
      </c>
      <c r="M35" s="89">
        <v>33.217666625976563</v>
      </c>
      <c r="N35" s="89">
        <v>30.819290161132809</v>
      </c>
      <c r="O35" s="89">
        <v>28.07244873046875</v>
      </c>
      <c r="P35" s="89">
        <v>23.719635009765629</v>
      </c>
      <c r="Q35" s="89">
        <v>20.831192016601559</v>
      </c>
      <c r="R35" s="89">
        <v>19.041025161743161</v>
      </c>
      <c r="S35" s="89">
        <v>18.35466384887695</v>
      </c>
      <c r="T35" s="89">
        <v>17.66750335693359</v>
      </c>
      <c r="U35" s="89">
        <v>17.305080413818359</v>
      </c>
      <c r="V35" s="89">
        <v>16.86081695556641</v>
      </c>
      <c r="W35" s="89">
        <v>16.1634407043457</v>
      </c>
      <c r="X35" s="89">
        <v>16.33798789978027</v>
      </c>
      <c r="Y35" s="89">
        <v>16.415983200073239</v>
      </c>
      <c r="Z35" s="89">
        <v>15.85454750061035</v>
      </c>
      <c r="AA35" s="89">
        <v>16.072273254394531</v>
      </c>
      <c r="AB35" s="89">
        <v>16.09664154052734</v>
      </c>
      <c r="AC35" s="89">
        <v>16.783699035644531</v>
      </c>
      <c r="AD35" s="89">
        <v>16.714292526245121</v>
      </c>
      <c r="AE35" s="89">
        <v>16.814226150512699</v>
      </c>
      <c r="AF35" s="89">
        <v>16.214704513549801</v>
      </c>
      <c r="AG35" s="89">
        <v>19.67098236083984</v>
      </c>
    </row>
    <row r="36" spans="1:33" x14ac:dyDescent="0.25">
      <c r="A36" s="87" t="s">
        <v>96</v>
      </c>
      <c r="B36" s="87" t="s">
        <v>135</v>
      </c>
      <c r="C36" s="87" t="s">
        <v>148</v>
      </c>
      <c r="D36" s="87" t="s">
        <v>92</v>
      </c>
      <c r="E36" s="87" t="s">
        <v>90</v>
      </c>
      <c r="F36" s="89">
        <v>55.234516143798828</v>
      </c>
      <c r="G36" s="89">
        <v>44.501983642578132</v>
      </c>
      <c r="H36" s="89">
        <v>38.851959228515632</v>
      </c>
      <c r="I36" s="89">
        <v>43.944980621337891</v>
      </c>
      <c r="J36" s="89">
        <v>42.155868530273438</v>
      </c>
      <c r="K36" s="89">
        <v>39.343410491943359</v>
      </c>
      <c r="L36" s="89">
        <v>36.297843933105469</v>
      </c>
      <c r="M36" s="89">
        <v>33.076988220214837</v>
      </c>
      <c r="N36" s="89">
        <v>30.629938125610352</v>
      </c>
      <c r="O36" s="89">
        <v>27.8244514465332</v>
      </c>
      <c r="P36" s="89">
        <v>23.450090408325199</v>
      </c>
      <c r="Q36" s="89">
        <v>20.531404495239261</v>
      </c>
      <c r="R36" s="89">
        <v>18.682565689086911</v>
      </c>
      <c r="S36" s="89">
        <v>18.029140472412109</v>
      </c>
      <c r="T36" s="89">
        <v>17.318418502807621</v>
      </c>
      <c r="U36" s="89">
        <v>16.93281173706055</v>
      </c>
      <c r="V36" s="89">
        <v>16.515483856201168</v>
      </c>
      <c r="W36" s="89">
        <v>15.805794715881349</v>
      </c>
      <c r="X36" s="89">
        <v>15.965999603271481</v>
      </c>
      <c r="Y36" s="89">
        <v>16.07523345947266</v>
      </c>
      <c r="Z36" s="89">
        <v>15.504176139831539</v>
      </c>
      <c r="AA36" s="89">
        <v>15.732102394104</v>
      </c>
      <c r="AB36" s="89">
        <v>15.782364845275881</v>
      </c>
      <c r="AC36" s="89">
        <v>16.442924499511719</v>
      </c>
      <c r="AD36" s="89">
        <v>16.339227676391602</v>
      </c>
      <c r="AE36" s="89">
        <v>16.466005325317379</v>
      </c>
      <c r="AF36" s="89">
        <v>15.83135986328125</v>
      </c>
      <c r="AG36" s="89">
        <v>19.271932601928711</v>
      </c>
    </row>
    <row r="37" spans="1:33" x14ac:dyDescent="0.25">
      <c r="A37" s="87" t="s">
        <v>96</v>
      </c>
      <c r="B37" s="87" t="s">
        <v>135</v>
      </c>
      <c r="C37" s="87" t="s">
        <v>149</v>
      </c>
      <c r="D37" s="87" t="s">
        <v>92</v>
      </c>
      <c r="E37" s="87" t="s">
        <v>94</v>
      </c>
      <c r="F37" s="89">
        <v>46.106292724609382</v>
      </c>
      <c r="G37" s="89">
        <v>37.283676147460938</v>
      </c>
      <c r="H37" s="89">
        <v>39.060043334960938</v>
      </c>
      <c r="I37" s="89">
        <v>44.110309600830078</v>
      </c>
      <c r="J37" s="89">
        <v>42.230300903320313</v>
      </c>
      <c r="K37" s="89">
        <v>39.354812622070313</v>
      </c>
      <c r="L37" s="89">
        <v>36.05303955078125</v>
      </c>
      <c r="M37" s="89">
        <v>32.528099060058587</v>
      </c>
      <c r="N37" s="89">
        <v>29.97982025146484</v>
      </c>
      <c r="O37" s="89">
        <v>27.32211875915527</v>
      </c>
      <c r="P37" s="89">
        <v>23.065444946289059</v>
      </c>
      <c r="Q37" s="89">
        <v>20.18247032165527</v>
      </c>
      <c r="R37" s="89">
        <v>18.343879699707031</v>
      </c>
      <c r="S37" s="89">
        <v>17.706525802612301</v>
      </c>
      <c r="T37" s="89">
        <v>16.924289703369141</v>
      </c>
      <c r="U37" s="89">
        <v>16.528390884399411</v>
      </c>
      <c r="V37" s="89">
        <v>16.007022857666019</v>
      </c>
      <c r="W37" s="89">
        <v>15.856410026550289</v>
      </c>
      <c r="X37" s="89">
        <v>16.00130462646484</v>
      </c>
      <c r="Y37" s="89">
        <v>16.111087799072269</v>
      </c>
      <c r="Z37" s="89">
        <v>15.534500122070311</v>
      </c>
      <c r="AA37" s="89">
        <v>15.761221885681151</v>
      </c>
      <c r="AB37" s="89">
        <v>15.684438705444339</v>
      </c>
      <c r="AC37" s="89">
        <v>16.44724273681641</v>
      </c>
      <c r="AD37" s="89">
        <v>16.365985870361332</v>
      </c>
      <c r="AE37" s="89">
        <v>16.4578742980957</v>
      </c>
      <c r="AF37" s="89">
        <v>15.794425964355471</v>
      </c>
      <c r="AG37" s="89">
        <v>19.38665771484375</v>
      </c>
    </row>
    <row r="38" spans="1:33" x14ac:dyDescent="0.25">
      <c r="A38" s="87" t="s">
        <v>96</v>
      </c>
      <c r="B38" s="87" t="s">
        <v>135</v>
      </c>
      <c r="C38" s="87" t="s">
        <v>150</v>
      </c>
      <c r="D38" s="87" t="s">
        <v>92</v>
      </c>
      <c r="E38" s="87" t="s">
        <v>98</v>
      </c>
      <c r="F38" s="89">
        <v>45.744026184082031</v>
      </c>
      <c r="G38" s="89">
        <v>36.957622528076172</v>
      </c>
      <c r="H38" s="89">
        <v>38.767772674560547</v>
      </c>
      <c r="I38" s="89">
        <v>43.843460083007813</v>
      </c>
      <c r="J38" s="89">
        <v>41.966758728027337</v>
      </c>
      <c r="K38" s="89">
        <v>39.089687347412109</v>
      </c>
      <c r="L38" s="89">
        <v>35.807758331298828</v>
      </c>
      <c r="M38" s="89">
        <v>32.270526885986328</v>
      </c>
      <c r="N38" s="89">
        <v>29.726102828979489</v>
      </c>
      <c r="O38" s="89">
        <v>27.06382942199707</v>
      </c>
      <c r="P38" s="89">
        <v>22.707101821899411</v>
      </c>
      <c r="Q38" s="89">
        <v>19.81254768371582</v>
      </c>
      <c r="R38" s="89">
        <v>17.990140914916989</v>
      </c>
      <c r="S38" s="89">
        <v>17.325273513793949</v>
      </c>
      <c r="T38" s="89">
        <v>16.542726516723629</v>
      </c>
      <c r="U38" s="89">
        <v>16.146917343139648</v>
      </c>
      <c r="V38" s="89">
        <v>15.585004806518549</v>
      </c>
      <c r="W38" s="89">
        <v>15.418770790100099</v>
      </c>
      <c r="X38" s="89">
        <v>15.561038970947269</v>
      </c>
      <c r="Y38" s="89">
        <v>15.645772933959959</v>
      </c>
      <c r="Z38" s="89">
        <v>15.077798843383791</v>
      </c>
      <c r="AA38" s="89">
        <v>15.301357269287109</v>
      </c>
      <c r="AB38" s="89">
        <v>15.19782638549805</v>
      </c>
      <c r="AC38" s="89">
        <v>15.92045974731445</v>
      </c>
      <c r="AD38" s="89">
        <v>15.84433174133301</v>
      </c>
      <c r="AE38" s="89">
        <v>15.881197929382321</v>
      </c>
      <c r="AF38" s="89">
        <v>15.21904277801514</v>
      </c>
      <c r="AG38" s="89">
        <v>18.74416542053223</v>
      </c>
    </row>
    <row r="39" spans="1:33" x14ac:dyDescent="0.25">
      <c r="A39" s="87" t="s">
        <v>96</v>
      </c>
      <c r="B39" s="87" t="s">
        <v>135</v>
      </c>
      <c r="C39" s="87" t="s">
        <v>151</v>
      </c>
      <c r="D39" s="87" t="s">
        <v>92</v>
      </c>
      <c r="E39" s="87" t="s">
        <v>101</v>
      </c>
      <c r="F39" s="89">
        <v>45.744026184082031</v>
      </c>
      <c r="G39" s="89">
        <v>36.957622528076172</v>
      </c>
      <c r="H39" s="89">
        <v>38.767772674560547</v>
      </c>
      <c r="I39" s="89">
        <v>43.843460083007813</v>
      </c>
      <c r="J39" s="89">
        <v>41.966758728027337</v>
      </c>
      <c r="K39" s="89">
        <v>39.089687347412109</v>
      </c>
      <c r="L39" s="89">
        <v>35.807758331298828</v>
      </c>
      <c r="M39" s="89">
        <v>32.270526885986328</v>
      </c>
      <c r="N39" s="89">
        <v>29.726102828979489</v>
      </c>
      <c r="O39" s="89">
        <v>27.06382942199707</v>
      </c>
      <c r="P39" s="89">
        <v>22.707101821899411</v>
      </c>
      <c r="Q39" s="89">
        <v>19.81254768371582</v>
      </c>
      <c r="R39" s="89">
        <v>17.990140914916989</v>
      </c>
      <c r="S39" s="89">
        <v>17.325273513793949</v>
      </c>
      <c r="T39" s="89">
        <v>16.542726516723629</v>
      </c>
      <c r="U39" s="89">
        <v>16.146917343139648</v>
      </c>
      <c r="V39" s="89">
        <v>15.585004806518549</v>
      </c>
      <c r="W39" s="89">
        <v>15.418770790100099</v>
      </c>
      <c r="X39" s="89">
        <v>15.561038970947269</v>
      </c>
      <c r="Y39" s="89">
        <v>15.645772933959959</v>
      </c>
      <c r="Z39" s="89">
        <v>15.077798843383791</v>
      </c>
      <c r="AA39" s="89">
        <v>15.301357269287109</v>
      </c>
      <c r="AB39" s="89">
        <v>15.19782638549805</v>
      </c>
      <c r="AC39" s="89">
        <v>15.92045974731445</v>
      </c>
      <c r="AD39" s="89">
        <v>15.84433174133301</v>
      </c>
      <c r="AE39" s="89">
        <v>15.881197929382321</v>
      </c>
      <c r="AF39" s="89">
        <v>15.21904277801514</v>
      </c>
      <c r="AG39" s="89">
        <v>18.74416542053223</v>
      </c>
    </row>
    <row r="40" spans="1:33" x14ac:dyDescent="0.25">
      <c r="A40" s="87" t="s">
        <v>96</v>
      </c>
      <c r="B40" s="87" t="s">
        <v>135</v>
      </c>
      <c r="C40" s="87" t="s">
        <v>152</v>
      </c>
      <c r="D40" s="87" t="s">
        <v>92</v>
      </c>
      <c r="E40" s="87" t="s">
        <v>105</v>
      </c>
      <c r="F40" s="87">
        <v>54.996665954589837</v>
      </c>
      <c r="G40" s="87">
        <v>43.017318725585938</v>
      </c>
      <c r="H40" s="87">
        <v>43.002937316894531</v>
      </c>
      <c r="I40" s="87">
        <v>44.908866882324219</v>
      </c>
      <c r="J40" s="87">
        <v>42.578460693359382</v>
      </c>
      <c r="K40" s="87">
        <v>39.85546875</v>
      </c>
      <c r="L40" s="87">
        <v>36.575550079345703</v>
      </c>
      <c r="M40" s="87">
        <v>32.910877227783203</v>
      </c>
      <c r="N40" s="87">
        <v>30.471902847290039</v>
      </c>
      <c r="O40" s="87">
        <v>28.118898391723629</v>
      </c>
      <c r="P40" s="87">
        <v>24.138519287109379</v>
      </c>
      <c r="Q40" s="87">
        <v>21.50399017333984</v>
      </c>
      <c r="R40" s="87">
        <v>19.954195022583011</v>
      </c>
      <c r="S40" s="87">
        <v>19.294094085693359</v>
      </c>
      <c r="T40" s="87">
        <v>18.622396469116211</v>
      </c>
      <c r="U40" s="87">
        <v>18.21979904174805</v>
      </c>
      <c r="V40" s="87">
        <v>17.824811935424801</v>
      </c>
      <c r="W40" s="87">
        <v>17.90773963928223</v>
      </c>
      <c r="X40" s="87">
        <v>18.157001495361332</v>
      </c>
      <c r="Y40" s="87">
        <v>18.235128402709961</v>
      </c>
      <c r="Z40" s="87">
        <v>17.658073425292969</v>
      </c>
      <c r="AA40" s="87">
        <v>17.93757438659668</v>
      </c>
      <c r="AB40" s="87">
        <v>17.976764678955082</v>
      </c>
      <c r="AC40" s="87">
        <v>18.895357131958011</v>
      </c>
      <c r="AD40" s="87">
        <v>19.015775680541989</v>
      </c>
      <c r="AE40" s="87">
        <v>19.098007202148441</v>
      </c>
      <c r="AF40" s="87">
        <v>18.4912223815918</v>
      </c>
      <c r="AG40" s="87">
        <v>21.585844039916989</v>
      </c>
    </row>
    <row r="41" spans="1:33" x14ac:dyDescent="0.25">
      <c r="A41" s="87" t="s">
        <v>96</v>
      </c>
      <c r="B41" s="87" t="s">
        <v>135</v>
      </c>
      <c r="C41" s="87" t="s">
        <v>153</v>
      </c>
      <c r="D41" s="87" t="s">
        <v>92</v>
      </c>
      <c r="E41" s="87" t="s">
        <v>109</v>
      </c>
      <c r="F41" s="89">
        <v>63.495990753173828</v>
      </c>
      <c r="G41" s="89">
        <v>46.966960906982422</v>
      </c>
      <c r="H41" s="89">
        <v>45.95538330078125</v>
      </c>
      <c r="I41" s="89">
        <v>47.513816833496087</v>
      </c>
      <c r="J41" s="89">
        <v>45.058925628662109</v>
      </c>
      <c r="K41" s="89">
        <v>42.212570190429688</v>
      </c>
      <c r="L41" s="89">
        <v>38.692230224609382</v>
      </c>
      <c r="M41" s="89">
        <v>34.938892364501953</v>
      </c>
      <c r="N41" s="89">
        <v>32.461780548095703</v>
      </c>
      <c r="O41" s="89">
        <v>30.03068733215332</v>
      </c>
      <c r="P41" s="89">
        <v>26.082273483276371</v>
      </c>
      <c r="Q41" s="89">
        <v>23.454641342163089</v>
      </c>
      <c r="R41" s="89">
        <v>21.980720520019531</v>
      </c>
      <c r="S41" s="89">
        <v>21.265115737915039</v>
      </c>
      <c r="T41" s="89">
        <v>20.581012725830082</v>
      </c>
      <c r="U41" s="89">
        <v>20.11685943603516</v>
      </c>
      <c r="V41" s="89">
        <v>19.711093902587891</v>
      </c>
      <c r="W41" s="89">
        <v>19.84712028503418</v>
      </c>
      <c r="X41" s="89">
        <v>20.120059967041019</v>
      </c>
      <c r="Y41" s="89">
        <v>20.184429168701168</v>
      </c>
      <c r="Z41" s="89">
        <v>19.604621887207031</v>
      </c>
      <c r="AA41" s="89">
        <v>19.883413314819339</v>
      </c>
      <c r="AB41" s="89">
        <v>19.95457649230957</v>
      </c>
      <c r="AC41" s="89">
        <v>20.849344253540039</v>
      </c>
      <c r="AD41" s="89">
        <v>20.970249176025391</v>
      </c>
      <c r="AE41" s="89">
        <v>21.077169418334961</v>
      </c>
      <c r="AF41" s="89">
        <v>20.52729606628418</v>
      </c>
      <c r="AG41" s="89">
        <v>23.445514678955082</v>
      </c>
    </row>
    <row r="42" spans="1:33" x14ac:dyDescent="0.25">
      <c r="A42" s="87" t="s">
        <v>96</v>
      </c>
      <c r="B42" s="87" t="s">
        <v>135</v>
      </c>
      <c r="C42" s="87" t="s">
        <v>154</v>
      </c>
      <c r="D42" s="87" t="s">
        <v>92</v>
      </c>
      <c r="E42" s="87" t="s">
        <v>111</v>
      </c>
      <c r="F42" s="89">
        <v>63.495990753173828</v>
      </c>
      <c r="G42" s="89">
        <v>46.966960906982422</v>
      </c>
      <c r="H42" s="89">
        <v>45.95538330078125</v>
      </c>
      <c r="I42" s="89">
        <v>47.513816833496087</v>
      </c>
      <c r="J42" s="89">
        <v>45.058925628662109</v>
      </c>
      <c r="K42" s="89">
        <v>42.212570190429688</v>
      </c>
      <c r="L42" s="89">
        <v>38.692230224609382</v>
      </c>
      <c r="M42" s="89">
        <v>34.938892364501953</v>
      </c>
      <c r="N42" s="89">
        <v>32.461780548095703</v>
      </c>
      <c r="O42" s="89">
        <v>30.03068733215332</v>
      </c>
      <c r="P42" s="89">
        <v>26.082273483276371</v>
      </c>
      <c r="Q42" s="89">
        <v>23.454641342163089</v>
      </c>
      <c r="R42" s="89">
        <v>21.980720520019531</v>
      </c>
      <c r="S42" s="89">
        <v>21.265115737915039</v>
      </c>
      <c r="T42" s="89">
        <v>20.581012725830082</v>
      </c>
      <c r="U42" s="89">
        <v>20.11685943603516</v>
      </c>
      <c r="V42" s="89">
        <v>19.711093902587891</v>
      </c>
      <c r="W42" s="89">
        <v>19.84712028503418</v>
      </c>
      <c r="X42" s="89">
        <v>20.120059967041019</v>
      </c>
      <c r="Y42" s="89">
        <v>20.184429168701168</v>
      </c>
      <c r="Z42" s="89">
        <v>19.604621887207031</v>
      </c>
      <c r="AA42" s="89">
        <v>19.883413314819339</v>
      </c>
      <c r="AB42" s="89">
        <v>19.954574584960941</v>
      </c>
      <c r="AC42" s="89">
        <v>20.849344253540039</v>
      </c>
      <c r="AD42" s="89">
        <v>20.970249176025391</v>
      </c>
      <c r="AE42" s="89">
        <v>21.077169418334961</v>
      </c>
      <c r="AF42" s="89">
        <v>20.52729606628418</v>
      </c>
      <c r="AG42" s="89">
        <v>23.445514678955082</v>
      </c>
    </row>
    <row r="43" spans="1:33" x14ac:dyDescent="0.25">
      <c r="A43" s="87" t="s">
        <v>96</v>
      </c>
      <c r="B43" s="87" t="s">
        <v>135</v>
      </c>
      <c r="C43" s="87" t="s">
        <v>155</v>
      </c>
      <c r="D43" s="87" t="s">
        <v>92</v>
      </c>
      <c r="E43" s="87" t="s">
        <v>114</v>
      </c>
      <c r="F43" s="89">
        <v>63.516193389892578</v>
      </c>
      <c r="G43" s="89">
        <v>47.905361175537109</v>
      </c>
      <c r="H43" s="89">
        <v>46.428630828857422</v>
      </c>
      <c r="I43" s="89">
        <v>47.513816833496087</v>
      </c>
      <c r="J43" s="89">
        <v>45.058925628662109</v>
      </c>
      <c r="K43" s="89">
        <v>42.212570190429688</v>
      </c>
      <c r="L43" s="89">
        <v>38.692230224609382</v>
      </c>
      <c r="M43" s="89">
        <v>34.938892364501953</v>
      </c>
      <c r="N43" s="89">
        <v>32.461780548095703</v>
      </c>
      <c r="O43" s="89">
        <v>30.03068733215332</v>
      </c>
      <c r="P43" s="89">
        <v>26.082273483276371</v>
      </c>
      <c r="Q43" s="89">
        <v>23.454641342163089</v>
      </c>
      <c r="R43" s="89">
        <v>21.980720520019531</v>
      </c>
      <c r="S43" s="89">
        <v>21.265115737915039</v>
      </c>
      <c r="T43" s="89">
        <v>20.581012725830082</v>
      </c>
      <c r="U43" s="89">
        <v>20.11685943603516</v>
      </c>
      <c r="V43" s="89">
        <v>19.711093902587891</v>
      </c>
      <c r="W43" s="89">
        <v>19.84712028503418</v>
      </c>
      <c r="X43" s="89">
        <v>20.120059967041019</v>
      </c>
      <c r="Y43" s="89">
        <v>20.184429168701168</v>
      </c>
      <c r="Z43" s="89">
        <v>19.604621887207031</v>
      </c>
      <c r="AA43" s="89">
        <v>19.883413314819339</v>
      </c>
      <c r="AB43" s="89">
        <v>19.954574584960941</v>
      </c>
      <c r="AC43" s="89">
        <v>20.84694671630859</v>
      </c>
      <c r="AD43" s="89">
        <v>20.964179992675781</v>
      </c>
      <c r="AE43" s="89">
        <v>21.06367111206055</v>
      </c>
      <c r="AF43" s="89">
        <v>20.484991073608398</v>
      </c>
      <c r="AG43" s="89">
        <v>23.359676361083981</v>
      </c>
    </row>
    <row r="44" spans="1:33" x14ac:dyDescent="0.25">
      <c r="A44" s="87" t="s">
        <v>96</v>
      </c>
      <c r="B44" s="87" t="s">
        <v>135</v>
      </c>
      <c r="C44" s="87" t="s">
        <v>156</v>
      </c>
      <c r="D44" s="87" t="s">
        <v>92</v>
      </c>
      <c r="E44" s="87" t="s">
        <v>117</v>
      </c>
      <c r="F44" s="89">
        <v>63.516193389892578</v>
      </c>
      <c r="G44" s="89">
        <v>47.905361175537109</v>
      </c>
      <c r="H44" s="89">
        <v>46.428630828857422</v>
      </c>
      <c r="I44" s="89">
        <v>47.513816833496087</v>
      </c>
      <c r="J44" s="89">
        <v>45.058925628662109</v>
      </c>
      <c r="K44" s="89">
        <v>42.212570190429688</v>
      </c>
      <c r="L44" s="89">
        <v>38.692230224609382</v>
      </c>
      <c r="M44" s="89">
        <v>34.938892364501953</v>
      </c>
      <c r="N44" s="89">
        <v>32.461780548095703</v>
      </c>
      <c r="O44" s="89">
        <v>30.03068733215332</v>
      </c>
      <c r="P44" s="89">
        <v>26.082273483276371</v>
      </c>
      <c r="Q44" s="89">
        <v>23.454641342163089</v>
      </c>
      <c r="R44" s="89">
        <v>21.980720520019531</v>
      </c>
      <c r="S44" s="89">
        <v>21.265115737915039</v>
      </c>
      <c r="T44" s="89">
        <v>20.581012725830082</v>
      </c>
      <c r="U44" s="89">
        <v>20.11685943603516</v>
      </c>
      <c r="V44" s="89">
        <v>19.711093902587891</v>
      </c>
      <c r="W44" s="89">
        <v>19.84712028503418</v>
      </c>
      <c r="X44" s="89">
        <v>20.120059967041019</v>
      </c>
      <c r="Y44" s="89">
        <v>20.184429168701168</v>
      </c>
      <c r="Z44" s="89">
        <v>19.604621887207031</v>
      </c>
      <c r="AA44" s="89">
        <v>19.883413314819339</v>
      </c>
      <c r="AB44" s="89">
        <v>19.95457649230957</v>
      </c>
      <c r="AC44" s="89">
        <v>20.84694671630859</v>
      </c>
      <c r="AD44" s="89">
        <v>20.964179992675781</v>
      </c>
      <c r="AE44" s="89">
        <v>21.06367111206055</v>
      </c>
      <c r="AF44" s="89">
        <v>20.484991073608398</v>
      </c>
      <c r="AG44" s="89">
        <v>23.359676361083981</v>
      </c>
    </row>
    <row r="45" spans="1:33" x14ac:dyDescent="0.25">
      <c r="A45" s="87" t="s">
        <v>96</v>
      </c>
      <c r="B45" s="87" t="s">
        <v>135</v>
      </c>
      <c r="C45" s="87" t="s">
        <v>157</v>
      </c>
      <c r="D45" s="87" t="s">
        <v>92</v>
      </c>
      <c r="E45" s="87" t="s">
        <v>120</v>
      </c>
      <c r="F45" s="89">
        <v>65.638046264648438</v>
      </c>
      <c r="G45" s="89">
        <v>49.277286529541023</v>
      </c>
      <c r="H45" s="89">
        <v>46.92694091796875</v>
      </c>
      <c r="I45" s="89">
        <v>48.065967559814453</v>
      </c>
      <c r="J45" s="89">
        <v>45.672573089599609</v>
      </c>
      <c r="K45" s="89">
        <v>42.856716156005859</v>
      </c>
      <c r="L45" s="89">
        <v>39.214466094970703</v>
      </c>
      <c r="M45" s="89">
        <v>35.160755157470703</v>
      </c>
      <c r="N45" s="89">
        <v>32.383373260498047</v>
      </c>
      <c r="O45" s="89">
        <v>29.677995681762699</v>
      </c>
      <c r="P45" s="89">
        <v>25.662361145019531</v>
      </c>
      <c r="Q45" s="89">
        <v>22.782905578613281</v>
      </c>
      <c r="R45" s="89">
        <v>21.073122024536129</v>
      </c>
      <c r="S45" s="89">
        <v>20.17500114440918</v>
      </c>
      <c r="T45" s="89">
        <v>19.345636367797852</v>
      </c>
      <c r="U45" s="89">
        <v>18.714254379272461</v>
      </c>
      <c r="V45" s="89">
        <v>18.234376907348629</v>
      </c>
      <c r="W45" s="89">
        <v>18.2606201171875</v>
      </c>
      <c r="X45" s="89">
        <v>18.392404556274411</v>
      </c>
      <c r="Y45" s="89">
        <v>18.276950836181641</v>
      </c>
      <c r="Z45" s="89">
        <v>17.628900527954102</v>
      </c>
      <c r="AA45" s="89">
        <v>17.602817535400391</v>
      </c>
      <c r="AB45" s="89">
        <v>17.54658126831055</v>
      </c>
      <c r="AC45" s="89">
        <v>18.056550979614261</v>
      </c>
      <c r="AD45" s="89">
        <v>18.031490325927731</v>
      </c>
      <c r="AE45" s="89">
        <v>17.94771766662598</v>
      </c>
      <c r="AF45" s="89">
        <v>17.491987228393551</v>
      </c>
      <c r="AG45" s="89">
        <v>19.210317611694339</v>
      </c>
    </row>
    <row r="46" spans="1:33" x14ac:dyDescent="0.25">
      <c r="A46" s="87" t="s">
        <v>96</v>
      </c>
      <c r="B46" s="87" t="s">
        <v>135</v>
      </c>
      <c r="C46" s="87" t="s">
        <v>158</v>
      </c>
      <c r="D46" s="87" t="s">
        <v>103</v>
      </c>
      <c r="E46" s="87" t="s">
        <v>88</v>
      </c>
      <c r="F46" s="87">
        <v>56.566352844238281</v>
      </c>
      <c r="G46" s="87">
        <v>43.198337554931641</v>
      </c>
      <c r="H46" s="87">
        <v>40.308364868164063</v>
      </c>
      <c r="I46" s="87">
        <v>45.213382720947273</v>
      </c>
      <c r="J46" s="87">
        <v>44.436168670654297</v>
      </c>
      <c r="K46" s="87">
        <v>42.142406463623047</v>
      </c>
      <c r="L46" s="87">
        <v>39.712566375732422</v>
      </c>
      <c r="M46" s="87">
        <v>36.926197052001953</v>
      </c>
      <c r="N46" s="87">
        <v>35.487483978271477</v>
      </c>
      <c r="O46" s="87">
        <v>34.524288177490227</v>
      </c>
      <c r="P46" s="87">
        <v>32.427688598632813</v>
      </c>
      <c r="Q46" s="87">
        <v>31.181858062744141</v>
      </c>
      <c r="R46" s="87">
        <v>30.77558517456055</v>
      </c>
      <c r="S46" s="87">
        <v>30.783254623413089</v>
      </c>
      <c r="T46" s="87">
        <v>30.72513580322266</v>
      </c>
      <c r="U46" s="87">
        <v>31.149965286254879</v>
      </c>
      <c r="V46" s="87">
        <v>31.57522010803223</v>
      </c>
      <c r="W46" s="87">
        <v>30.905729293823239</v>
      </c>
      <c r="X46" s="87">
        <v>31.737688064575199</v>
      </c>
      <c r="Y46" s="87">
        <v>32.214000701904297</v>
      </c>
      <c r="Z46" s="87">
        <v>31.86403846740723</v>
      </c>
      <c r="AA46" s="87">
        <v>32.243114471435547</v>
      </c>
      <c r="AB46" s="87">
        <v>32.948760986328132</v>
      </c>
      <c r="AC46" s="87">
        <v>34.230506896972663</v>
      </c>
      <c r="AD46" s="87">
        <v>35.286754608154297</v>
      </c>
      <c r="AE46" s="87">
        <v>35.676982879638672</v>
      </c>
      <c r="AF46" s="87">
        <v>35.75872802734375</v>
      </c>
      <c r="AG46" s="87">
        <v>40.925613403320313</v>
      </c>
    </row>
    <row r="47" spans="1:33" x14ac:dyDescent="0.25">
      <c r="A47" s="87" t="s">
        <v>96</v>
      </c>
      <c r="B47" s="87" t="s">
        <v>135</v>
      </c>
      <c r="C47" s="87" t="s">
        <v>159</v>
      </c>
      <c r="D47" s="87" t="s">
        <v>103</v>
      </c>
      <c r="E47" s="87" t="s">
        <v>90</v>
      </c>
      <c r="F47" s="89">
        <v>56.323200225830078</v>
      </c>
      <c r="G47" s="89">
        <v>42.975135803222663</v>
      </c>
      <c r="H47" s="89">
        <v>40.301479339599609</v>
      </c>
      <c r="I47" s="89">
        <v>45.329826354980469</v>
      </c>
      <c r="J47" s="89">
        <v>44.525047302246087</v>
      </c>
      <c r="K47" s="89">
        <v>42.264705657958977</v>
      </c>
      <c r="L47" s="89">
        <v>39.804470062255859</v>
      </c>
      <c r="M47" s="89">
        <v>37.080478668212891</v>
      </c>
      <c r="N47" s="89">
        <v>35.649051666259773</v>
      </c>
      <c r="O47" s="89">
        <v>34.76617431640625</v>
      </c>
      <c r="P47" s="89">
        <v>32.741428375244141</v>
      </c>
      <c r="Q47" s="89">
        <v>31.611991882324219</v>
      </c>
      <c r="R47" s="89">
        <v>31.288690567016602</v>
      </c>
      <c r="S47" s="89">
        <v>31.344802856445309</v>
      </c>
      <c r="T47" s="89">
        <v>31.371650695800781</v>
      </c>
      <c r="U47" s="89">
        <v>31.86886024475098</v>
      </c>
      <c r="V47" s="89">
        <v>32.333602905273438</v>
      </c>
      <c r="W47" s="89">
        <v>31.69876861572266</v>
      </c>
      <c r="X47" s="89">
        <v>32.590896606445313</v>
      </c>
      <c r="Y47" s="89">
        <v>33.090385437011719</v>
      </c>
      <c r="Z47" s="89">
        <v>32.824642181396477</v>
      </c>
      <c r="AA47" s="89">
        <v>33.225936889648438</v>
      </c>
      <c r="AB47" s="89">
        <v>33.94757080078125</v>
      </c>
      <c r="AC47" s="89">
        <v>35.270092010498047</v>
      </c>
      <c r="AD47" s="89">
        <v>36.300556182861328</v>
      </c>
      <c r="AE47" s="89">
        <v>36.759166717529297</v>
      </c>
      <c r="AF47" s="89">
        <v>36.982223510742188</v>
      </c>
      <c r="AG47" s="89">
        <v>42.022396087646477</v>
      </c>
    </row>
    <row r="48" spans="1:33" x14ac:dyDescent="0.25">
      <c r="A48" s="87" t="s">
        <v>96</v>
      </c>
      <c r="B48" s="87" t="s">
        <v>135</v>
      </c>
      <c r="C48" s="87" t="s">
        <v>160</v>
      </c>
      <c r="D48" s="87" t="s">
        <v>103</v>
      </c>
      <c r="E48" s="87" t="s">
        <v>94</v>
      </c>
      <c r="F48" s="89">
        <v>50.840183258056641</v>
      </c>
      <c r="G48" s="89">
        <v>39.299594879150391</v>
      </c>
      <c r="H48" s="89">
        <v>40.505058288574219</v>
      </c>
      <c r="I48" s="89">
        <v>45.400455474853523</v>
      </c>
      <c r="J48" s="89">
        <v>44.514656066894531</v>
      </c>
      <c r="K48" s="89">
        <v>42.24102783203125</v>
      </c>
      <c r="L48" s="89">
        <v>39.641017913818359</v>
      </c>
      <c r="M48" s="89">
        <v>36.738544464111328</v>
      </c>
      <c r="N48" s="89">
        <v>35.224098205566413</v>
      </c>
      <c r="O48" s="89">
        <v>34.389801025390632</v>
      </c>
      <c r="P48" s="89">
        <v>32.400825500488281</v>
      </c>
      <c r="Q48" s="89">
        <v>31.2353515625</v>
      </c>
      <c r="R48" s="89">
        <v>30.85847091674805</v>
      </c>
      <c r="S48" s="89">
        <v>30.83999061584473</v>
      </c>
      <c r="T48" s="89">
        <v>30.681026458740231</v>
      </c>
      <c r="U48" s="89">
        <v>31.0847053527832</v>
      </c>
      <c r="V48" s="89">
        <v>31.50527381896973</v>
      </c>
      <c r="W48" s="89">
        <v>31.81633377075195</v>
      </c>
      <c r="X48" s="89">
        <v>32.677398681640632</v>
      </c>
      <c r="Y48" s="89">
        <v>33.176074981689453</v>
      </c>
      <c r="Z48" s="89">
        <v>32.941257476806641</v>
      </c>
      <c r="AA48" s="89">
        <v>33.443931579589837</v>
      </c>
      <c r="AB48" s="89">
        <v>34.071529388427727</v>
      </c>
      <c r="AC48" s="89">
        <v>35.537921905517578</v>
      </c>
      <c r="AD48" s="89">
        <v>37.057567596435547</v>
      </c>
      <c r="AE48" s="89">
        <v>37.429431915283203</v>
      </c>
      <c r="AF48" s="89">
        <v>37.817764282226563</v>
      </c>
      <c r="AG48" s="89">
        <v>43.090309143066413</v>
      </c>
    </row>
    <row r="49" spans="1:33" x14ac:dyDescent="0.25">
      <c r="A49" s="87" t="s">
        <v>96</v>
      </c>
      <c r="B49" s="87" t="s">
        <v>135</v>
      </c>
      <c r="C49" s="87" t="s">
        <v>161</v>
      </c>
      <c r="D49" s="87" t="s">
        <v>103</v>
      </c>
      <c r="E49" s="87" t="s">
        <v>98</v>
      </c>
      <c r="F49" s="89">
        <v>49.816917419433587</v>
      </c>
      <c r="G49" s="89">
        <v>38.73419189453125</v>
      </c>
      <c r="H49" s="89">
        <v>39.913700103759773</v>
      </c>
      <c r="I49" s="89">
        <v>44.889595031738281</v>
      </c>
      <c r="J49" s="89">
        <v>44.017902374267578</v>
      </c>
      <c r="K49" s="89">
        <v>41.754539489746087</v>
      </c>
      <c r="L49" s="89">
        <v>39.150386810302727</v>
      </c>
      <c r="M49" s="89">
        <v>36.280609130859382</v>
      </c>
      <c r="N49" s="89">
        <v>34.809253692626953</v>
      </c>
      <c r="O49" s="89">
        <v>33.987548828125</v>
      </c>
      <c r="P49" s="89">
        <v>31.975494384765629</v>
      </c>
      <c r="Q49" s="89">
        <v>30.85546875</v>
      </c>
      <c r="R49" s="89">
        <v>30.550252914428711</v>
      </c>
      <c r="S49" s="89">
        <v>30.58942794799805</v>
      </c>
      <c r="T49" s="89">
        <v>30.387948989868161</v>
      </c>
      <c r="U49" s="89">
        <v>30.84711837768555</v>
      </c>
      <c r="V49" s="89">
        <v>31.198675155639648</v>
      </c>
      <c r="W49" s="89">
        <v>31.54227256774902</v>
      </c>
      <c r="X49" s="89">
        <v>32.344703674316413</v>
      </c>
      <c r="Y49" s="89">
        <v>32.8358154296875</v>
      </c>
      <c r="Z49" s="89">
        <v>32.47747802734375</v>
      </c>
      <c r="AA49" s="89">
        <v>32.979637145996087</v>
      </c>
      <c r="AB49" s="89">
        <v>33.556522369384773</v>
      </c>
      <c r="AC49" s="89">
        <v>34.97747802734375</v>
      </c>
      <c r="AD49" s="89">
        <v>36.402084350585938</v>
      </c>
      <c r="AE49" s="89">
        <v>36.803768157958977</v>
      </c>
      <c r="AF49" s="89">
        <v>37.064010620117188</v>
      </c>
      <c r="AG49" s="89">
        <v>42.352794647216797</v>
      </c>
    </row>
    <row r="50" spans="1:33" x14ac:dyDescent="0.25">
      <c r="A50" s="87" t="s">
        <v>96</v>
      </c>
      <c r="B50" s="87" t="s">
        <v>135</v>
      </c>
      <c r="C50" s="87" t="s">
        <v>162</v>
      </c>
      <c r="D50" s="87" t="s">
        <v>103</v>
      </c>
      <c r="E50" s="87" t="s">
        <v>101</v>
      </c>
      <c r="F50" s="89">
        <v>49.816917419433587</v>
      </c>
      <c r="G50" s="89">
        <v>38.73419189453125</v>
      </c>
      <c r="H50" s="89">
        <v>39.913700103759773</v>
      </c>
      <c r="I50" s="89">
        <v>44.889595031738281</v>
      </c>
      <c r="J50" s="89">
        <v>44.017902374267578</v>
      </c>
      <c r="K50" s="89">
        <v>41.754539489746087</v>
      </c>
      <c r="L50" s="89">
        <v>39.150386810302727</v>
      </c>
      <c r="M50" s="89">
        <v>36.280609130859382</v>
      </c>
      <c r="N50" s="89">
        <v>34.809253692626953</v>
      </c>
      <c r="O50" s="89">
        <v>33.987548828125</v>
      </c>
      <c r="P50" s="89">
        <v>31.975494384765629</v>
      </c>
      <c r="Q50" s="89">
        <v>30.85546875</v>
      </c>
      <c r="R50" s="89">
        <v>30.550252914428711</v>
      </c>
      <c r="S50" s="89">
        <v>30.58942794799805</v>
      </c>
      <c r="T50" s="89">
        <v>30.387948989868161</v>
      </c>
      <c r="U50" s="89">
        <v>30.84711837768555</v>
      </c>
      <c r="V50" s="89">
        <v>31.198675155639648</v>
      </c>
      <c r="W50" s="89">
        <v>31.54227256774902</v>
      </c>
      <c r="X50" s="89">
        <v>32.344703674316413</v>
      </c>
      <c r="Y50" s="89">
        <v>32.8358154296875</v>
      </c>
      <c r="Z50" s="89">
        <v>32.47747802734375</v>
      </c>
      <c r="AA50" s="89">
        <v>32.979637145996087</v>
      </c>
      <c r="AB50" s="89">
        <v>33.556522369384773</v>
      </c>
      <c r="AC50" s="89">
        <v>34.97747802734375</v>
      </c>
      <c r="AD50" s="89">
        <v>36.402084350585938</v>
      </c>
      <c r="AE50" s="89">
        <v>36.803768157958977</v>
      </c>
      <c r="AF50" s="89">
        <v>37.064010620117188</v>
      </c>
      <c r="AG50" s="89">
        <v>42.352794647216797</v>
      </c>
    </row>
    <row r="51" spans="1:33" x14ac:dyDescent="0.25">
      <c r="A51" s="87" t="s">
        <v>96</v>
      </c>
      <c r="B51" s="87" t="s">
        <v>135</v>
      </c>
      <c r="C51" s="87" t="s">
        <v>163</v>
      </c>
      <c r="D51" s="87" t="s">
        <v>103</v>
      </c>
      <c r="E51" s="87" t="s">
        <v>105</v>
      </c>
      <c r="F51" s="89">
        <v>59.743293762207031</v>
      </c>
      <c r="G51" s="89">
        <v>44.402114868164063</v>
      </c>
      <c r="H51" s="89">
        <v>43.95452880859375</v>
      </c>
      <c r="I51" s="89">
        <v>45.826389312744141</v>
      </c>
      <c r="J51" s="89">
        <v>44.422256469726563</v>
      </c>
      <c r="K51" s="89">
        <v>42.223720550537109</v>
      </c>
      <c r="L51" s="89">
        <v>39.488571166992188</v>
      </c>
      <c r="M51" s="89">
        <v>36.538913726806641</v>
      </c>
      <c r="N51" s="89">
        <v>35.1402587890625</v>
      </c>
      <c r="O51" s="89">
        <v>34.456924438476563</v>
      </c>
      <c r="P51" s="89">
        <v>32.641574859619141</v>
      </c>
      <c r="Q51" s="89">
        <v>31.66080284118652</v>
      </c>
      <c r="R51" s="89">
        <v>31.56137847900391</v>
      </c>
      <c r="S51" s="89">
        <v>31.55898284912109</v>
      </c>
      <c r="T51" s="89">
        <v>31.463302612304691</v>
      </c>
      <c r="U51" s="89">
        <v>31.928268432617191</v>
      </c>
      <c r="V51" s="89">
        <v>32.369590759277337</v>
      </c>
      <c r="W51" s="89">
        <v>32.953163146972663</v>
      </c>
      <c r="X51" s="89">
        <v>33.855186462402337</v>
      </c>
      <c r="Y51" s="89">
        <v>34.325576782226563</v>
      </c>
      <c r="Z51" s="89">
        <v>34.027179718017578</v>
      </c>
      <c r="AA51" s="89">
        <v>34.604999542236328</v>
      </c>
      <c r="AB51" s="89">
        <v>35.286796569824219</v>
      </c>
      <c r="AC51" s="89">
        <v>36.765220642089837</v>
      </c>
      <c r="AD51" s="89">
        <v>38.373233795166023</v>
      </c>
      <c r="AE51" s="89">
        <v>38.7869873046875</v>
      </c>
      <c r="AF51" s="89">
        <v>39.145755767822273</v>
      </c>
      <c r="AG51" s="89">
        <v>43.937297821044922</v>
      </c>
    </row>
    <row r="52" spans="1:33" x14ac:dyDescent="0.25">
      <c r="A52" s="87" t="s">
        <v>96</v>
      </c>
      <c r="B52" s="87" t="s">
        <v>135</v>
      </c>
      <c r="C52" s="87" t="s">
        <v>164</v>
      </c>
      <c r="D52" s="87" t="s">
        <v>103</v>
      </c>
      <c r="E52" s="87" t="s">
        <v>109</v>
      </c>
      <c r="F52" s="87">
        <v>67.096504211425781</v>
      </c>
      <c r="G52" s="87">
        <v>47.701492309570313</v>
      </c>
      <c r="H52" s="87">
        <v>46.728263854980469</v>
      </c>
      <c r="I52" s="87">
        <v>48.416606903076172</v>
      </c>
      <c r="J52" s="87">
        <v>46.818595886230469</v>
      </c>
      <c r="K52" s="87">
        <v>44.463180541992188</v>
      </c>
      <c r="L52" s="87">
        <v>41.469463348388672</v>
      </c>
      <c r="M52" s="87">
        <v>38.313091278076172</v>
      </c>
      <c r="N52" s="87">
        <v>36.835536956787109</v>
      </c>
      <c r="O52" s="87">
        <v>36.067523956298828</v>
      </c>
      <c r="P52" s="87">
        <v>34.213802337646477</v>
      </c>
      <c r="Q52" s="87">
        <v>33.205352783203132</v>
      </c>
      <c r="R52" s="87">
        <v>33.155979156494141</v>
      </c>
      <c r="S52" s="87">
        <v>33.058490753173828</v>
      </c>
      <c r="T52" s="87">
        <v>32.921249389648438</v>
      </c>
      <c r="U52" s="87">
        <v>33.321907043457031</v>
      </c>
      <c r="V52" s="87">
        <v>33.712028503417969</v>
      </c>
      <c r="W52" s="87">
        <v>34.352119445800781</v>
      </c>
      <c r="X52" s="87">
        <v>35.314937591552727</v>
      </c>
      <c r="Y52" s="87">
        <v>35.7564697265625</v>
      </c>
      <c r="Z52" s="87">
        <v>35.45654296875</v>
      </c>
      <c r="AA52" s="87">
        <v>35.981781005859382</v>
      </c>
      <c r="AB52" s="87">
        <v>36.672924041748047</v>
      </c>
      <c r="AC52" s="87">
        <v>38.091499328613281</v>
      </c>
      <c r="AD52" s="87">
        <v>39.712821960449219</v>
      </c>
      <c r="AE52" s="87">
        <v>40.115505218505859</v>
      </c>
      <c r="AF52" s="87">
        <v>40.491744995117188</v>
      </c>
      <c r="AG52" s="87">
        <v>45.104698181152337</v>
      </c>
    </row>
    <row r="53" spans="1:33" x14ac:dyDescent="0.25">
      <c r="A53" s="87" t="s">
        <v>96</v>
      </c>
      <c r="B53" s="87" t="s">
        <v>135</v>
      </c>
      <c r="C53" s="87" t="s">
        <v>165</v>
      </c>
      <c r="D53" s="87" t="s">
        <v>103</v>
      </c>
      <c r="E53" s="87" t="s">
        <v>111</v>
      </c>
      <c r="F53" s="89">
        <v>67.096504211425781</v>
      </c>
      <c r="G53" s="89">
        <v>47.701492309570313</v>
      </c>
      <c r="H53" s="89">
        <v>46.728263854980469</v>
      </c>
      <c r="I53" s="89">
        <v>48.416606903076172</v>
      </c>
      <c r="J53" s="89">
        <v>46.818595886230469</v>
      </c>
      <c r="K53" s="89">
        <v>44.463180541992188</v>
      </c>
      <c r="L53" s="89">
        <v>41.469463348388672</v>
      </c>
      <c r="M53" s="89">
        <v>38.313091278076172</v>
      </c>
      <c r="N53" s="89">
        <v>36.835536956787109</v>
      </c>
      <c r="O53" s="89">
        <v>36.067523956298828</v>
      </c>
      <c r="P53" s="89">
        <v>34.213802337646477</v>
      </c>
      <c r="Q53" s="89">
        <v>33.205352783203132</v>
      </c>
      <c r="R53" s="89">
        <v>33.155979156494141</v>
      </c>
      <c r="S53" s="89">
        <v>33.058490753173828</v>
      </c>
      <c r="T53" s="89">
        <v>32.921249389648438</v>
      </c>
      <c r="U53" s="89">
        <v>33.321907043457031</v>
      </c>
      <c r="V53" s="89">
        <v>33.712028503417969</v>
      </c>
      <c r="W53" s="89">
        <v>34.352119445800781</v>
      </c>
      <c r="X53" s="89">
        <v>35.314937591552727</v>
      </c>
      <c r="Y53" s="89">
        <v>35.7564697265625</v>
      </c>
      <c r="Z53" s="89">
        <v>35.45654296875</v>
      </c>
      <c r="AA53" s="89">
        <v>35.981781005859382</v>
      </c>
      <c r="AB53" s="89">
        <v>36.672924041748047</v>
      </c>
      <c r="AC53" s="89">
        <v>38.091499328613281</v>
      </c>
      <c r="AD53" s="89">
        <v>39.712821960449219</v>
      </c>
      <c r="AE53" s="89">
        <v>40.115505218505859</v>
      </c>
      <c r="AF53" s="89">
        <v>40.491744995117188</v>
      </c>
      <c r="AG53" s="89">
        <v>45.104698181152337</v>
      </c>
    </row>
    <row r="54" spans="1:33" x14ac:dyDescent="0.25">
      <c r="A54" s="87" t="s">
        <v>96</v>
      </c>
      <c r="B54" s="87" t="s">
        <v>135</v>
      </c>
      <c r="C54" s="87" t="s">
        <v>166</v>
      </c>
      <c r="D54" s="87" t="s">
        <v>103</v>
      </c>
      <c r="E54" s="87" t="s">
        <v>114</v>
      </c>
      <c r="F54" s="89">
        <v>67.102523803710938</v>
      </c>
      <c r="G54" s="89">
        <v>47.914417266845703</v>
      </c>
      <c r="H54" s="89">
        <v>46.822834014892578</v>
      </c>
      <c r="I54" s="89">
        <v>48.416606903076172</v>
      </c>
      <c r="J54" s="89">
        <v>46.818595886230469</v>
      </c>
      <c r="K54" s="89">
        <v>44.463180541992188</v>
      </c>
      <c r="L54" s="89">
        <v>41.469463348388672</v>
      </c>
      <c r="M54" s="89">
        <v>38.313091278076172</v>
      </c>
      <c r="N54" s="89">
        <v>36.835536956787109</v>
      </c>
      <c r="O54" s="89">
        <v>36.067523956298828</v>
      </c>
      <c r="P54" s="89">
        <v>34.213802337646477</v>
      </c>
      <c r="Q54" s="89">
        <v>33.205352783203132</v>
      </c>
      <c r="R54" s="89">
        <v>33.155979156494141</v>
      </c>
      <c r="S54" s="89">
        <v>33.058490753173828</v>
      </c>
      <c r="T54" s="89">
        <v>32.921249389648438</v>
      </c>
      <c r="U54" s="89">
        <v>33.321907043457031</v>
      </c>
      <c r="V54" s="89">
        <v>33.712028503417969</v>
      </c>
      <c r="W54" s="89">
        <v>34.352119445800781</v>
      </c>
      <c r="X54" s="89">
        <v>35.314937591552727</v>
      </c>
      <c r="Y54" s="89">
        <v>35.7564697265625</v>
      </c>
      <c r="Z54" s="89">
        <v>35.45654296875</v>
      </c>
      <c r="AA54" s="89">
        <v>35.969219207763672</v>
      </c>
      <c r="AB54" s="89">
        <v>36.672916412353523</v>
      </c>
      <c r="AC54" s="89">
        <v>38.086982727050781</v>
      </c>
      <c r="AD54" s="89">
        <v>39.671306610107422</v>
      </c>
      <c r="AE54" s="89">
        <v>40.012825012207031</v>
      </c>
      <c r="AF54" s="89">
        <v>40.205898284912109</v>
      </c>
      <c r="AG54" s="89">
        <v>44.639347076416023</v>
      </c>
    </row>
    <row r="55" spans="1:33" x14ac:dyDescent="0.25">
      <c r="A55" s="87" t="s">
        <v>96</v>
      </c>
      <c r="B55" s="87" t="s">
        <v>135</v>
      </c>
      <c r="C55" s="87" t="s">
        <v>167</v>
      </c>
      <c r="D55" s="87" t="s">
        <v>103</v>
      </c>
      <c r="E55" s="87" t="s">
        <v>117</v>
      </c>
      <c r="F55" s="89">
        <v>67.102523803710938</v>
      </c>
      <c r="G55" s="89">
        <v>47.914417266845703</v>
      </c>
      <c r="H55" s="89">
        <v>46.822834014892578</v>
      </c>
      <c r="I55" s="89">
        <v>48.416606903076172</v>
      </c>
      <c r="J55" s="89">
        <v>46.818595886230469</v>
      </c>
      <c r="K55" s="89">
        <v>44.463180541992188</v>
      </c>
      <c r="L55" s="89">
        <v>41.469463348388672</v>
      </c>
      <c r="M55" s="89">
        <v>38.313091278076172</v>
      </c>
      <c r="N55" s="89">
        <v>36.835536956787109</v>
      </c>
      <c r="O55" s="89">
        <v>36.067523956298828</v>
      </c>
      <c r="P55" s="89">
        <v>34.213802337646477</v>
      </c>
      <c r="Q55" s="89">
        <v>33.205352783203132</v>
      </c>
      <c r="R55" s="89">
        <v>33.155979156494141</v>
      </c>
      <c r="S55" s="89">
        <v>33.058490753173828</v>
      </c>
      <c r="T55" s="89">
        <v>32.921249389648438</v>
      </c>
      <c r="U55" s="89">
        <v>33.321907043457031</v>
      </c>
      <c r="V55" s="89">
        <v>33.712028503417969</v>
      </c>
      <c r="W55" s="89">
        <v>34.352119445800781</v>
      </c>
      <c r="X55" s="89">
        <v>35.314937591552727</v>
      </c>
      <c r="Y55" s="89">
        <v>35.7564697265625</v>
      </c>
      <c r="Z55" s="89">
        <v>35.45654296875</v>
      </c>
      <c r="AA55" s="89">
        <v>35.969219207763672</v>
      </c>
      <c r="AB55" s="89">
        <v>36.672916412353523</v>
      </c>
      <c r="AC55" s="89">
        <v>38.086982727050781</v>
      </c>
      <c r="AD55" s="89">
        <v>39.671306610107422</v>
      </c>
      <c r="AE55" s="89">
        <v>40.012825012207031</v>
      </c>
      <c r="AF55" s="89">
        <v>40.205898284912109</v>
      </c>
      <c r="AG55" s="89">
        <v>44.639347076416023</v>
      </c>
    </row>
    <row r="56" spans="1:33" x14ac:dyDescent="0.25">
      <c r="A56" s="87" t="s">
        <v>96</v>
      </c>
      <c r="B56" s="87" t="s">
        <v>135</v>
      </c>
      <c r="C56" s="87" t="s">
        <v>168</v>
      </c>
      <c r="D56" s="87" t="s">
        <v>103</v>
      </c>
      <c r="E56" s="87" t="s">
        <v>120</v>
      </c>
      <c r="F56" s="89">
        <v>70.228103637695313</v>
      </c>
      <c r="G56" s="89">
        <v>50.08197021484375</v>
      </c>
      <c r="H56" s="89">
        <v>47.27984619140625</v>
      </c>
      <c r="I56" s="89">
        <v>48.786983489990227</v>
      </c>
      <c r="J56" s="89">
        <v>47.275989532470703</v>
      </c>
      <c r="K56" s="89">
        <v>44.891181945800781</v>
      </c>
      <c r="L56" s="89">
        <v>41.808490753173828</v>
      </c>
      <c r="M56" s="89">
        <v>38.482856750488281</v>
      </c>
      <c r="N56" s="89">
        <v>36.755844116210938</v>
      </c>
      <c r="O56" s="89">
        <v>35.76422119140625</v>
      </c>
      <c r="P56" s="89">
        <v>33.700508117675781</v>
      </c>
      <c r="Q56" s="89">
        <v>32.208198547363281</v>
      </c>
      <c r="R56" s="89">
        <v>31.52925872802734</v>
      </c>
      <c r="S56" s="89">
        <v>30.544246673583981</v>
      </c>
      <c r="T56" s="89">
        <v>29.755510330200199</v>
      </c>
      <c r="U56" s="89">
        <v>29.47219085693359</v>
      </c>
      <c r="V56" s="89">
        <v>29.42461013793945</v>
      </c>
      <c r="W56" s="89">
        <v>29.55936431884766</v>
      </c>
      <c r="X56" s="89">
        <v>30.32890510559082</v>
      </c>
      <c r="Y56" s="89">
        <v>30.464765548706051</v>
      </c>
      <c r="Z56" s="89">
        <v>29.795587539672852</v>
      </c>
      <c r="AA56" s="89">
        <v>29.90322113037109</v>
      </c>
      <c r="AB56" s="89">
        <v>29.93405914306641</v>
      </c>
      <c r="AC56" s="89">
        <v>30.349664688110352</v>
      </c>
      <c r="AD56" s="89">
        <v>30.730161666870121</v>
      </c>
      <c r="AE56" s="89">
        <v>30.696559906005859</v>
      </c>
      <c r="AF56" s="89">
        <v>31.478145599365231</v>
      </c>
      <c r="AG56" s="89">
        <v>33.326103210449219</v>
      </c>
    </row>
    <row r="57" spans="1:33" x14ac:dyDescent="0.25">
      <c r="A57" s="87"/>
      <c r="B57" s="87"/>
      <c r="C57" s="87"/>
      <c r="D57" s="87"/>
      <c r="E57" s="87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</row>
    <row r="58" spans="1:33" x14ac:dyDescent="0.25">
      <c r="A58" s="23" t="s">
        <v>277</v>
      </c>
      <c r="B58" s="23" t="s">
        <v>131</v>
      </c>
      <c r="C58" s="23" t="s">
        <v>132</v>
      </c>
      <c r="D58" s="23" t="s">
        <v>133</v>
      </c>
      <c r="E58" s="23" t="s">
        <v>134</v>
      </c>
      <c r="F58" s="88">
        <v>2023</v>
      </c>
      <c r="G58" s="88">
        <v>2024</v>
      </c>
      <c r="H58" s="88">
        <v>2025</v>
      </c>
      <c r="I58" s="88">
        <v>2026</v>
      </c>
      <c r="J58" s="88">
        <v>2027</v>
      </c>
      <c r="K58" s="88">
        <v>2028</v>
      </c>
      <c r="L58" s="88">
        <v>2029</v>
      </c>
      <c r="M58" s="88">
        <v>2030</v>
      </c>
      <c r="N58" s="88">
        <v>2031</v>
      </c>
      <c r="O58" s="88">
        <v>2032</v>
      </c>
      <c r="P58" s="88">
        <v>2033</v>
      </c>
      <c r="Q58" s="88">
        <v>2034</v>
      </c>
      <c r="R58" s="88">
        <v>2035</v>
      </c>
      <c r="S58" s="88">
        <v>2036</v>
      </c>
      <c r="T58" s="88">
        <v>2037</v>
      </c>
      <c r="U58" s="88">
        <v>2038</v>
      </c>
      <c r="V58" s="88">
        <v>2039</v>
      </c>
      <c r="W58" s="88">
        <v>2040</v>
      </c>
      <c r="X58" s="88">
        <v>2041</v>
      </c>
      <c r="Y58" s="88">
        <v>2042</v>
      </c>
      <c r="Z58" s="88">
        <v>2043</v>
      </c>
      <c r="AA58" s="88">
        <v>2044</v>
      </c>
      <c r="AB58" s="88">
        <v>2045</v>
      </c>
      <c r="AC58" s="88">
        <v>2046</v>
      </c>
      <c r="AD58" s="88">
        <v>2047</v>
      </c>
      <c r="AE58" s="88">
        <v>2048</v>
      </c>
      <c r="AF58" s="88">
        <v>2049</v>
      </c>
      <c r="AG58" s="88">
        <v>2050</v>
      </c>
    </row>
    <row r="59" spans="1:33" x14ac:dyDescent="0.25">
      <c r="A59" s="23" t="s">
        <v>278</v>
      </c>
      <c r="B59" s="23" t="s">
        <v>169</v>
      </c>
      <c r="C59" s="23" t="s">
        <v>136</v>
      </c>
      <c r="D59" s="23" t="s">
        <v>5</v>
      </c>
      <c r="E59" s="23" t="s">
        <v>88</v>
      </c>
      <c r="F59" s="90">
        <v>10.541406450933867</v>
      </c>
      <c r="G59" s="90">
        <v>7.0987649674941062</v>
      </c>
      <c r="H59" s="90">
        <v>6.8318512349014586</v>
      </c>
      <c r="I59" s="90">
        <v>6.603779015058552</v>
      </c>
      <c r="J59" s="90">
        <v>6.2105406072806844</v>
      </c>
      <c r="K59" s="90">
        <v>5.7925478789478237</v>
      </c>
      <c r="L59" s="90">
        <v>5.4419384503703938</v>
      </c>
      <c r="M59" s="90">
        <v>5.0846071184170585</v>
      </c>
      <c r="N59" s="90">
        <v>4.7645476942520597</v>
      </c>
      <c r="O59" s="90">
        <v>4.3458473102332125</v>
      </c>
      <c r="P59" s="90">
        <v>3.9544104087605794</v>
      </c>
      <c r="Q59" s="90">
        <v>3.4643239676213167</v>
      </c>
      <c r="R59" s="90">
        <v>2.8373418560692256</v>
      </c>
      <c r="S59" s="90">
        <v>2.5849513444683496</v>
      </c>
      <c r="T59" s="90">
        <v>2.3085603535098627</v>
      </c>
      <c r="U59" s="90">
        <v>3.7914237493626803</v>
      </c>
      <c r="V59" s="90">
        <v>5.4974255314065674</v>
      </c>
      <c r="W59" s="90">
        <v>4.7344528032588711</v>
      </c>
      <c r="X59" s="90">
        <v>4.4599203236848464</v>
      </c>
      <c r="Y59" s="90">
        <v>4.5989373881994329</v>
      </c>
      <c r="Z59" s="90">
        <v>4.7744139605551146</v>
      </c>
      <c r="AA59" s="90">
        <v>5.8206979584239633</v>
      </c>
      <c r="AB59" s="90">
        <v>6.6941787398196668</v>
      </c>
      <c r="AC59" s="90">
        <v>7.0408103749516089</v>
      </c>
      <c r="AD59" s="90">
        <v>6.460663480396537</v>
      </c>
      <c r="AE59" s="90">
        <v>6.3471083907005923</v>
      </c>
      <c r="AF59" s="90">
        <v>6.2420295654397098</v>
      </c>
      <c r="AG59" s="90">
        <v>6.1502315907342897</v>
      </c>
    </row>
    <row r="60" spans="1:33" x14ac:dyDescent="0.25">
      <c r="A60" s="23" t="s">
        <v>278</v>
      </c>
      <c r="B60" s="23" t="s">
        <v>169</v>
      </c>
      <c r="C60" s="23" t="s">
        <v>137</v>
      </c>
      <c r="D60" s="23" t="s">
        <v>5</v>
      </c>
      <c r="E60" s="23" t="s">
        <v>90</v>
      </c>
      <c r="F60" s="90">
        <v>10.541406450933867</v>
      </c>
      <c r="G60" s="90">
        <v>7.0987649674941062</v>
      </c>
      <c r="H60" s="90">
        <v>6.8318512349014586</v>
      </c>
      <c r="I60" s="90">
        <v>6.603779015058552</v>
      </c>
      <c r="J60" s="90">
        <v>6.2105406072806844</v>
      </c>
      <c r="K60" s="90">
        <v>5.7925478789478237</v>
      </c>
      <c r="L60" s="90">
        <v>5.4419384503703938</v>
      </c>
      <c r="M60" s="90">
        <v>5.0846071184170585</v>
      </c>
      <c r="N60" s="90">
        <v>4.7645476942520597</v>
      </c>
      <c r="O60" s="90">
        <v>4.3458473102332125</v>
      </c>
      <c r="P60" s="90">
        <v>3.9544104087605794</v>
      </c>
      <c r="Q60" s="90">
        <v>3.4643239676213167</v>
      </c>
      <c r="R60" s="90">
        <v>2.8373418560692256</v>
      </c>
      <c r="S60" s="90">
        <v>2.5849513444683496</v>
      </c>
      <c r="T60" s="90">
        <v>2.3085603535098627</v>
      </c>
      <c r="U60" s="90">
        <v>3.7914237493626803</v>
      </c>
      <c r="V60" s="90">
        <v>5.4974255314065674</v>
      </c>
      <c r="W60" s="90">
        <v>4.7344528032588711</v>
      </c>
      <c r="X60" s="90">
        <v>4.4599203236848464</v>
      </c>
      <c r="Y60" s="90">
        <v>4.5989373881994329</v>
      </c>
      <c r="Z60" s="90">
        <v>4.7744139605551146</v>
      </c>
      <c r="AA60" s="90">
        <v>5.8206979584239633</v>
      </c>
      <c r="AB60" s="90">
        <v>6.6941787398196668</v>
      </c>
      <c r="AC60" s="90">
        <v>7.0408103749516089</v>
      </c>
      <c r="AD60" s="90">
        <v>6.460663480396537</v>
      </c>
      <c r="AE60" s="90">
        <v>6.3471083907005923</v>
      </c>
      <c r="AF60" s="90">
        <v>6.2420295654397098</v>
      </c>
      <c r="AG60" s="90">
        <v>6.1502315907342897</v>
      </c>
    </row>
    <row r="61" spans="1:33" x14ac:dyDescent="0.25">
      <c r="A61" s="23" t="s">
        <v>278</v>
      </c>
      <c r="B61" s="23" t="s">
        <v>169</v>
      </c>
      <c r="C61" s="23" t="s">
        <v>138</v>
      </c>
      <c r="D61" s="23" t="s">
        <v>5</v>
      </c>
      <c r="E61" s="23" t="s">
        <v>94</v>
      </c>
      <c r="F61" s="90">
        <v>10.541406450933867</v>
      </c>
      <c r="G61" s="90">
        <v>7.0987649674941062</v>
      </c>
      <c r="H61" s="90">
        <v>6.8318512349014586</v>
      </c>
      <c r="I61" s="90">
        <v>6.603779015058552</v>
      </c>
      <c r="J61" s="90">
        <v>6.2105406072806844</v>
      </c>
      <c r="K61" s="90">
        <v>5.7925478789478237</v>
      </c>
      <c r="L61" s="90">
        <v>5.4419384503703938</v>
      </c>
      <c r="M61" s="90">
        <v>5.0846071184170585</v>
      </c>
      <c r="N61" s="90">
        <v>4.7645476942520597</v>
      </c>
      <c r="O61" s="90">
        <v>4.3458473102332125</v>
      </c>
      <c r="P61" s="90">
        <v>3.9544104087605794</v>
      </c>
      <c r="Q61" s="90">
        <v>3.4643239676213167</v>
      </c>
      <c r="R61" s="90">
        <v>2.8373418560692256</v>
      </c>
      <c r="S61" s="90">
        <v>2.5849513444683496</v>
      </c>
      <c r="T61" s="90">
        <v>2.3085603535098627</v>
      </c>
      <c r="U61" s="90">
        <v>3.7914237493626803</v>
      </c>
      <c r="V61" s="90">
        <v>5.4974255314065674</v>
      </c>
      <c r="W61" s="90">
        <v>4.7344528032588711</v>
      </c>
      <c r="X61" s="90">
        <v>4.4599203236848464</v>
      </c>
      <c r="Y61" s="90">
        <v>4.5989373881994329</v>
      </c>
      <c r="Z61" s="90">
        <v>4.7744139605551146</v>
      </c>
      <c r="AA61" s="90">
        <v>5.8206979584239633</v>
      </c>
      <c r="AB61" s="90">
        <v>6.6941787398196668</v>
      </c>
      <c r="AC61" s="90">
        <v>7.0408103749516089</v>
      </c>
      <c r="AD61" s="90">
        <v>6.460663480396537</v>
      </c>
      <c r="AE61" s="90">
        <v>6.3471083907005923</v>
      </c>
      <c r="AF61" s="90">
        <v>6.2420295654397098</v>
      </c>
      <c r="AG61" s="90">
        <v>6.1502315907342897</v>
      </c>
    </row>
    <row r="62" spans="1:33" x14ac:dyDescent="0.25">
      <c r="A62" s="23" t="s">
        <v>278</v>
      </c>
      <c r="B62" s="23" t="s">
        <v>169</v>
      </c>
      <c r="C62" s="23" t="s">
        <v>139</v>
      </c>
      <c r="D62" s="23" t="s">
        <v>5</v>
      </c>
      <c r="E62" s="23" t="s">
        <v>98</v>
      </c>
      <c r="F62" s="90">
        <v>10.541406450933867</v>
      </c>
      <c r="G62" s="90">
        <v>7.0987649674941062</v>
      </c>
      <c r="H62" s="90">
        <v>6.8318512349014586</v>
      </c>
      <c r="I62" s="90">
        <v>6.603779015058552</v>
      </c>
      <c r="J62" s="90">
        <v>6.2105406072806844</v>
      </c>
      <c r="K62" s="90">
        <v>5.7925478789478237</v>
      </c>
      <c r="L62" s="90">
        <v>5.4419384503703938</v>
      </c>
      <c r="M62" s="90">
        <v>5.0846071184170585</v>
      </c>
      <c r="N62" s="90">
        <v>4.7645476942520597</v>
      </c>
      <c r="O62" s="90">
        <v>4.3458473102332125</v>
      </c>
      <c r="P62" s="90">
        <v>3.9544104087605794</v>
      </c>
      <c r="Q62" s="90">
        <v>3.4643239676213167</v>
      </c>
      <c r="R62" s="90">
        <v>2.8373418560692256</v>
      </c>
      <c r="S62" s="90">
        <v>2.5849513444683496</v>
      </c>
      <c r="T62" s="90">
        <v>2.3085603535098627</v>
      </c>
      <c r="U62" s="90">
        <v>3.7914237493626803</v>
      </c>
      <c r="V62" s="90">
        <v>5.4974255314065674</v>
      </c>
      <c r="W62" s="90">
        <v>4.7344528032588711</v>
      </c>
      <c r="X62" s="90">
        <v>4.4599203236848464</v>
      </c>
      <c r="Y62" s="90">
        <v>4.5989373881994329</v>
      </c>
      <c r="Z62" s="90">
        <v>4.7744139605551146</v>
      </c>
      <c r="AA62" s="90">
        <v>5.8206979584239633</v>
      </c>
      <c r="AB62" s="90">
        <v>6.6941787398196668</v>
      </c>
      <c r="AC62" s="90">
        <v>7.0408103749516089</v>
      </c>
      <c r="AD62" s="90">
        <v>6.460663480396537</v>
      </c>
      <c r="AE62" s="90">
        <v>6.3471083907005923</v>
      </c>
      <c r="AF62" s="90">
        <v>6.2420295654397098</v>
      </c>
      <c r="AG62" s="90">
        <v>6.1502315907342897</v>
      </c>
    </row>
    <row r="63" spans="1:33" x14ac:dyDescent="0.25">
      <c r="A63" s="23" t="s">
        <v>278</v>
      </c>
      <c r="B63" s="23" t="s">
        <v>169</v>
      </c>
      <c r="C63" s="23" t="s">
        <v>140</v>
      </c>
      <c r="D63" s="23" t="s">
        <v>5</v>
      </c>
      <c r="E63" s="23" t="s">
        <v>101</v>
      </c>
      <c r="F63" s="90">
        <v>10.541406450933867</v>
      </c>
      <c r="G63" s="90">
        <v>7.0987649674941062</v>
      </c>
      <c r="H63" s="90">
        <v>6.8318512349014586</v>
      </c>
      <c r="I63" s="90">
        <v>6.603779015058552</v>
      </c>
      <c r="J63" s="90">
        <v>6.2105406072806844</v>
      </c>
      <c r="K63" s="90">
        <v>5.7925478789478237</v>
      </c>
      <c r="L63" s="90">
        <v>5.4419384503703938</v>
      </c>
      <c r="M63" s="90">
        <v>5.0846071184170585</v>
      </c>
      <c r="N63" s="90">
        <v>4.7645476942520597</v>
      </c>
      <c r="O63" s="90">
        <v>4.3458473102332125</v>
      </c>
      <c r="P63" s="90">
        <v>3.9544104087605794</v>
      </c>
      <c r="Q63" s="90">
        <v>3.4643239676213167</v>
      </c>
      <c r="R63" s="90">
        <v>2.8373418560692256</v>
      </c>
      <c r="S63" s="90">
        <v>2.5849513444683496</v>
      </c>
      <c r="T63" s="90">
        <v>2.3085603535098627</v>
      </c>
      <c r="U63" s="90">
        <v>3.7914237493626803</v>
      </c>
      <c r="V63" s="90">
        <v>5.4974255314065674</v>
      </c>
      <c r="W63" s="90">
        <v>4.7344528032588711</v>
      </c>
      <c r="X63" s="90">
        <v>4.4599203236848464</v>
      </c>
      <c r="Y63" s="90">
        <v>4.5989373881994329</v>
      </c>
      <c r="Z63" s="90">
        <v>4.7744139605551146</v>
      </c>
      <c r="AA63" s="90">
        <v>5.8206979584239633</v>
      </c>
      <c r="AB63" s="90">
        <v>6.6941787398196668</v>
      </c>
      <c r="AC63" s="90">
        <v>7.0408103749516089</v>
      </c>
      <c r="AD63" s="90">
        <v>6.460663480396537</v>
      </c>
      <c r="AE63" s="90">
        <v>6.3471083907005923</v>
      </c>
      <c r="AF63" s="90">
        <v>6.2420295654397098</v>
      </c>
      <c r="AG63" s="90">
        <v>6.1502315907342897</v>
      </c>
    </row>
    <row r="64" spans="1:33" x14ac:dyDescent="0.25">
      <c r="A64" s="23" t="s">
        <v>278</v>
      </c>
      <c r="B64" s="23" t="s">
        <v>169</v>
      </c>
      <c r="C64" s="23" t="s">
        <v>141</v>
      </c>
      <c r="D64" s="23" t="s">
        <v>5</v>
      </c>
      <c r="E64" s="23" t="s">
        <v>105</v>
      </c>
      <c r="F64" s="90">
        <v>10.541406450933867</v>
      </c>
      <c r="G64" s="90">
        <v>7.0987649674941062</v>
      </c>
      <c r="H64" s="90">
        <v>6.8318512349014586</v>
      </c>
      <c r="I64" s="90">
        <v>6.603779015058552</v>
      </c>
      <c r="J64" s="90">
        <v>6.2105406072806844</v>
      </c>
      <c r="K64" s="90">
        <v>5.7925478789478237</v>
      </c>
      <c r="L64" s="90">
        <v>5.4419384503703938</v>
      </c>
      <c r="M64" s="90">
        <v>5.0846071184170585</v>
      </c>
      <c r="N64" s="90">
        <v>4.7645476942520597</v>
      </c>
      <c r="O64" s="90">
        <v>4.3458473102332125</v>
      </c>
      <c r="P64" s="90">
        <v>3.9544104087605794</v>
      </c>
      <c r="Q64" s="90">
        <v>3.4643239676213167</v>
      </c>
      <c r="R64" s="90">
        <v>2.8373418560692256</v>
      </c>
      <c r="S64" s="90">
        <v>2.5849513444683496</v>
      </c>
      <c r="T64" s="90">
        <v>2.3085603535098627</v>
      </c>
      <c r="U64" s="90">
        <v>3.7914237493626803</v>
      </c>
      <c r="V64" s="90">
        <v>5.4974255314065674</v>
      </c>
      <c r="W64" s="90">
        <v>4.7344528032588711</v>
      </c>
      <c r="X64" s="90">
        <v>4.4599203236848464</v>
      </c>
      <c r="Y64" s="90">
        <v>4.5989373881994329</v>
      </c>
      <c r="Z64" s="90">
        <v>4.7744139605551146</v>
      </c>
      <c r="AA64" s="90">
        <v>5.8206979584239633</v>
      </c>
      <c r="AB64" s="90">
        <v>6.6941787398196668</v>
      </c>
      <c r="AC64" s="90">
        <v>7.0408103749516089</v>
      </c>
      <c r="AD64" s="90">
        <v>6.460663480396537</v>
      </c>
      <c r="AE64" s="90">
        <v>6.3471083907005923</v>
      </c>
      <c r="AF64" s="90">
        <v>6.2420295654397098</v>
      </c>
      <c r="AG64" s="90">
        <v>6.1502315907342897</v>
      </c>
    </row>
    <row r="65" spans="1:33" x14ac:dyDescent="0.25">
      <c r="A65" s="23" t="s">
        <v>278</v>
      </c>
      <c r="B65" s="23" t="s">
        <v>169</v>
      </c>
      <c r="C65" s="23" t="s">
        <v>142</v>
      </c>
      <c r="D65" s="23" t="s">
        <v>5</v>
      </c>
      <c r="E65" s="23" t="s">
        <v>109</v>
      </c>
      <c r="F65" s="90">
        <v>13.095919057141765</v>
      </c>
      <c r="G65" s="90">
        <v>11.644465341415771</v>
      </c>
      <c r="H65" s="90">
        <v>10.409043726995783</v>
      </c>
      <c r="I65" s="90">
        <v>9.3003221128741274</v>
      </c>
      <c r="J65" s="90">
        <v>8.0863773621328097</v>
      </c>
      <c r="K65" s="90">
        <v>7.2866574508986508</v>
      </c>
      <c r="L65" s="90">
        <v>6.8606539218677334</v>
      </c>
      <c r="M65" s="90">
        <v>6.3364990225727746</v>
      </c>
      <c r="N65" s="90">
        <v>6.0398169655760325</v>
      </c>
      <c r="O65" s="90">
        <v>5.4795466085549203</v>
      </c>
      <c r="P65" s="90">
        <v>4.9676401220373112</v>
      </c>
      <c r="Q65" s="90">
        <v>4.1499714195463682</v>
      </c>
      <c r="R65" s="90">
        <v>3.1859572377023051</v>
      </c>
      <c r="S65" s="90">
        <v>2.8900603556187123</v>
      </c>
      <c r="T65" s="90">
        <v>2.7229173400372741</v>
      </c>
      <c r="U65" s="90">
        <v>4.1052409178065501</v>
      </c>
      <c r="V65" s="90">
        <v>5.4974255314065674</v>
      </c>
      <c r="W65" s="90">
        <v>4.7344528032588711</v>
      </c>
      <c r="X65" s="90">
        <v>4.4599203236848464</v>
      </c>
      <c r="Y65" s="90">
        <v>4.5989373881994329</v>
      </c>
      <c r="Z65" s="90">
        <v>4.7744139605551146</v>
      </c>
      <c r="AA65" s="90">
        <v>5.8206979584239633</v>
      </c>
      <c r="AB65" s="90">
        <v>6.6941787398196668</v>
      </c>
      <c r="AC65" s="90">
        <v>7.0408103749516089</v>
      </c>
      <c r="AD65" s="90">
        <v>6.460663480396537</v>
      </c>
      <c r="AE65" s="90">
        <v>6.3471083907005923</v>
      </c>
      <c r="AF65" s="90">
        <v>6.2420295654397098</v>
      </c>
      <c r="AG65" s="90">
        <v>6.1502315907342897</v>
      </c>
    </row>
    <row r="66" spans="1:33" x14ac:dyDescent="0.25">
      <c r="A66" s="23" t="s">
        <v>278</v>
      </c>
      <c r="B66" s="23" t="s">
        <v>169</v>
      </c>
      <c r="C66" s="23" t="s">
        <v>143</v>
      </c>
      <c r="D66" s="23" t="s">
        <v>5</v>
      </c>
      <c r="E66" s="23" t="s">
        <v>111</v>
      </c>
      <c r="F66" s="90">
        <v>13.095919057141765</v>
      </c>
      <c r="G66" s="90">
        <v>11.644465341415771</v>
      </c>
      <c r="H66" s="90">
        <v>10.409043726995783</v>
      </c>
      <c r="I66" s="90">
        <v>9.3003221128741274</v>
      </c>
      <c r="J66" s="90">
        <v>8.0863773621328097</v>
      </c>
      <c r="K66" s="90">
        <v>7.2866574508986508</v>
      </c>
      <c r="L66" s="90">
        <v>6.8606539218677334</v>
      </c>
      <c r="M66" s="90">
        <v>6.3364990225727746</v>
      </c>
      <c r="N66" s="90">
        <v>6.0398169655760325</v>
      </c>
      <c r="O66" s="90">
        <v>5.4795466085549203</v>
      </c>
      <c r="P66" s="90">
        <v>4.9676401220373112</v>
      </c>
      <c r="Q66" s="90">
        <v>4.1499714195463682</v>
      </c>
      <c r="R66" s="90">
        <v>3.1859572377023051</v>
      </c>
      <c r="S66" s="90">
        <v>2.8900603556187123</v>
      </c>
      <c r="T66" s="90">
        <v>2.7229173400372741</v>
      </c>
      <c r="U66" s="90">
        <v>4.1052409178065501</v>
      </c>
      <c r="V66" s="90">
        <v>5.4974255314065674</v>
      </c>
      <c r="W66" s="90">
        <v>4.7344528032588711</v>
      </c>
      <c r="X66" s="90">
        <v>4.4599203236848464</v>
      </c>
      <c r="Y66" s="90">
        <v>4.5989373881994329</v>
      </c>
      <c r="Z66" s="90">
        <v>4.7744139605551146</v>
      </c>
      <c r="AA66" s="90">
        <v>5.8206979584239633</v>
      </c>
      <c r="AB66" s="90">
        <v>6.6941787398196668</v>
      </c>
      <c r="AC66" s="90">
        <v>7.0408103749516089</v>
      </c>
      <c r="AD66" s="90">
        <v>6.460663480396537</v>
      </c>
      <c r="AE66" s="90">
        <v>6.3471083907005923</v>
      </c>
      <c r="AF66" s="90">
        <v>6.2420295654397098</v>
      </c>
      <c r="AG66" s="90">
        <v>6.1502315907342897</v>
      </c>
    </row>
    <row r="67" spans="1:33" x14ac:dyDescent="0.25">
      <c r="A67" s="23" t="s">
        <v>278</v>
      </c>
      <c r="B67" s="23" t="s">
        <v>169</v>
      </c>
      <c r="C67" s="23" t="s">
        <v>144</v>
      </c>
      <c r="D67" s="23" t="s">
        <v>5</v>
      </c>
      <c r="E67" s="23" t="s">
        <v>114</v>
      </c>
      <c r="F67" s="90">
        <v>13.095919057141765</v>
      </c>
      <c r="G67" s="90">
        <v>11.644465341415771</v>
      </c>
      <c r="H67" s="90">
        <v>10.409043726995783</v>
      </c>
      <c r="I67" s="90">
        <v>9.3003221128741274</v>
      </c>
      <c r="J67" s="90">
        <v>8.0863773621328097</v>
      </c>
      <c r="K67" s="90">
        <v>7.2866574508986508</v>
      </c>
      <c r="L67" s="90">
        <v>6.8606539218677334</v>
      </c>
      <c r="M67" s="90">
        <v>6.3364990225727746</v>
      </c>
      <c r="N67" s="90">
        <v>6.0398169655760325</v>
      </c>
      <c r="O67" s="90">
        <v>5.4795466085549203</v>
      </c>
      <c r="P67" s="90">
        <v>4.9676401220373112</v>
      </c>
      <c r="Q67" s="90">
        <v>4.1499714195463682</v>
      </c>
      <c r="R67" s="90">
        <v>3.1859572377023051</v>
      </c>
      <c r="S67" s="90">
        <v>2.8900603556187123</v>
      </c>
      <c r="T67" s="90">
        <v>2.7229173400372741</v>
      </c>
      <c r="U67" s="90">
        <v>4.1052409178065501</v>
      </c>
      <c r="V67" s="90">
        <v>5.4974255314065674</v>
      </c>
      <c r="W67" s="90">
        <v>4.7344528032588711</v>
      </c>
      <c r="X67" s="90">
        <v>4.4599203236848464</v>
      </c>
      <c r="Y67" s="90">
        <v>4.5989373881994329</v>
      </c>
      <c r="Z67" s="90">
        <v>4.7744139605551146</v>
      </c>
      <c r="AA67" s="90">
        <v>5.8206979584239633</v>
      </c>
      <c r="AB67" s="90">
        <v>6.6941787398196668</v>
      </c>
      <c r="AC67" s="90">
        <v>7.0408103749516089</v>
      </c>
      <c r="AD67" s="90">
        <v>6.460663480396537</v>
      </c>
      <c r="AE67" s="90">
        <v>6.3471083907005923</v>
      </c>
      <c r="AF67" s="90">
        <v>6.2420295654397098</v>
      </c>
      <c r="AG67" s="90">
        <v>6.1502315907342897</v>
      </c>
    </row>
    <row r="68" spans="1:33" x14ac:dyDescent="0.25">
      <c r="A68" s="23" t="s">
        <v>278</v>
      </c>
      <c r="B68" s="23" t="s">
        <v>169</v>
      </c>
      <c r="C68" s="23" t="s">
        <v>145</v>
      </c>
      <c r="D68" s="23" t="s">
        <v>5</v>
      </c>
      <c r="E68" s="23" t="s">
        <v>117</v>
      </c>
      <c r="F68" s="90">
        <v>13.645624301515621</v>
      </c>
      <c r="G68" s="90">
        <v>12.85872777006608</v>
      </c>
      <c r="H68" s="90">
        <v>12.754743721811733</v>
      </c>
      <c r="I68" s="90">
        <v>11.033814104326998</v>
      </c>
      <c r="J68" s="90">
        <v>8.2131230888120061</v>
      </c>
      <c r="K68" s="90">
        <v>7.4475615586472026</v>
      </c>
      <c r="L68" s="90">
        <v>6.8606539218677334</v>
      </c>
      <c r="M68" s="90">
        <v>6.3364990225727746</v>
      </c>
      <c r="N68" s="90">
        <v>6.0398169655760325</v>
      </c>
      <c r="O68" s="90">
        <v>5.4795466085549203</v>
      </c>
      <c r="P68" s="90">
        <v>4.9676401220373112</v>
      </c>
      <c r="Q68" s="90">
        <v>4.1499714195463682</v>
      </c>
      <c r="R68" s="90">
        <v>3.1859572377023051</v>
      </c>
      <c r="S68" s="90">
        <v>2.8900603556187123</v>
      </c>
      <c r="T68" s="90">
        <v>2.7229173400372741</v>
      </c>
      <c r="U68" s="90">
        <v>4.1052409178065501</v>
      </c>
      <c r="V68" s="90">
        <v>5.4974255314065674</v>
      </c>
      <c r="W68" s="90">
        <v>4.7344528032588711</v>
      </c>
      <c r="X68" s="90">
        <v>4.4599203236848464</v>
      </c>
      <c r="Y68" s="90">
        <v>4.5989373881994329</v>
      </c>
      <c r="Z68" s="90">
        <v>4.7744139605551146</v>
      </c>
      <c r="AA68" s="90">
        <v>5.8206979584239633</v>
      </c>
      <c r="AB68" s="90">
        <v>6.6941787398196668</v>
      </c>
      <c r="AC68" s="90">
        <v>7.0408103749516089</v>
      </c>
      <c r="AD68" s="90">
        <v>6.460663480396537</v>
      </c>
      <c r="AE68" s="90">
        <v>6.3471083907005923</v>
      </c>
      <c r="AF68" s="90">
        <v>25.149379011171824</v>
      </c>
      <c r="AG68" s="90">
        <v>25.749479290773255</v>
      </c>
    </row>
    <row r="69" spans="1:33" x14ac:dyDescent="0.25">
      <c r="A69" s="23" t="s">
        <v>278</v>
      </c>
      <c r="B69" s="23" t="s">
        <v>169</v>
      </c>
      <c r="C69" s="23" t="s">
        <v>146</v>
      </c>
      <c r="D69" s="23" t="s">
        <v>5</v>
      </c>
      <c r="E69" s="23" t="s">
        <v>120</v>
      </c>
      <c r="F69" s="90">
        <v>18.366622282608699</v>
      </c>
      <c r="G69" s="90">
        <v>12.485108561250602</v>
      </c>
      <c r="H69" s="90">
        <v>9.3534787293286055</v>
      </c>
      <c r="I69" s="90">
        <v>8.7224914490565038</v>
      </c>
      <c r="J69" s="90">
        <v>8.2131230888120061</v>
      </c>
      <c r="K69" s="90">
        <v>7.5624930641818819</v>
      </c>
      <c r="L69" s="90">
        <v>7.2206265041879556</v>
      </c>
      <c r="M69" s="90">
        <v>6.7024366560952133</v>
      </c>
      <c r="N69" s="90">
        <v>6.2523618441300268</v>
      </c>
      <c r="O69" s="90">
        <v>5.7472256095475469</v>
      </c>
      <c r="P69" s="90">
        <v>5.2350201852631164</v>
      </c>
      <c r="Q69" s="90">
        <v>4.534896304837627</v>
      </c>
      <c r="R69" s="90">
        <v>3.718564070752842</v>
      </c>
      <c r="S69" s="90">
        <v>3.2968723704858625</v>
      </c>
      <c r="T69" s="90">
        <v>7.7026004102684844</v>
      </c>
      <c r="U69" s="90">
        <v>10.88112998339053</v>
      </c>
      <c r="V69" s="90">
        <v>7.3426769298966192</v>
      </c>
      <c r="W69" s="90">
        <v>6.0414814818149445</v>
      </c>
      <c r="X69" s="90">
        <v>5.3330717114312085</v>
      </c>
      <c r="Y69" s="90">
        <v>5.1588080267628413</v>
      </c>
      <c r="Z69" s="90">
        <v>5.1374027643832001</v>
      </c>
      <c r="AA69" s="90">
        <v>5.8206979584239633</v>
      </c>
      <c r="AB69" s="90">
        <v>6.6941787398196668</v>
      </c>
      <c r="AC69" s="90">
        <v>7.0408103749516089</v>
      </c>
      <c r="AD69" s="90">
        <v>6.460663480396537</v>
      </c>
      <c r="AE69" s="90">
        <v>6.3471083907005923</v>
      </c>
      <c r="AF69" s="90">
        <v>6.2420295654397098</v>
      </c>
      <c r="AG69" s="90">
        <v>6.1502315907342897</v>
      </c>
    </row>
    <row r="70" spans="1:33" x14ac:dyDescent="0.25">
      <c r="A70" s="23" t="s">
        <v>278</v>
      </c>
      <c r="B70" s="23" t="s">
        <v>169</v>
      </c>
      <c r="C70" s="23" t="s">
        <v>147</v>
      </c>
      <c r="D70" s="23" t="s">
        <v>92</v>
      </c>
      <c r="E70" s="23" t="s">
        <v>88</v>
      </c>
      <c r="F70" s="90">
        <v>10.541406450933867</v>
      </c>
      <c r="G70" s="90">
        <v>7.0987649674941062</v>
      </c>
      <c r="H70" s="90">
        <v>6.8318512349014586</v>
      </c>
      <c r="I70" s="90">
        <v>6.603779015058552</v>
      </c>
      <c r="J70" s="90">
        <v>6.2105406072806844</v>
      </c>
      <c r="K70" s="90">
        <v>5.7925478789478237</v>
      </c>
      <c r="L70" s="90">
        <v>5.4419384503703938</v>
      </c>
      <c r="M70" s="90">
        <v>5.0846071184170585</v>
      </c>
      <c r="N70" s="90">
        <v>4.7645476942520597</v>
      </c>
      <c r="O70" s="90">
        <v>4.3458473102332125</v>
      </c>
      <c r="P70" s="90">
        <v>3.9544104087605794</v>
      </c>
      <c r="Q70" s="90">
        <v>3.4643239676213167</v>
      </c>
      <c r="R70" s="90">
        <v>2.8373418560692256</v>
      </c>
      <c r="S70" s="90">
        <v>2.5849513444683496</v>
      </c>
      <c r="T70" s="90">
        <v>2.3085603535098627</v>
      </c>
      <c r="U70" s="90">
        <v>3.7914237493626803</v>
      </c>
      <c r="V70" s="90">
        <v>5.4974255314065674</v>
      </c>
      <c r="W70" s="90">
        <v>4.7344528032588711</v>
      </c>
      <c r="X70" s="90">
        <v>4.4599203236848464</v>
      </c>
      <c r="Y70" s="90">
        <v>4.5989373881994329</v>
      </c>
      <c r="Z70" s="90">
        <v>4.7744139605551146</v>
      </c>
      <c r="AA70" s="90">
        <v>5.8206979584239633</v>
      </c>
      <c r="AB70" s="90">
        <v>6.6941787398196668</v>
      </c>
      <c r="AC70" s="90">
        <v>7.0408103749516089</v>
      </c>
      <c r="AD70" s="90">
        <v>6.460663480396537</v>
      </c>
      <c r="AE70" s="90">
        <v>6.3471083907005923</v>
      </c>
      <c r="AF70" s="90">
        <v>6.2420295654397098</v>
      </c>
      <c r="AG70" s="90">
        <v>6.1502315907342897</v>
      </c>
    </row>
    <row r="71" spans="1:33" x14ac:dyDescent="0.25">
      <c r="A71" s="23" t="s">
        <v>278</v>
      </c>
      <c r="B71" s="23" t="s">
        <v>169</v>
      </c>
      <c r="C71" s="23" t="s">
        <v>148</v>
      </c>
      <c r="D71" s="23" t="s">
        <v>92</v>
      </c>
      <c r="E71" s="23" t="s">
        <v>90</v>
      </c>
      <c r="F71" s="90">
        <v>10.541406450933867</v>
      </c>
      <c r="G71" s="90">
        <v>7.0987649674941062</v>
      </c>
      <c r="H71" s="90">
        <v>6.8318512349014586</v>
      </c>
      <c r="I71" s="90">
        <v>6.603779015058552</v>
      </c>
      <c r="J71" s="90">
        <v>6.2105406072806844</v>
      </c>
      <c r="K71" s="90">
        <v>5.7925478789478237</v>
      </c>
      <c r="L71" s="90">
        <v>5.4419384503703938</v>
      </c>
      <c r="M71" s="90">
        <v>5.0846071184170585</v>
      </c>
      <c r="N71" s="90">
        <v>4.7645476942520597</v>
      </c>
      <c r="O71" s="90">
        <v>4.3458473102332125</v>
      </c>
      <c r="P71" s="90">
        <v>3.9544104087605794</v>
      </c>
      <c r="Q71" s="90">
        <v>3.4643239676213167</v>
      </c>
      <c r="R71" s="90">
        <v>2.8373418560692256</v>
      </c>
      <c r="S71" s="90">
        <v>2.5849513444683496</v>
      </c>
      <c r="T71" s="90">
        <v>2.3085603535098627</v>
      </c>
      <c r="U71" s="90">
        <v>3.7914237493626803</v>
      </c>
      <c r="V71" s="90">
        <v>5.4974255314065674</v>
      </c>
      <c r="W71" s="90">
        <v>4.7344528032588711</v>
      </c>
      <c r="X71" s="90">
        <v>4.4599203236848464</v>
      </c>
      <c r="Y71" s="90">
        <v>4.5989373881994329</v>
      </c>
      <c r="Z71" s="90">
        <v>4.7744139605551146</v>
      </c>
      <c r="AA71" s="90">
        <v>5.8206979584239633</v>
      </c>
      <c r="AB71" s="90">
        <v>6.6941787398196668</v>
      </c>
      <c r="AC71" s="90">
        <v>7.0408103749516089</v>
      </c>
      <c r="AD71" s="90">
        <v>6.460663480396537</v>
      </c>
      <c r="AE71" s="90">
        <v>6.3471083907005923</v>
      </c>
      <c r="AF71" s="90">
        <v>6.2420295654397098</v>
      </c>
      <c r="AG71" s="90">
        <v>6.1502315907342897</v>
      </c>
    </row>
    <row r="72" spans="1:33" x14ac:dyDescent="0.25">
      <c r="A72" s="23" t="s">
        <v>278</v>
      </c>
      <c r="B72" s="23" t="s">
        <v>169</v>
      </c>
      <c r="C72" s="23" t="s">
        <v>149</v>
      </c>
      <c r="D72" s="23" t="s">
        <v>92</v>
      </c>
      <c r="E72" s="23" t="s">
        <v>94</v>
      </c>
      <c r="F72" s="90">
        <v>10.541406450933867</v>
      </c>
      <c r="G72" s="90">
        <v>7.0987649674941062</v>
      </c>
      <c r="H72" s="90">
        <v>6.8318512349014586</v>
      </c>
      <c r="I72" s="90">
        <v>6.603779015058552</v>
      </c>
      <c r="J72" s="90">
        <v>6.2105406072806844</v>
      </c>
      <c r="K72" s="90">
        <v>5.7925478789478237</v>
      </c>
      <c r="L72" s="90">
        <v>5.4419384503703938</v>
      </c>
      <c r="M72" s="90">
        <v>5.0846071184170585</v>
      </c>
      <c r="N72" s="90">
        <v>4.7645476942520597</v>
      </c>
      <c r="O72" s="90">
        <v>4.3458473102332125</v>
      </c>
      <c r="P72" s="90">
        <v>3.9544104087605794</v>
      </c>
      <c r="Q72" s="90">
        <v>3.4643239676213167</v>
      </c>
      <c r="R72" s="90">
        <v>2.8373418560692256</v>
      </c>
      <c r="S72" s="90">
        <v>2.5849513444683496</v>
      </c>
      <c r="T72" s="90">
        <v>2.3085603535098627</v>
      </c>
      <c r="U72" s="90">
        <v>3.7914237493626803</v>
      </c>
      <c r="V72" s="90">
        <v>5.4974255314065674</v>
      </c>
      <c r="W72" s="90">
        <v>4.7344528032588711</v>
      </c>
      <c r="X72" s="90">
        <v>4.4599203236848464</v>
      </c>
      <c r="Y72" s="90">
        <v>4.5989373881994329</v>
      </c>
      <c r="Z72" s="90">
        <v>4.7744139605551146</v>
      </c>
      <c r="AA72" s="90">
        <v>5.8206979584239633</v>
      </c>
      <c r="AB72" s="90">
        <v>6.6941787398196668</v>
      </c>
      <c r="AC72" s="90">
        <v>7.0408103749516089</v>
      </c>
      <c r="AD72" s="90">
        <v>6.460663480396537</v>
      </c>
      <c r="AE72" s="90">
        <v>6.3471083907005923</v>
      </c>
      <c r="AF72" s="90">
        <v>6.2420295654397098</v>
      </c>
      <c r="AG72" s="90">
        <v>6.1502315907342897</v>
      </c>
    </row>
    <row r="73" spans="1:33" x14ac:dyDescent="0.25">
      <c r="A73" s="23" t="s">
        <v>278</v>
      </c>
      <c r="B73" s="23" t="s">
        <v>169</v>
      </c>
      <c r="C73" s="23" t="s">
        <v>150</v>
      </c>
      <c r="D73" s="23" t="s">
        <v>92</v>
      </c>
      <c r="E73" s="23" t="s">
        <v>98</v>
      </c>
      <c r="F73" s="90">
        <v>10.541406450933867</v>
      </c>
      <c r="G73" s="90">
        <v>7.0987649674941062</v>
      </c>
      <c r="H73" s="90">
        <v>6.8318512349014586</v>
      </c>
      <c r="I73" s="90">
        <v>6.603779015058552</v>
      </c>
      <c r="J73" s="90">
        <v>6.2105406072806844</v>
      </c>
      <c r="K73" s="90">
        <v>5.7925478789478237</v>
      </c>
      <c r="L73" s="90">
        <v>5.4419384503703938</v>
      </c>
      <c r="M73" s="90">
        <v>5.0846071184170585</v>
      </c>
      <c r="N73" s="90">
        <v>4.7645476942520597</v>
      </c>
      <c r="O73" s="90">
        <v>4.3458473102332125</v>
      </c>
      <c r="P73" s="90">
        <v>3.9544104087605794</v>
      </c>
      <c r="Q73" s="90">
        <v>3.4643239676213167</v>
      </c>
      <c r="R73" s="90">
        <v>2.8373418560692256</v>
      </c>
      <c r="S73" s="90">
        <v>2.5849513444683496</v>
      </c>
      <c r="T73" s="90">
        <v>2.3085603535098627</v>
      </c>
      <c r="U73" s="90">
        <v>3.7914237493626803</v>
      </c>
      <c r="V73" s="90">
        <v>5.4974255314065674</v>
      </c>
      <c r="W73" s="90">
        <v>4.7344528032588711</v>
      </c>
      <c r="X73" s="90">
        <v>4.4599203236848464</v>
      </c>
      <c r="Y73" s="90">
        <v>4.5989373881994329</v>
      </c>
      <c r="Z73" s="90">
        <v>4.7744139605551146</v>
      </c>
      <c r="AA73" s="90">
        <v>5.8206979584239633</v>
      </c>
      <c r="AB73" s="90">
        <v>6.6941787398196668</v>
      </c>
      <c r="AC73" s="90">
        <v>7.0408103749516089</v>
      </c>
      <c r="AD73" s="90">
        <v>6.460663480396537</v>
      </c>
      <c r="AE73" s="90">
        <v>6.3471083907005923</v>
      </c>
      <c r="AF73" s="90">
        <v>6.2420295654397098</v>
      </c>
      <c r="AG73" s="90">
        <v>6.1502315907342897</v>
      </c>
    </row>
    <row r="74" spans="1:33" x14ac:dyDescent="0.25">
      <c r="A74" s="23" t="s">
        <v>278</v>
      </c>
      <c r="B74" s="23" t="s">
        <v>169</v>
      </c>
      <c r="C74" s="23" t="s">
        <v>151</v>
      </c>
      <c r="D74" s="23" t="s">
        <v>92</v>
      </c>
      <c r="E74" s="23" t="s">
        <v>101</v>
      </c>
      <c r="F74" s="90">
        <v>10.541406450933867</v>
      </c>
      <c r="G74" s="90">
        <v>7.0987649674941062</v>
      </c>
      <c r="H74" s="90">
        <v>6.8318512349014586</v>
      </c>
      <c r="I74" s="90">
        <v>6.603779015058552</v>
      </c>
      <c r="J74" s="90">
        <v>6.2105406072806844</v>
      </c>
      <c r="K74" s="90">
        <v>5.7925478789478237</v>
      </c>
      <c r="L74" s="90">
        <v>5.4419384503703938</v>
      </c>
      <c r="M74" s="90">
        <v>5.0846071184170585</v>
      </c>
      <c r="N74" s="90">
        <v>4.7645476942520597</v>
      </c>
      <c r="O74" s="90">
        <v>4.3458473102332125</v>
      </c>
      <c r="P74" s="90">
        <v>3.9544104087605794</v>
      </c>
      <c r="Q74" s="90">
        <v>3.4643239676213167</v>
      </c>
      <c r="R74" s="90">
        <v>2.8373418560692256</v>
      </c>
      <c r="S74" s="90">
        <v>2.5849513444683496</v>
      </c>
      <c r="T74" s="90">
        <v>2.3085603535098627</v>
      </c>
      <c r="U74" s="90">
        <v>3.7914237493626803</v>
      </c>
      <c r="V74" s="90">
        <v>5.4974255314065674</v>
      </c>
      <c r="W74" s="90">
        <v>4.7344528032588711</v>
      </c>
      <c r="X74" s="90">
        <v>4.4599203236848464</v>
      </c>
      <c r="Y74" s="90">
        <v>4.5989373881994329</v>
      </c>
      <c r="Z74" s="90">
        <v>4.7744139605551146</v>
      </c>
      <c r="AA74" s="90">
        <v>5.8206979584239633</v>
      </c>
      <c r="AB74" s="90">
        <v>6.6941787398196668</v>
      </c>
      <c r="AC74" s="90">
        <v>7.0408103749516089</v>
      </c>
      <c r="AD74" s="90">
        <v>6.460663480396537</v>
      </c>
      <c r="AE74" s="90">
        <v>6.3471083907005923</v>
      </c>
      <c r="AF74" s="90">
        <v>6.2420295654397098</v>
      </c>
      <c r="AG74" s="90">
        <v>6.1502315907342897</v>
      </c>
    </row>
    <row r="75" spans="1:33" x14ac:dyDescent="0.25">
      <c r="A75" s="23" t="s">
        <v>278</v>
      </c>
      <c r="B75" s="23" t="s">
        <v>169</v>
      </c>
      <c r="C75" s="23" t="s">
        <v>152</v>
      </c>
      <c r="D75" s="23" t="s">
        <v>92</v>
      </c>
      <c r="E75" s="23" t="s">
        <v>105</v>
      </c>
      <c r="F75" s="90">
        <v>10.541406450933867</v>
      </c>
      <c r="G75" s="90">
        <v>7.0987649674941062</v>
      </c>
      <c r="H75" s="90">
        <v>6.8318512349014586</v>
      </c>
      <c r="I75" s="90">
        <v>6.603779015058552</v>
      </c>
      <c r="J75" s="90">
        <v>6.2105406072806844</v>
      </c>
      <c r="K75" s="90">
        <v>5.7925478789478237</v>
      </c>
      <c r="L75" s="90">
        <v>5.4419384503703938</v>
      </c>
      <c r="M75" s="90">
        <v>5.0846071184170585</v>
      </c>
      <c r="N75" s="90">
        <v>4.7645476942520597</v>
      </c>
      <c r="O75" s="90">
        <v>4.3458473102332125</v>
      </c>
      <c r="P75" s="90">
        <v>3.9544104087605794</v>
      </c>
      <c r="Q75" s="90">
        <v>3.4643239676213167</v>
      </c>
      <c r="R75" s="90">
        <v>2.8373418560692256</v>
      </c>
      <c r="S75" s="90">
        <v>2.5849513444683496</v>
      </c>
      <c r="T75" s="90">
        <v>2.3085603535098627</v>
      </c>
      <c r="U75" s="90">
        <v>3.7914237493626803</v>
      </c>
      <c r="V75" s="90">
        <v>5.4974255314065674</v>
      </c>
      <c r="W75" s="90">
        <v>4.7344528032588711</v>
      </c>
      <c r="X75" s="90">
        <v>4.4599203236848464</v>
      </c>
      <c r="Y75" s="90">
        <v>4.5989373881994329</v>
      </c>
      <c r="Z75" s="90">
        <v>4.7744139605551146</v>
      </c>
      <c r="AA75" s="90">
        <v>5.8206979584239633</v>
      </c>
      <c r="AB75" s="90">
        <v>6.6941787398196668</v>
      </c>
      <c r="AC75" s="90">
        <v>7.0408103749516089</v>
      </c>
      <c r="AD75" s="90">
        <v>6.460663480396537</v>
      </c>
      <c r="AE75" s="90">
        <v>6.3471083907005923</v>
      </c>
      <c r="AF75" s="90">
        <v>6.2420295654397098</v>
      </c>
      <c r="AG75" s="90">
        <v>6.1502315907342897</v>
      </c>
    </row>
    <row r="76" spans="1:33" x14ac:dyDescent="0.25">
      <c r="A76" s="23" t="s">
        <v>278</v>
      </c>
      <c r="B76" s="23" t="s">
        <v>169</v>
      </c>
      <c r="C76" s="23" t="s">
        <v>153</v>
      </c>
      <c r="D76" s="23" t="s">
        <v>92</v>
      </c>
      <c r="E76" s="23" t="s">
        <v>109</v>
      </c>
      <c r="F76" s="90">
        <v>13.095919057141765</v>
      </c>
      <c r="G76" s="90">
        <v>11.644465341415771</v>
      </c>
      <c r="H76" s="90">
        <v>10.409043726995783</v>
      </c>
      <c r="I76" s="90">
        <v>9.3003221128741274</v>
      </c>
      <c r="J76" s="90">
        <v>8.0863773621328097</v>
      </c>
      <c r="K76" s="90">
        <v>7.2866574508986508</v>
      </c>
      <c r="L76" s="90">
        <v>6.8606539218677334</v>
      </c>
      <c r="M76" s="90">
        <v>6.3364990225727746</v>
      </c>
      <c r="N76" s="90">
        <v>6.0398169655760325</v>
      </c>
      <c r="O76" s="90">
        <v>5.4795466085549203</v>
      </c>
      <c r="P76" s="90">
        <v>4.9676401220373112</v>
      </c>
      <c r="Q76" s="90">
        <v>4.1499714195463682</v>
      </c>
      <c r="R76" s="90">
        <v>3.1859572377023051</v>
      </c>
      <c r="S76" s="90">
        <v>2.8900603556187123</v>
      </c>
      <c r="T76" s="90">
        <v>2.7229173400372741</v>
      </c>
      <c r="U76" s="90">
        <v>4.1052409178065501</v>
      </c>
      <c r="V76" s="90">
        <v>5.4974255314065674</v>
      </c>
      <c r="W76" s="90">
        <v>4.7344528032588711</v>
      </c>
      <c r="X76" s="90">
        <v>4.4599203236848464</v>
      </c>
      <c r="Y76" s="90">
        <v>4.5989373881994329</v>
      </c>
      <c r="Z76" s="90">
        <v>4.7744139605551146</v>
      </c>
      <c r="AA76" s="90">
        <v>5.8206979584239633</v>
      </c>
      <c r="AB76" s="90">
        <v>6.6941787398196668</v>
      </c>
      <c r="AC76" s="90">
        <v>7.0408103749516089</v>
      </c>
      <c r="AD76" s="90">
        <v>6.460663480396537</v>
      </c>
      <c r="AE76" s="90">
        <v>6.3471083907005923</v>
      </c>
      <c r="AF76" s="90">
        <v>6.2420295654397098</v>
      </c>
      <c r="AG76" s="90">
        <v>6.1502315907342897</v>
      </c>
    </row>
    <row r="77" spans="1:33" x14ac:dyDescent="0.25">
      <c r="A77" s="23" t="s">
        <v>278</v>
      </c>
      <c r="B77" s="23" t="s">
        <v>169</v>
      </c>
      <c r="C77" s="23" t="s">
        <v>154</v>
      </c>
      <c r="D77" s="23" t="s">
        <v>92</v>
      </c>
      <c r="E77" s="23" t="s">
        <v>111</v>
      </c>
      <c r="F77" s="90">
        <v>13.095919057141765</v>
      </c>
      <c r="G77" s="90">
        <v>11.644465341415771</v>
      </c>
      <c r="H77" s="90">
        <v>10.409043726995783</v>
      </c>
      <c r="I77" s="90">
        <v>9.3003221128741274</v>
      </c>
      <c r="J77" s="90">
        <v>8.0863773621328097</v>
      </c>
      <c r="K77" s="90">
        <v>7.2866574508986508</v>
      </c>
      <c r="L77" s="90">
        <v>6.8606539218677334</v>
      </c>
      <c r="M77" s="90">
        <v>6.3364990225727746</v>
      </c>
      <c r="N77" s="90">
        <v>6.0398169655760325</v>
      </c>
      <c r="O77" s="90">
        <v>5.4795466085549203</v>
      </c>
      <c r="P77" s="90">
        <v>4.9676401220373112</v>
      </c>
      <c r="Q77" s="90">
        <v>4.1499714195463682</v>
      </c>
      <c r="R77" s="90">
        <v>3.1859572377023051</v>
      </c>
      <c r="S77" s="90">
        <v>2.8900603556187123</v>
      </c>
      <c r="T77" s="90">
        <v>2.7229173400372741</v>
      </c>
      <c r="U77" s="90">
        <v>4.1052409178065501</v>
      </c>
      <c r="V77" s="90">
        <v>5.4974255314065674</v>
      </c>
      <c r="W77" s="90">
        <v>4.7344528032588711</v>
      </c>
      <c r="X77" s="90">
        <v>4.4599203236848464</v>
      </c>
      <c r="Y77" s="90">
        <v>4.5989373881994329</v>
      </c>
      <c r="Z77" s="90">
        <v>4.7744139605551146</v>
      </c>
      <c r="AA77" s="90">
        <v>5.8206979584239633</v>
      </c>
      <c r="AB77" s="90">
        <v>6.6941787398196668</v>
      </c>
      <c r="AC77" s="90">
        <v>7.0408103749516089</v>
      </c>
      <c r="AD77" s="90">
        <v>6.460663480396537</v>
      </c>
      <c r="AE77" s="90">
        <v>6.3471083907005923</v>
      </c>
      <c r="AF77" s="90">
        <v>6.2420295654397098</v>
      </c>
      <c r="AG77" s="90">
        <v>6.1502315907342897</v>
      </c>
    </row>
    <row r="78" spans="1:33" x14ac:dyDescent="0.25">
      <c r="A78" s="23" t="s">
        <v>278</v>
      </c>
      <c r="B78" s="23" t="s">
        <v>169</v>
      </c>
      <c r="C78" s="23" t="s">
        <v>155</v>
      </c>
      <c r="D78" s="23" t="s">
        <v>92</v>
      </c>
      <c r="E78" s="23" t="s">
        <v>114</v>
      </c>
      <c r="F78" s="90">
        <v>13.095919057141765</v>
      </c>
      <c r="G78" s="90">
        <v>11.644465341415771</v>
      </c>
      <c r="H78" s="90">
        <v>10.409043726995783</v>
      </c>
      <c r="I78" s="90">
        <v>9.3003221128741274</v>
      </c>
      <c r="J78" s="90">
        <v>8.0863773621328097</v>
      </c>
      <c r="K78" s="90">
        <v>7.2866574508986508</v>
      </c>
      <c r="L78" s="90">
        <v>6.8606539218677334</v>
      </c>
      <c r="M78" s="90">
        <v>6.3364990225727746</v>
      </c>
      <c r="N78" s="90">
        <v>6.0398169655760325</v>
      </c>
      <c r="O78" s="90">
        <v>5.4795466085549203</v>
      </c>
      <c r="P78" s="90">
        <v>4.9676401220373112</v>
      </c>
      <c r="Q78" s="90">
        <v>4.1499714195463682</v>
      </c>
      <c r="R78" s="90">
        <v>3.1859572377023051</v>
      </c>
      <c r="S78" s="90">
        <v>2.8900603556187123</v>
      </c>
      <c r="T78" s="90">
        <v>2.7229173400372741</v>
      </c>
      <c r="U78" s="90">
        <v>4.1052409178065501</v>
      </c>
      <c r="V78" s="90">
        <v>5.4974255314065674</v>
      </c>
      <c r="W78" s="90">
        <v>4.7344528032588711</v>
      </c>
      <c r="X78" s="90">
        <v>4.4599203236848464</v>
      </c>
      <c r="Y78" s="90">
        <v>4.5989373881994329</v>
      </c>
      <c r="Z78" s="90">
        <v>4.7744139605551146</v>
      </c>
      <c r="AA78" s="90">
        <v>5.8206979584239633</v>
      </c>
      <c r="AB78" s="90">
        <v>6.6941787398196668</v>
      </c>
      <c r="AC78" s="90">
        <v>7.0408103749516089</v>
      </c>
      <c r="AD78" s="90">
        <v>6.460663480396537</v>
      </c>
      <c r="AE78" s="90">
        <v>6.3471083907005923</v>
      </c>
      <c r="AF78" s="90">
        <v>6.2420295654397098</v>
      </c>
      <c r="AG78" s="90">
        <v>6.1502315907342897</v>
      </c>
    </row>
    <row r="79" spans="1:33" x14ac:dyDescent="0.25">
      <c r="A79" s="23" t="s">
        <v>278</v>
      </c>
      <c r="B79" s="23" t="s">
        <v>169</v>
      </c>
      <c r="C79" s="23" t="s">
        <v>156</v>
      </c>
      <c r="D79" s="23" t="s">
        <v>92</v>
      </c>
      <c r="E79" s="23" t="s">
        <v>117</v>
      </c>
      <c r="F79" s="90">
        <v>13.645624301515621</v>
      </c>
      <c r="G79" s="90">
        <v>12.85872777006608</v>
      </c>
      <c r="H79" s="90">
        <v>12.754743721811733</v>
      </c>
      <c r="I79" s="90">
        <v>11.033814104326998</v>
      </c>
      <c r="J79" s="90">
        <v>8.2131230888120061</v>
      </c>
      <c r="K79" s="90">
        <v>7.4475615586472026</v>
      </c>
      <c r="L79" s="90">
        <v>6.8606539218677334</v>
      </c>
      <c r="M79" s="90">
        <v>6.3364990225727746</v>
      </c>
      <c r="N79" s="90">
        <v>6.0398169655760325</v>
      </c>
      <c r="O79" s="90">
        <v>5.4795466085549203</v>
      </c>
      <c r="P79" s="90">
        <v>4.9676401220373112</v>
      </c>
      <c r="Q79" s="90">
        <v>4.1499714195463682</v>
      </c>
      <c r="R79" s="90">
        <v>3.1859572377023051</v>
      </c>
      <c r="S79" s="90">
        <v>2.8900603556187123</v>
      </c>
      <c r="T79" s="90">
        <v>2.7229173400372741</v>
      </c>
      <c r="U79" s="90">
        <v>4.1052409178065501</v>
      </c>
      <c r="V79" s="90">
        <v>5.4974255314065674</v>
      </c>
      <c r="W79" s="90">
        <v>4.7344528032588711</v>
      </c>
      <c r="X79" s="90">
        <v>4.4599203236848464</v>
      </c>
      <c r="Y79" s="90">
        <v>4.5989373881994329</v>
      </c>
      <c r="Z79" s="90">
        <v>4.7744139605551146</v>
      </c>
      <c r="AA79" s="90">
        <v>5.8206979584239633</v>
      </c>
      <c r="AB79" s="90">
        <v>6.6941787398196668</v>
      </c>
      <c r="AC79" s="90">
        <v>7.0408103749516089</v>
      </c>
      <c r="AD79" s="90">
        <v>6.460663480396537</v>
      </c>
      <c r="AE79" s="90">
        <v>6.3471083907005923</v>
      </c>
      <c r="AF79" s="90">
        <v>25.149379011171824</v>
      </c>
      <c r="AG79" s="90">
        <v>25.749479290773255</v>
      </c>
    </row>
    <row r="80" spans="1:33" x14ac:dyDescent="0.25">
      <c r="A80" s="23" t="s">
        <v>278</v>
      </c>
      <c r="B80" s="23" t="s">
        <v>169</v>
      </c>
      <c r="C80" s="23" t="s">
        <v>157</v>
      </c>
      <c r="D80" s="23" t="s">
        <v>92</v>
      </c>
      <c r="E80" s="23" t="s">
        <v>120</v>
      </c>
      <c r="F80" s="90">
        <v>18.366622282608699</v>
      </c>
      <c r="G80" s="90">
        <v>12.485108561250602</v>
      </c>
      <c r="H80" s="90">
        <v>9.3534787293286055</v>
      </c>
      <c r="I80" s="90">
        <v>8.7224914490565038</v>
      </c>
      <c r="J80" s="90">
        <v>8.2131230888120061</v>
      </c>
      <c r="K80" s="90">
        <v>7.5624930641818819</v>
      </c>
      <c r="L80" s="90">
        <v>7.2206265041879556</v>
      </c>
      <c r="M80" s="90">
        <v>6.7024366560952133</v>
      </c>
      <c r="N80" s="90">
        <v>6.2523618441300268</v>
      </c>
      <c r="O80" s="90">
        <v>5.7472256095475469</v>
      </c>
      <c r="P80" s="90">
        <v>5.2350201852631164</v>
      </c>
      <c r="Q80" s="90">
        <v>4.534896304837627</v>
      </c>
      <c r="R80" s="90">
        <v>3.718564070752842</v>
      </c>
      <c r="S80" s="90">
        <v>3.2968723704858625</v>
      </c>
      <c r="T80" s="90">
        <v>7.7026004102684844</v>
      </c>
      <c r="U80" s="90">
        <v>10.88112998339053</v>
      </c>
      <c r="V80" s="90">
        <v>7.3426769298966192</v>
      </c>
      <c r="W80" s="90">
        <v>6.0414814818149445</v>
      </c>
      <c r="X80" s="90">
        <v>5.3330717114312085</v>
      </c>
      <c r="Y80" s="90">
        <v>5.1588080267628413</v>
      </c>
      <c r="Z80" s="90">
        <v>5.1374027643832001</v>
      </c>
      <c r="AA80" s="90">
        <v>5.8206979584239633</v>
      </c>
      <c r="AB80" s="90">
        <v>6.6941787398196668</v>
      </c>
      <c r="AC80" s="90">
        <v>7.0408103749516089</v>
      </c>
      <c r="AD80" s="90">
        <v>6.460663480396537</v>
      </c>
      <c r="AE80" s="90">
        <v>6.3471083907005923</v>
      </c>
      <c r="AF80" s="90">
        <v>6.2420295654397098</v>
      </c>
      <c r="AG80" s="90">
        <v>6.1502315907342897</v>
      </c>
    </row>
    <row r="81" spans="1:33" x14ac:dyDescent="0.25">
      <c r="A81" s="23" t="s">
        <v>278</v>
      </c>
      <c r="B81" s="23" t="s">
        <v>169</v>
      </c>
      <c r="C81" s="23" t="s">
        <v>158</v>
      </c>
      <c r="D81" s="23" t="s">
        <v>103</v>
      </c>
      <c r="E81" s="23" t="s">
        <v>88</v>
      </c>
      <c r="F81" s="90">
        <v>3.8663977005350056</v>
      </c>
      <c r="G81" s="90">
        <v>2.6480420888931118</v>
      </c>
      <c r="H81" s="90">
        <v>2.6518333205837936</v>
      </c>
      <c r="I81" s="90">
        <v>2.6788478566972196</v>
      </c>
      <c r="J81" s="90">
        <v>2.6851895655933928</v>
      </c>
      <c r="K81" s="90">
        <v>2.7098413811894857</v>
      </c>
      <c r="L81" s="90">
        <v>2.7097386455437382</v>
      </c>
      <c r="M81" s="90">
        <v>2.7273537477301262</v>
      </c>
      <c r="N81" s="90">
        <v>2.7211443651681613</v>
      </c>
      <c r="O81" s="90">
        <v>2.7338002263616517</v>
      </c>
      <c r="P81" s="90">
        <v>2.7255235030198088</v>
      </c>
      <c r="Q81" s="90">
        <v>2.7356746609341025</v>
      </c>
      <c r="R81" s="90">
        <v>2.7288667678235985</v>
      </c>
      <c r="S81" s="90">
        <v>2.7820235583902564</v>
      </c>
      <c r="T81" s="90">
        <v>2.78548786045691</v>
      </c>
      <c r="U81" s="90">
        <v>5.1771808305194877</v>
      </c>
      <c r="V81" s="90">
        <v>8.6124342582265268</v>
      </c>
      <c r="W81" s="90">
        <v>8.4756730972707093</v>
      </c>
      <c r="X81" s="90">
        <v>8.5981676568401841</v>
      </c>
      <c r="Y81" s="90">
        <v>9.296145587220618</v>
      </c>
      <c r="Z81" s="90">
        <v>10.214388831854235</v>
      </c>
      <c r="AA81" s="90">
        <v>12.596012636557399</v>
      </c>
      <c r="AB81" s="90">
        <v>15.098189589112549</v>
      </c>
      <c r="AC81" s="90">
        <v>15.959742062368408</v>
      </c>
      <c r="AD81" s="90">
        <v>15.333108275917395</v>
      </c>
      <c r="AE81" s="90">
        <v>15.270605141719088</v>
      </c>
      <c r="AF81" s="90">
        <v>15.25658793401352</v>
      </c>
      <c r="AG81" s="90">
        <v>15.120750646461678</v>
      </c>
    </row>
    <row r="82" spans="1:33" x14ac:dyDescent="0.25">
      <c r="A82" s="23" t="s">
        <v>278</v>
      </c>
      <c r="B82" s="23" t="s">
        <v>169</v>
      </c>
      <c r="C82" s="23" t="s">
        <v>159</v>
      </c>
      <c r="D82" s="23" t="s">
        <v>103</v>
      </c>
      <c r="E82" s="23" t="s">
        <v>90</v>
      </c>
      <c r="F82" s="90">
        <v>3.8663977005350056</v>
      </c>
      <c r="G82" s="90">
        <v>2.6480420888931118</v>
      </c>
      <c r="H82" s="90">
        <v>2.6518333205837936</v>
      </c>
      <c r="I82" s="90">
        <v>2.6788478566972196</v>
      </c>
      <c r="J82" s="90">
        <v>2.6851895655933928</v>
      </c>
      <c r="K82" s="90">
        <v>2.7098413811894857</v>
      </c>
      <c r="L82" s="90">
        <v>2.7097386455437382</v>
      </c>
      <c r="M82" s="90">
        <v>2.7273537477301262</v>
      </c>
      <c r="N82" s="90">
        <v>2.7211443651681613</v>
      </c>
      <c r="O82" s="90">
        <v>2.7338002263616517</v>
      </c>
      <c r="P82" s="90">
        <v>2.7255235030198088</v>
      </c>
      <c r="Q82" s="90">
        <v>2.7356746609341025</v>
      </c>
      <c r="R82" s="90">
        <v>2.7288667678235985</v>
      </c>
      <c r="S82" s="90">
        <v>2.7820235583902564</v>
      </c>
      <c r="T82" s="90">
        <v>2.78548786045691</v>
      </c>
      <c r="U82" s="90">
        <v>5.1771808305194877</v>
      </c>
      <c r="V82" s="90">
        <v>8.6124342582265268</v>
      </c>
      <c r="W82" s="90">
        <v>8.4756730972707093</v>
      </c>
      <c r="X82" s="90">
        <v>8.5981676568401841</v>
      </c>
      <c r="Y82" s="90">
        <v>9.296145587220618</v>
      </c>
      <c r="Z82" s="90">
        <v>10.214388831854235</v>
      </c>
      <c r="AA82" s="90">
        <v>12.596012636557399</v>
      </c>
      <c r="AB82" s="90">
        <v>15.098189589112549</v>
      </c>
      <c r="AC82" s="90">
        <v>15.959742062368408</v>
      </c>
      <c r="AD82" s="90">
        <v>15.333108275917395</v>
      </c>
      <c r="AE82" s="90">
        <v>15.270605141719088</v>
      </c>
      <c r="AF82" s="90">
        <v>15.25658793401352</v>
      </c>
      <c r="AG82" s="90">
        <v>15.120750646461678</v>
      </c>
    </row>
    <row r="83" spans="1:33" x14ac:dyDescent="0.25">
      <c r="A83" s="23" t="s">
        <v>278</v>
      </c>
      <c r="B83" s="23" t="s">
        <v>169</v>
      </c>
      <c r="C83" s="23" t="s">
        <v>160</v>
      </c>
      <c r="D83" s="23" t="s">
        <v>103</v>
      </c>
      <c r="E83" s="23" t="s">
        <v>94</v>
      </c>
      <c r="F83" s="90">
        <v>3.8663977005350056</v>
      </c>
      <c r="G83" s="90">
        <v>2.6480420888931118</v>
      </c>
      <c r="H83" s="90">
        <v>2.6518333205837936</v>
      </c>
      <c r="I83" s="90">
        <v>2.6788478566972196</v>
      </c>
      <c r="J83" s="90">
        <v>2.6851895655933928</v>
      </c>
      <c r="K83" s="90">
        <v>2.7098413811894857</v>
      </c>
      <c r="L83" s="90">
        <v>2.7097386455437382</v>
      </c>
      <c r="M83" s="90">
        <v>2.7273537477301262</v>
      </c>
      <c r="N83" s="90">
        <v>2.7211443651681613</v>
      </c>
      <c r="O83" s="90">
        <v>2.7338002263616517</v>
      </c>
      <c r="P83" s="90">
        <v>2.7255235030198088</v>
      </c>
      <c r="Q83" s="90">
        <v>2.7356746609341025</v>
      </c>
      <c r="R83" s="90">
        <v>2.7288667678235985</v>
      </c>
      <c r="S83" s="90">
        <v>2.7820235583902564</v>
      </c>
      <c r="T83" s="90">
        <v>2.78548786045691</v>
      </c>
      <c r="U83" s="90">
        <v>5.1771808305194877</v>
      </c>
      <c r="V83" s="90">
        <v>8.6124342582265268</v>
      </c>
      <c r="W83" s="90">
        <v>8.4756730972707093</v>
      </c>
      <c r="X83" s="90">
        <v>8.5981676568401841</v>
      </c>
      <c r="Y83" s="90">
        <v>9.296145587220618</v>
      </c>
      <c r="Z83" s="90">
        <v>10.214388831854235</v>
      </c>
      <c r="AA83" s="90">
        <v>12.596012636557399</v>
      </c>
      <c r="AB83" s="90">
        <v>15.098189589112549</v>
      </c>
      <c r="AC83" s="90">
        <v>15.959742062368408</v>
      </c>
      <c r="AD83" s="90">
        <v>15.333108275917395</v>
      </c>
      <c r="AE83" s="90">
        <v>15.270605141719088</v>
      </c>
      <c r="AF83" s="90">
        <v>15.25658793401352</v>
      </c>
      <c r="AG83" s="90">
        <v>15.120750646461678</v>
      </c>
    </row>
    <row r="84" spans="1:33" x14ac:dyDescent="0.25">
      <c r="A84" s="23" t="s">
        <v>278</v>
      </c>
      <c r="B84" s="23" t="s">
        <v>169</v>
      </c>
      <c r="C84" s="23" t="s">
        <v>161</v>
      </c>
      <c r="D84" s="23" t="s">
        <v>103</v>
      </c>
      <c r="E84" s="23" t="s">
        <v>98</v>
      </c>
      <c r="F84" s="90">
        <v>3.8663977005350056</v>
      </c>
      <c r="G84" s="90">
        <v>2.6480420888931118</v>
      </c>
      <c r="H84" s="90">
        <v>2.6518333205837936</v>
      </c>
      <c r="I84" s="90">
        <v>2.6788478566972196</v>
      </c>
      <c r="J84" s="90">
        <v>2.6851895655933928</v>
      </c>
      <c r="K84" s="90">
        <v>2.7098413811894857</v>
      </c>
      <c r="L84" s="90">
        <v>2.7097386455437382</v>
      </c>
      <c r="M84" s="90">
        <v>2.7273537477301262</v>
      </c>
      <c r="N84" s="90">
        <v>2.7211443651681613</v>
      </c>
      <c r="O84" s="90">
        <v>2.7338002263616517</v>
      </c>
      <c r="P84" s="90">
        <v>2.7255235030198088</v>
      </c>
      <c r="Q84" s="90">
        <v>2.7356746609341025</v>
      </c>
      <c r="R84" s="90">
        <v>2.7288667678235985</v>
      </c>
      <c r="S84" s="90">
        <v>2.7820235583902564</v>
      </c>
      <c r="T84" s="90">
        <v>2.78548786045691</v>
      </c>
      <c r="U84" s="90">
        <v>5.1771808305194877</v>
      </c>
      <c r="V84" s="90">
        <v>8.6124342582265268</v>
      </c>
      <c r="W84" s="90">
        <v>8.4756730972707093</v>
      </c>
      <c r="X84" s="90">
        <v>8.5981676568401841</v>
      </c>
      <c r="Y84" s="90">
        <v>9.296145587220618</v>
      </c>
      <c r="Z84" s="90">
        <v>10.214388831854235</v>
      </c>
      <c r="AA84" s="90">
        <v>12.596012636557399</v>
      </c>
      <c r="AB84" s="90">
        <v>15.098189589112549</v>
      </c>
      <c r="AC84" s="90">
        <v>15.959742062368408</v>
      </c>
      <c r="AD84" s="90">
        <v>15.333108275917395</v>
      </c>
      <c r="AE84" s="90">
        <v>15.270605141719088</v>
      </c>
      <c r="AF84" s="90">
        <v>15.25658793401352</v>
      </c>
      <c r="AG84" s="90">
        <v>15.120750646461678</v>
      </c>
    </row>
    <row r="85" spans="1:33" x14ac:dyDescent="0.25">
      <c r="A85" s="23" t="s">
        <v>278</v>
      </c>
      <c r="B85" s="23" t="s">
        <v>169</v>
      </c>
      <c r="C85" s="23" t="s">
        <v>162</v>
      </c>
      <c r="D85" s="23" t="s">
        <v>103</v>
      </c>
      <c r="E85" s="23" t="s">
        <v>101</v>
      </c>
      <c r="F85" s="90">
        <v>3.8663977005350056</v>
      </c>
      <c r="G85" s="90">
        <v>2.6480420888931118</v>
      </c>
      <c r="H85" s="90">
        <v>2.6518333205837936</v>
      </c>
      <c r="I85" s="90">
        <v>2.6788478566972196</v>
      </c>
      <c r="J85" s="90">
        <v>2.6851895655933928</v>
      </c>
      <c r="K85" s="90">
        <v>2.7098413811894857</v>
      </c>
      <c r="L85" s="90">
        <v>2.7097386455437382</v>
      </c>
      <c r="M85" s="90">
        <v>2.7273537477301262</v>
      </c>
      <c r="N85" s="90">
        <v>2.7211443651681613</v>
      </c>
      <c r="O85" s="90">
        <v>2.7338002263616517</v>
      </c>
      <c r="P85" s="90">
        <v>2.7255235030198088</v>
      </c>
      <c r="Q85" s="90">
        <v>2.7356746609341025</v>
      </c>
      <c r="R85" s="90">
        <v>2.7288667678235985</v>
      </c>
      <c r="S85" s="90">
        <v>2.7820235583902564</v>
      </c>
      <c r="T85" s="90">
        <v>2.78548786045691</v>
      </c>
      <c r="U85" s="90">
        <v>5.1771808305194877</v>
      </c>
      <c r="V85" s="90">
        <v>8.6124342582265268</v>
      </c>
      <c r="W85" s="90">
        <v>8.4756730972707093</v>
      </c>
      <c r="X85" s="90">
        <v>8.5981676568401841</v>
      </c>
      <c r="Y85" s="90">
        <v>9.296145587220618</v>
      </c>
      <c r="Z85" s="90">
        <v>10.214388831854235</v>
      </c>
      <c r="AA85" s="90">
        <v>12.596012636557399</v>
      </c>
      <c r="AB85" s="90">
        <v>15.098189589112549</v>
      </c>
      <c r="AC85" s="90">
        <v>15.959742062368408</v>
      </c>
      <c r="AD85" s="90">
        <v>15.333108275917395</v>
      </c>
      <c r="AE85" s="90">
        <v>15.270605141719088</v>
      </c>
      <c r="AF85" s="90">
        <v>15.25658793401352</v>
      </c>
      <c r="AG85" s="90">
        <v>15.120750646461678</v>
      </c>
    </row>
    <row r="86" spans="1:33" x14ac:dyDescent="0.25">
      <c r="A86" s="23" t="s">
        <v>278</v>
      </c>
      <c r="B86" s="23" t="s">
        <v>169</v>
      </c>
      <c r="C86" s="23" t="s">
        <v>163</v>
      </c>
      <c r="D86" s="23" t="s">
        <v>103</v>
      </c>
      <c r="E86" s="23" t="s">
        <v>105</v>
      </c>
      <c r="F86" s="90">
        <v>3.8663977005350056</v>
      </c>
      <c r="G86" s="90">
        <v>2.6480420888931118</v>
      </c>
      <c r="H86" s="90">
        <v>2.6518333205837936</v>
      </c>
      <c r="I86" s="90">
        <v>2.6788478566972196</v>
      </c>
      <c r="J86" s="90">
        <v>2.6851895655933928</v>
      </c>
      <c r="K86" s="90">
        <v>2.7098413811894857</v>
      </c>
      <c r="L86" s="90">
        <v>2.7097386455437382</v>
      </c>
      <c r="M86" s="90">
        <v>2.7273537477301262</v>
      </c>
      <c r="N86" s="90">
        <v>2.7211443651681613</v>
      </c>
      <c r="O86" s="90">
        <v>2.7338002263616517</v>
      </c>
      <c r="P86" s="90">
        <v>2.7255235030198088</v>
      </c>
      <c r="Q86" s="90">
        <v>2.7356746609341025</v>
      </c>
      <c r="R86" s="90">
        <v>2.7288667678235985</v>
      </c>
      <c r="S86" s="90">
        <v>2.7820235583902564</v>
      </c>
      <c r="T86" s="90">
        <v>2.78548786045691</v>
      </c>
      <c r="U86" s="90">
        <v>5.1771808305194877</v>
      </c>
      <c r="V86" s="90">
        <v>8.6124342582265268</v>
      </c>
      <c r="W86" s="90">
        <v>8.4756730972707093</v>
      </c>
      <c r="X86" s="90">
        <v>8.5981676568401841</v>
      </c>
      <c r="Y86" s="90">
        <v>9.296145587220618</v>
      </c>
      <c r="Z86" s="90">
        <v>10.214388831854235</v>
      </c>
      <c r="AA86" s="90">
        <v>12.596012636557399</v>
      </c>
      <c r="AB86" s="90">
        <v>15.098189589112549</v>
      </c>
      <c r="AC86" s="90">
        <v>15.959742062368408</v>
      </c>
      <c r="AD86" s="90">
        <v>15.333108275917395</v>
      </c>
      <c r="AE86" s="90">
        <v>15.270605141719088</v>
      </c>
      <c r="AF86" s="90">
        <v>15.25658793401352</v>
      </c>
      <c r="AG86" s="90">
        <v>15.120750646461678</v>
      </c>
    </row>
    <row r="87" spans="1:33" x14ac:dyDescent="0.25">
      <c r="A87" s="23" t="s">
        <v>278</v>
      </c>
      <c r="B87" s="23" t="s">
        <v>169</v>
      </c>
      <c r="C87" s="23" t="s">
        <v>164</v>
      </c>
      <c r="D87" s="23" t="s">
        <v>103</v>
      </c>
      <c r="E87" s="23" t="s">
        <v>109</v>
      </c>
      <c r="F87" s="90">
        <v>4.8033468365542245</v>
      </c>
      <c r="G87" s="90">
        <v>4.3437181633597532</v>
      </c>
      <c r="H87" s="90">
        <v>4.0403469047521323</v>
      </c>
      <c r="I87" s="90">
        <v>3.7727107315152506</v>
      </c>
      <c r="J87" s="90">
        <v>3.4962264139767036</v>
      </c>
      <c r="K87" s="90">
        <v>3.4088084041153452</v>
      </c>
      <c r="L87" s="90">
        <v>3.416168564810004</v>
      </c>
      <c r="M87" s="90">
        <v>3.3988612992545901</v>
      </c>
      <c r="N87" s="90">
        <v>3.4494804034287849</v>
      </c>
      <c r="O87" s="90">
        <v>3.4469655028038217</v>
      </c>
      <c r="P87" s="90">
        <v>3.4238782795942795</v>
      </c>
      <c r="Q87" s="90">
        <v>3.2771102709106437</v>
      </c>
      <c r="R87" s="90">
        <v>3.0641541522660889</v>
      </c>
      <c r="S87" s="90">
        <v>3.110393552167467</v>
      </c>
      <c r="T87" s="90">
        <v>3.2854472200260991</v>
      </c>
      <c r="U87" s="90">
        <v>5.605697487099647</v>
      </c>
      <c r="V87" s="90">
        <v>8.6124342582265268</v>
      </c>
      <c r="W87" s="90">
        <v>8.4756730972707093</v>
      </c>
      <c r="X87" s="90">
        <v>8.5981676568401841</v>
      </c>
      <c r="Y87" s="90">
        <v>9.296145587220618</v>
      </c>
      <c r="Z87" s="90">
        <v>10.214388831854235</v>
      </c>
      <c r="AA87" s="90">
        <v>12.596012636557399</v>
      </c>
      <c r="AB87" s="90">
        <v>15.098189589112549</v>
      </c>
      <c r="AC87" s="90">
        <v>15.959742062368408</v>
      </c>
      <c r="AD87" s="90">
        <v>15.333108275917395</v>
      </c>
      <c r="AE87" s="90">
        <v>15.270605141719088</v>
      </c>
      <c r="AF87" s="90">
        <v>15.25658793401352</v>
      </c>
      <c r="AG87" s="90">
        <v>15.120750646461678</v>
      </c>
    </row>
    <row r="88" spans="1:33" x14ac:dyDescent="0.25">
      <c r="A88" s="23" t="s">
        <v>278</v>
      </c>
      <c r="B88" s="23" t="s">
        <v>169</v>
      </c>
      <c r="C88" s="23" t="s">
        <v>165</v>
      </c>
      <c r="D88" s="23" t="s">
        <v>103</v>
      </c>
      <c r="E88" s="23" t="s">
        <v>111</v>
      </c>
      <c r="F88" s="90">
        <v>4.8033468365542245</v>
      </c>
      <c r="G88" s="90">
        <v>4.3437181633597532</v>
      </c>
      <c r="H88" s="90">
        <v>4.0403469047521323</v>
      </c>
      <c r="I88" s="90">
        <v>3.7727107315152506</v>
      </c>
      <c r="J88" s="90">
        <v>3.4962264139767036</v>
      </c>
      <c r="K88" s="90">
        <v>3.4088084041153452</v>
      </c>
      <c r="L88" s="90">
        <v>3.416168564810004</v>
      </c>
      <c r="M88" s="90">
        <v>3.3988612992545901</v>
      </c>
      <c r="N88" s="90">
        <v>3.4494804034287849</v>
      </c>
      <c r="O88" s="90">
        <v>3.4469655028038217</v>
      </c>
      <c r="P88" s="90">
        <v>3.4238782795942795</v>
      </c>
      <c r="Q88" s="90">
        <v>3.2771102709106437</v>
      </c>
      <c r="R88" s="90">
        <v>3.0641541522660889</v>
      </c>
      <c r="S88" s="90">
        <v>3.110393552167467</v>
      </c>
      <c r="T88" s="90">
        <v>3.2854472200260991</v>
      </c>
      <c r="U88" s="90">
        <v>5.605697487099647</v>
      </c>
      <c r="V88" s="90">
        <v>8.6124342582265268</v>
      </c>
      <c r="W88" s="90">
        <v>8.4756730972707093</v>
      </c>
      <c r="X88" s="90">
        <v>8.5981676568401841</v>
      </c>
      <c r="Y88" s="90">
        <v>9.296145587220618</v>
      </c>
      <c r="Z88" s="90">
        <v>10.214388831854235</v>
      </c>
      <c r="AA88" s="90">
        <v>12.596012636557399</v>
      </c>
      <c r="AB88" s="90">
        <v>15.098189589112549</v>
      </c>
      <c r="AC88" s="90">
        <v>15.959742062368408</v>
      </c>
      <c r="AD88" s="90">
        <v>15.333108275917395</v>
      </c>
      <c r="AE88" s="90">
        <v>15.270605141719088</v>
      </c>
      <c r="AF88" s="90">
        <v>15.25658793401352</v>
      </c>
      <c r="AG88" s="90">
        <v>15.120750646461678</v>
      </c>
    </row>
    <row r="89" spans="1:33" x14ac:dyDescent="0.25">
      <c r="A89" s="23" t="s">
        <v>278</v>
      </c>
      <c r="B89" s="23" t="s">
        <v>169</v>
      </c>
      <c r="C89" s="23" t="s">
        <v>166</v>
      </c>
      <c r="D89" s="23" t="s">
        <v>103</v>
      </c>
      <c r="E89" s="23" t="s">
        <v>114</v>
      </c>
      <c r="F89" s="90">
        <v>4.8033468365542245</v>
      </c>
      <c r="G89" s="90">
        <v>4.3437181633597532</v>
      </c>
      <c r="H89" s="90">
        <v>4.0403469047521323</v>
      </c>
      <c r="I89" s="90">
        <v>3.7727107315152506</v>
      </c>
      <c r="J89" s="90">
        <v>3.4962264139767036</v>
      </c>
      <c r="K89" s="90">
        <v>3.4088084041153452</v>
      </c>
      <c r="L89" s="90">
        <v>3.416168564810004</v>
      </c>
      <c r="M89" s="90">
        <v>3.3988612992545901</v>
      </c>
      <c r="N89" s="90">
        <v>3.4494804034287849</v>
      </c>
      <c r="O89" s="90">
        <v>3.4469655028038217</v>
      </c>
      <c r="P89" s="90">
        <v>3.4238782795942795</v>
      </c>
      <c r="Q89" s="90">
        <v>3.2771102709106437</v>
      </c>
      <c r="R89" s="90">
        <v>3.0641541522660889</v>
      </c>
      <c r="S89" s="90">
        <v>3.110393552167467</v>
      </c>
      <c r="T89" s="90">
        <v>3.2854472200260991</v>
      </c>
      <c r="U89" s="90">
        <v>5.605697487099647</v>
      </c>
      <c r="V89" s="90">
        <v>8.6124342582265268</v>
      </c>
      <c r="W89" s="90">
        <v>8.4756730972707093</v>
      </c>
      <c r="X89" s="90">
        <v>8.5981676568401841</v>
      </c>
      <c r="Y89" s="90">
        <v>9.296145587220618</v>
      </c>
      <c r="Z89" s="90">
        <v>10.214388831854235</v>
      </c>
      <c r="AA89" s="90">
        <v>12.596012636557399</v>
      </c>
      <c r="AB89" s="90">
        <v>15.098189589112549</v>
      </c>
      <c r="AC89" s="90">
        <v>15.959742062368408</v>
      </c>
      <c r="AD89" s="90">
        <v>15.333108275917395</v>
      </c>
      <c r="AE89" s="90">
        <v>15.270605141719088</v>
      </c>
      <c r="AF89" s="90">
        <v>15.25658793401352</v>
      </c>
      <c r="AG89" s="90">
        <v>15.120750646461678</v>
      </c>
    </row>
    <row r="90" spans="1:33" x14ac:dyDescent="0.25">
      <c r="A90" s="23" t="s">
        <v>278</v>
      </c>
      <c r="B90" s="23" t="s">
        <v>169</v>
      </c>
      <c r="C90" s="23" t="s">
        <v>167</v>
      </c>
      <c r="D90" s="23" t="s">
        <v>103</v>
      </c>
      <c r="E90" s="23" t="s">
        <v>117</v>
      </c>
      <c r="F90" s="90">
        <v>5.0049688025330443</v>
      </c>
      <c r="G90" s="90">
        <v>4.7966727311967334</v>
      </c>
      <c r="H90" s="90">
        <v>4.9508476156821892</v>
      </c>
      <c r="I90" s="90">
        <v>4.4759082938982715</v>
      </c>
      <c r="J90" s="90">
        <v>3.5510262010296296</v>
      </c>
      <c r="K90" s="90">
        <v>3.4840817758150529</v>
      </c>
      <c r="L90" s="90">
        <v>3.416168564810004</v>
      </c>
      <c r="M90" s="90">
        <v>3.3988612992545901</v>
      </c>
      <c r="N90" s="90">
        <v>3.4494804034287849</v>
      </c>
      <c r="O90" s="90">
        <v>3.4469655028038217</v>
      </c>
      <c r="P90" s="90">
        <v>3.4238782795942795</v>
      </c>
      <c r="Q90" s="90">
        <v>3.2771102709106437</v>
      </c>
      <c r="R90" s="90">
        <v>3.0641541522660889</v>
      </c>
      <c r="S90" s="90">
        <v>3.110393552167467</v>
      </c>
      <c r="T90" s="90">
        <v>3.2854472200260991</v>
      </c>
      <c r="U90" s="90">
        <v>5.605697487099647</v>
      </c>
      <c r="V90" s="90">
        <v>8.6124342582265268</v>
      </c>
      <c r="W90" s="90">
        <v>8.4756730972707093</v>
      </c>
      <c r="X90" s="90">
        <v>8.5981676568401841</v>
      </c>
      <c r="Y90" s="90">
        <v>9.296145587220618</v>
      </c>
      <c r="Z90" s="90">
        <v>10.214388831854235</v>
      </c>
      <c r="AA90" s="90">
        <v>12.596012636557399</v>
      </c>
      <c r="AB90" s="90">
        <v>15.098189589112549</v>
      </c>
      <c r="AC90" s="90">
        <v>15.959742062368408</v>
      </c>
      <c r="AD90" s="90">
        <v>15.333108275917395</v>
      </c>
      <c r="AE90" s="90">
        <v>15.270605141719088</v>
      </c>
      <c r="AF90" s="90">
        <v>15.25658793401352</v>
      </c>
      <c r="AG90" s="90">
        <v>15.120750646461678</v>
      </c>
    </row>
    <row r="91" spans="1:33" x14ac:dyDescent="0.25">
      <c r="A91" s="23" t="s">
        <v>278</v>
      </c>
      <c r="B91" s="23" t="s">
        <v>169</v>
      </c>
      <c r="C91" s="23" t="s">
        <v>168</v>
      </c>
      <c r="D91" s="23" t="s">
        <v>103</v>
      </c>
      <c r="E91" s="23" t="s">
        <v>120</v>
      </c>
      <c r="F91" s="90">
        <v>6.7365456868217271</v>
      </c>
      <c r="G91" s="90">
        <v>4.6573020949392019</v>
      </c>
      <c r="H91" s="90">
        <v>3.6306215848336056</v>
      </c>
      <c r="I91" s="90">
        <v>3.5383115440542441</v>
      </c>
      <c r="J91" s="90">
        <v>3.5510262010296296</v>
      </c>
      <c r="K91" s="90">
        <v>3.5378484698862733</v>
      </c>
      <c r="L91" s="90">
        <v>3.595411977161147</v>
      </c>
      <c r="M91" s="90">
        <v>3.5951481220078936</v>
      </c>
      <c r="N91" s="90">
        <v>3.5708697431388883</v>
      </c>
      <c r="O91" s="90">
        <v>3.6153517486304447</v>
      </c>
      <c r="P91" s="90">
        <v>3.608166345634765</v>
      </c>
      <c r="Q91" s="90">
        <v>3.5810741221255444</v>
      </c>
      <c r="R91" s="90">
        <v>3.5763987673865594</v>
      </c>
      <c r="S91" s="90">
        <v>3.5482202105370813</v>
      </c>
      <c r="T91" s="90">
        <v>9.2938873805629605</v>
      </c>
      <c r="U91" s="90">
        <v>14.858159174075352</v>
      </c>
      <c r="V91" s="90">
        <v>11.503261295101364</v>
      </c>
      <c r="W91" s="90">
        <v>10.815531211512276</v>
      </c>
      <c r="X91" s="90">
        <v>10.281494146279146</v>
      </c>
      <c r="Y91" s="90">
        <v>10.427850267403999</v>
      </c>
      <c r="Z91" s="90">
        <v>10.990967656929266</v>
      </c>
      <c r="AA91" s="90">
        <v>12.596012636557399</v>
      </c>
      <c r="AB91" s="90">
        <v>15.098189589112549</v>
      </c>
      <c r="AC91" s="90">
        <v>15.959742062368408</v>
      </c>
      <c r="AD91" s="90">
        <v>15.333108275917395</v>
      </c>
      <c r="AE91" s="90">
        <v>15.270605141719088</v>
      </c>
      <c r="AF91" s="90">
        <v>15.25658793401352</v>
      </c>
      <c r="AG91" s="90">
        <v>15.120750646461678</v>
      </c>
    </row>
    <row r="93" spans="1:33" x14ac:dyDescent="0.25">
      <c r="A93" s="23" t="s">
        <v>277</v>
      </c>
      <c r="B93" s="23" t="s">
        <v>131</v>
      </c>
      <c r="C93" s="23" t="s">
        <v>170</v>
      </c>
      <c r="D93" s="23" t="s">
        <v>171</v>
      </c>
      <c r="E93" s="23" t="s">
        <v>133</v>
      </c>
      <c r="F93" s="88">
        <v>2023</v>
      </c>
      <c r="G93" s="88">
        <v>2024</v>
      </c>
      <c r="H93" s="88">
        <v>2025</v>
      </c>
      <c r="I93" s="88">
        <v>2026</v>
      </c>
      <c r="J93" s="88">
        <v>2027</v>
      </c>
      <c r="K93" s="88">
        <v>2028</v>
      </c>
      <c r="L93" s="88">
        <v>2029</v>
      </c>
      <c r="M93" s="88">
        <v>2030</v>
      </c>
      <c r="N93" s="88">
        <v>2031</v>
      </c>
      <c r="O93" s="88">
        <v>2032</v>
      </c>
      <c r="P93" s="88">
        <v>2033</v>
      </c>
      <c r="Q93" s="88">
        <v>2034</v>
      </c>
      <c r="R93" s="88">
        <v>2035</v>
      </c>
      <c r="S93" s="88">
        <v>2036</v>
      </c>
      <c r="T93" s="88">
        <v>2037</v>
      </c>
      <c r="U93" s="88">
        <v>2038</v>
      </c>
      <c r="V93" s="88">
        <v>2039</v>
      </c>
      <c r="W93" s="88">
        <v>2040</v>
      </c>
      <c r="X93" s="88">
        <v>2041</v>
      </c>
      <c r="Y93" s="88">
        <v>2042</v>
      </c>
      <c r="Z93" s="88">
        <v>2043</v>
      </c>
      <c r="AA93" s="88">
        <v>2044</v>
      </c>
      <c r="AB93" s="88">
        <v>2045</v>
      </c>
      <c r="AC93" s="88">
        <v>2046</v>
      </c>
      <c r="AD93" s="88">
        <v>2047</v>
      </c>
      <c r="AE93" s="88">
        <v>2048</v>
      </c>
      <c r="AF93" s="88">
        <v>2049</v>
      </c>
      <c r="AG93" s="88">
        <v>2050</v>
      </c>
    </row>
    <row r="94" spans="1:33" x14ac:dyDescent="0.25">
      <c r="A94" s="23" t="s">
        <v>3</v>
      </c>
      <c r="B94" s="23" t="s">
        <v>172</v>
      </c>
      <c r="C94" s="23" t="s">
        <v>173</v>
      </c>
      <c r="D94" s="23" t="s">
        <v>174</v>
      </c>
      <c r="E94" s="23" t="s">
        <v>136</v>
      </c>
      <c r="F94" s="88">
        <v>138.11687980794045</v>
      </c>
      <c r="G94" s="88">
        <v>139.05725358330042</v>
      </c>
      <c r="H94" s="88">
        <v>138.55977880470041</v>
      </c>
      <c r="I94" s="88">
        <v>141.17135012676042</v>
      </c>
      <c r="J94" s="88">
        <v>140.94990062838042</v>
      </c>
      <c r="K94" s="88">
        <v>138.11687980794045</v>
      </c>
      <c r="L94" s="88">
        <v>138.83580408492043</v>
      </c>
      <c r="M94" s="88">
        <v>139.05725358330042</v>
      </c>
      <c r="N94" s="88">
        <v>138.55977880470041</v>
      </c>
      <c r="O94" s="88">
        <v>140.94990062838042</v>
      </c>
      <c r="P94" s="88">
        <v>138.11687980794045</v>
      </c>
      <c r="Q94" s="88">
        <v>138.11687980794045</v>
      </c>
      <c r="R94" s="88">
        <v>138.83580408492043</v>
      </c>
      <c r="S94" s="88">
        <v>138.55977880470041</v>
      </c>
      <c r="T94" s="88">
        <v>141.17135012676042</v>
      </c>
      <c r="U94" s="88">
        <v>140.94990062838042</v>
      </c>
      <c r="V94" s="88">
        <v>138.11687980794045</v>
      </c>
      <c r="W94" s="88">
        <v>138.83580408492043</v>
      </c>
      <c r="X94" s="88">
        <v>139.05725358330042</v>
      </c>
      <c r="Y94" s="88">
        <v>138.55977880470041</v>
      </c>
      <c r="Z94" s="88">
        <v>141.17135012676042</v>
      </c>
      <c r="AA94" s="88">
        <v>138.11687980794045</v>
      </c>
      <c r="AB94" s="88">
        <v>138.11687980794045</v>
      </c>
      <c r="AC94" s="88">
        <v>138.83580408492043</v>
      </c>
      <c r="AD94" s="88">
        <v>139.05725358330042</v>
      </c>
      <c r="AE94" s="88">
        <v>141.17135012676042</v>
      </c>
      <c r="AF94" s="88">
        <v>140.94990062838042</v>
      </c>
      <c r="AG94" s="88">
        <v>138.11687980794045</v>
      </c>
    </row>
    <row r="95" spans="1:33" x14ac:dyDescent="0.25">
      <c r="A95" s="23" t="s">
        <v>3</v>
      </c>
      <c r="B95" s="23" t="s">
        <v>172</v>
      </c>
      <c r="C95" s="23" t="s">
        <v>175</v>
      </c>
      <c r="D95" s="23" t="s">
        <v>174</v>
      </c>
      <c r="E95" s="23" t="s">
        <v>137</v>
      </c>
      <c r="F95" s="88">
        <v>134.12239385964028</v>
      </c>
      <c r="G95" s="88">
        <v>134.74822641816019</v>
      </c>
      <c r="H95" s="88">
        <v>134.39756087508025</v>
      </c>
      <c r="I95" s="88">
        <v>136.8571506001802</v>
      </c>
      <c r="J95" s="88">
        <v>136.71956709246021</v>
      </c>
      <c r="K95" s="88">
        <v>134.12239385964028</v>
      </c>
      <c r="L95" s="88">
        <v>134.61064291044022</v>
      </c>
      <c r="M95" s="88">
        <v>134.74822641816019</v>
      </c>
      <c r="N95" s="88">
        <v>134.39756087508025</v>
      </c>
      <c r="O95" s="88">
        <v>136.71956709246021</v>
      </c>
      <c r="P95" s="88">
        <v>134.12239385964028</v>
      </c>
      <c r="Q95" s="88">
        <v>134.12239385964028</v>
      </c>
      <c r="R95" s="88">
        <v>134.61064291044022</v>
      </c>
      <c r="S95" s="88">
        <v>134.39756087508025</v>
      </c>
      <c r="T95" s="88">
        <v>136.8571506001802</v>
      </c>
      <c r="U95" s="88">
        <v>136.71956709246021</v>
      </c>
      <c r="V95" s="88">
        <v>134.12239385964028</v>
      </c>
      <c r="W95" s="88">
        <v>134.61064291044022</v>
      </c>
      <c r="X95" s="88">
        <v>134.74822641816019</v>
      </c>
      <c r="Y95" s="88">
        <v>134.39756087508025</v>
      </c>
      <c r="Z95" s="88">
        <v>136.8571506001802</v>
      </c>
      <c r="AA95" s="88">
        <v>134.12239385964028</v>
      </c>
      <c r="AB95" s="88">
        <v>134.12239385964028</v>
      </c>
      <c r="AC95" s="88">
        <v>134.61064291044022</v>
      </c>
      <c r="AD95" s="88">
        <v>134.74822641816019</v>
      </c>
      <c r="AE95" s="88">
        <v>136.8571506001802</v>
      </c>
      <c r="AF95" s="88">
        <v>136.71956709246021</v>
      </c>
      <c r="AG95" s="88">
        <v>134.12239385964028</v>
      </c>
    </row>
    <row r="96" spans="1:33" x14ac:dyDescent="0.25">
      <c r="A96" s="23" t="s">
        <v>3</v>
      </c>
      <c r="B96" s="23" t="s">
        <v>172</v>
      </c>
      <c r="C96" s="23" t="s">
        <v>176</v>
      </c>
      <c r="D96" s="23" t="s">
        <v>174</v>
      </c>
      <c r="E96" s="23" t="s">
        <v>138</v>
      </c>
      <c r="F96" s="88">
        <v>117.14509398754028</v>
      </c>
      <c r="G96" s="88">
        <v>117.85942407892028</v>
      </c>
      <c r="H96" s="88">
        <v>117.6801018718203</v>
      </c>
      <c r="I96" s="88">
        <v>119.89710939954028</v>
      </c>
      <c r="J96" s="88">
        <v>119.6296054574003</v>
      </c>
      <c r="K96" s="88">
        <v>117.14509398754028</v>
      </c>
      <c r="L96" s="88">
        <v>117.59192013678027</v>
      </c>
      <c r="M96" s="88">
        <v>117.85942407892028</v>
      </c>
      <c r="N96" s="88">
        <v>117.6801018718203</v>
      </c>
      <c r="O96" s="88">
        <v>119.6296054574003</v>
      </c>
      <c r="P96" s="88">
        <v>117.14509398754028</v>
      </c>
      <c r="Q96" s="88">
        <v>117.14509398754028</v>
      </c>
      <c r="R96" s="88">
        <v>117.59192013678027</v>
      </c>
      <c r="S96" s="88">
        <v>117.6801018718203</v>
      </c>
      <c r="T96" s="88">
        <v>119.89710939954028</v>
      </c>
      <c r="U96" s="88">
        <v>119.6296054574003</v>
      </c>
      <c r="V96" s="88">
        <v>117.14509398754028</v>
      </c>
      <c r="W96" s="88">
        <v>117.59192013678027</v>
      </c>
      <c r="X96" s="88">
        <v>117.85942407892028</v>
      </c>
      <c r="Y96" s="88">
        <v>117.6801018718203</v>
      </c>
      <c r="Z96" s="88">
        <v>119.89710939954028</v>
      </c>
      <c r="AA96" s="88">
        <v>117.14509398754028</v>
      </c>
      <c r="AB96" s="88">
        <v>117.14509398754028</v>
      </c>
      <c r="AC96" s="88">
        <v>117.59192013678027</v>
      </c>
      <c r="AD96" s="88">
        <v>117.85942407892028</v>
      </c>
      <c r="AE96" s="88">
        <v>119.89710939954028</v>
      </c>
      <c r="AF96" s="88">
        <v>119.6296054574003</v>
      </c>
      <c r="AG96" s="88">
        <v>117.14509398754028</v>
      </c>
    </row>
    <row r="97" spans="1:33" x14ac:dyDescent="0.25">
      <c r="A97" s="23" t="s">
        <v>3</v>
      </c>
      <c r="B97" s="23" t="s">
        <v>172</v>
      </c>
      <c r="C97" s="23" t="s">
        <v>177</v>
      </c>
      <c r="D97" s="23" t="s">
        <v>174</v>
      </c>
      <c r="E97" s="23" t="s">
        <v>139</v>
      </c>
      <c r="F97" s="88">
        <v>117.83058588726006</v>
      </c>
      <c r="G97" s="88">
        <v>118.68496196939998</v>
      </c>
      <c r="H97" s="88">
        <v>118.37014310898007</v>
      </c>
      <c r="I97" s="88">
        <v>120.62897438226008</v>
      </c>
      <c r="J97" s="88">
        <v>120.35919577139998</v>
      </c>
      <c r="K97" s="88">
        <v>117.83058588726006</v>
      </c>
      <c r="L97" s="88">
        <v>118.41518335854005</v>
      </c>
      <c r="M97" s="88">
        <v>118.68496196939998</v>
      </c>
      <c r="N97" s="88">
        <v>118.37014310898007</v>
      </c>
      <c r="O97" s="88">
        <v>120.35919577139998</v>
      </c>
      <c r="P97" s="88">
        <v>117.83058588726006</v>
      </c>
      <c r="Q97" s="88">
        <v>117.83058588726006</v>
      </c>
      <c r="R97" s="88">
        <v>118.41518335854005</v>
      </c>
      <c r="S97" s="88">
        <v>118.37014310898007</v>
      </c>
      <c r="T97" s="88">
        <v>120.62897438226008</v>
      </c>
      <c r="U97" s="88">
        <v>120.35919577139998</v>
      </c>
      <c r="V97" s="88">
        <v>117.83058588726006</v>
      </c>
      <c r="W97" s="88">
        <v>118.41518335854005</v>
      </c>
      <c r="X97" s="88">
        <v>118.68496196939998</v>
      </c>
      <c r="Y97" s="88">
        <v>118.37014310898007</v>
      </c>
      <c r="Z97" s="88">
        <v>120.62897438226008</v>
      </c>
      <c r="AA97" s="88">
        <v>117.83058588726006</v>
      </c>
      <c r="AB97" s="88">
        <v>117.83058588726006</v>
      </c>
      <c r="AC97" s="88">
        <v>118.41518335854005</v>
      </c>
      <c r="AD97" s="88">
        <v>118.68496196939998</v>
      </c>
      <c r="AE97" s="88">
        <v>120.62897438226008</v>
      </c>
      <c r="AF97" s="88">
        <v>120.35919577139998</v>
      </c>
      <c r="AG97" s="88">
        <v>117.83058588726006</v>
      </c>
    </row>
    <row r="98" spans="1:33" x14ac:dyDescent="0.25">
      <c r="A98" s="23" t="s">
        <v>3</v>
      </c>
      <c r="B98" s="23" t="s">
        <v>172</v>
      </c>
      <c r="C98" s="23" t="s">
        <v>178</v>
      </c>
      <c r="D98" s="23" t="s">
        <v>174</v>
      </c>
      <c r="E98" s="23" t="s">
        <v>140</v>
      </c>
      <c r="F98" s="88">
        <v>117.14509398754028</v>
      </c>
      <c r="G98" s="88">
        <v>117.85942407892028</v>
      </c>
      <c r="H98" s="88">
        <v>117.6801018718203</v>
      </c>
      <c r="I98" s="88">
        <v>119.89710939954028</v>
      </c>
      <c r="J98" s="88">
        <v>119.6296054574003</v>
      </c>
      <c r="K98" s="88">
        <v>117.14509398754028</v>
      </c>
      <c r="L98" s="88">
        <v>117.59192013678027</v>
      </c>
      <c r="M98" s="88">
        <v>117.85942407892028</v>
      </c>
      <c r="N98" s="88">
        <v>117.6801018718203</v>
      </c>
      <c r="O98" s="88">
        <v>119.6296054574003</v>
      </c>
      <c r="P98" s="88">
        <v>117.14509398754028</v>
      </c>
      <c r="Q98" s="88">
        <v>117.14509398754028</v>
      </c>
      <c r="R98" s="88">
        <v>117.59192013678027</v>
      </c>
      <c r="S98" s="88">
        <v>117.6801018718203</v>
      </c>
      <c r="T98" s="88">
        <v>119.89710939954028</v>
      </c>
      <c r="U98" s="88">
        <v>119.6296054574003</v>
      </c>
      <c r="V98" s="88">
        <v>117.14509398754028</v>
      </c>
      <c r="W98" s="88">
        <v>117.59192013678027</v>
      </c>
      <c r="X98" s="88">
        <v>117.85942407892028</v>
      </c>
      <c r="Y98" s="88">
        <v>117.6801018718203</v>
      </c>
      <c r="Z98" s="88">
        <v>119.89710939954028</v>
      </c>
      <c r="AA98" s="88">
        <v>117.14509398754028</v>
      </c>
      <c r="AB98" s="88">
        <v>117.14509398754028</v>
      </c>
      <c r="AC98" s="88">
        <v>117.59192013678027</v>
      </c>
      <c r="AD98" s="88">
        <v>117.85942407892028</v>
      </c>
      <c r="AE98" s="88">
        <v>119.89710939954028</v>
      </c>
      <c r="AF98" s="88">
        <v>119.6296054574003</v>
      </c>
      <c r="AG98" s="88">
        <v>117.14509398754028</v>
      </c>
    </row>
    <row r="99" spans="1:33" x14ac:dyDescent="0.25">
      <c r="A99" s="23" t="s">
        <v>3</v>
      </c>
      <c r="B99" s="23" t="s">
        <v>172</v>
      </c>
      <c r="C99" s="23" t="s">
        <v>179</v>
      </c>
      <c r="D99" s="23" t="s">
        <v>174</v>
      </c>
      <c r="E99" s="23" t="s">
        <v>141</v>
      </c>
      <c r="F99" s="88">
        <v>117.35800120817981</v>
      </c>
      <c r="G99" s="88">
        <v>118.11374065457993</v>
      </c>
      <c r="H99" s="88">
        <v>117.76040633777986</v>
      </c>
      <c r="I99" s="88">
        <v>119.97785144003991</v>
      </c>
      <c r="J99" s="88">
        <v>119.7766488752399</v>
      </c>
      <c r="K99" s="88">
        <v>117.35800120817981</v>
      </c>
      <c r="L99" s="88">
        <v>117.91253808977993</v>
      </c>
      <c r="M99" s="88">
        <v>118.11374065457993</v>
      </c>
      <c r="N99" s="88">
        <v>117.76040633777986</v>
      </c>
      <c r="O99" s="88">
        <v>119.7766488752399</v>
      </c>
      <c r="P99" s="88">
        <v>117.35800120817981</v>
      </c>
      <c r="Q99" s="88">
        <v>117.35800120817981</v>
      </c>
      <c r="R99" s="88">
        <v>117.91253808977993</v>
      </c>
      <c r="S99" s="88">
        <v>117.76040633777986</v>
      </c>
      <c r="T99" s="88">
        <v>119.97785144003991</v>
      </c>
      <c r="U99" s="88">
        <v>119.7766488752399</v>
      </c>
      <c r="V99" s="88">
        <v>117.35800120817981</v>
      </c>
      <c r="W99" s="88">
        <v>117.91253808977993</v>
      </c>
      <c r="X99" s="88">
        <v>118.11374065457993</v>
      </c>
      <c r="Y99" s="88">
        <v>117.76040633777986</v>
      </c>
      <c r="Z99" s="88">
        <v>119.97785144003991</v>
      </c>
      <c r="AA99" s="88">
        <v>117.35800120817981</v>
      </c>
      <c r="AB99" s="88">
        <v>117.35800120817981</v>
      </c>
      <c r="AC99" s="88">
        <v>117.91253808977993</v>
      </c>
      <c r="AD99" s="88">
        <v>118.11374065457993</v>
      </c>
      <c r="AE99" s="88">
        <v>119.97785144003991</v>
      </c>
      <c r="AF99" s="88">
        <v>119.7766488752399</v>
      </c>
      <c r="AG99" s="88">
        <v>117.35800120817981</v>
      </c>
    </row>
    <row r="100" spans="1:33" x14ac:dyDescent="0.25">
      <c r="A100" s="23" t="s">
        <v>3</v>
      </c>
      <c r="B100" s="23" t="s">
        <v>172</v>
      </c>
      <c r="C100" s="23" t="s">
        <v>180</v>
      </c>
      <c r="D100" s="23" t="s">
        <v>174</v>
      </c>
      <c r="E100" s="23" t="s">
        <v>142</v>
      </c>
      <c r="F100" s="88">
        <v>115.29284245103989</v>
      </c>
      <c r="G100" s="88">
        <v>116.04477078731989</v>
      </c>
      <c r="H100" s="88">
        <v>115.67832042473991</v>
      </c>
      <c r="I100" s="88">
        <v>117.8527350314699</v>
      </c>
      <c r="J100" s="88">
        <v>117.6599960446199</v>
      </c>
      <c r="K100" s="88">
        <v>115.29284245103989</v>
      </c>
      <c r="L100" s="88">
        <v>115.85203180046987</v>
      </c>
      <c r="M100" s="88">
        <v>116.04477078731989</v>
      </c>
      <c r="N100" s="88">
        <v>115.67832042473991</v>
      </c>
      <c r="O100" s="88">
        <v>117.6599960446199</v>
      </c>
      <c r="P100" s="88">
        <v>115.29284245103989</v>
      </c>
      <c r="Q100" s="88">
        <v>115.29284245103989</v>
      </c>
      <c r="R100" s="88">
        <v>115.85203180046987</v>
      </c>
      <c r="S100" s="88">
        <v>115.67832042473991</v>
      </c>
      <c r="T100" s="88">
        <v>117.8527350314699</v>
      </c>
      <c r="U100" s="88">
        <v>117.6599960446199</v>
      </c>
      <c r="V100" s="88">
        <v>115.29284245103989</v>
      </c>
      <c r="W100" s="88">
        <v>115.85203180046987</v>
      </c>
      <c r="X100" s="88">
        <v>116.04477078731989</v>
      </c>
      <c r="Y100" s="88">
        <v>115.67832042473991</v>
      </c>
      <c r="Z100" s="88">
        <v>117.8527350314699</v>
      </c>
      <c r="AA100" s="88">
        <v>115.29284245103989</v>
      </c>
      <c r="AB100" s="88">
        <v>115.29284245103989</v>
      </c>
      <c r="AC100" s="88">
        <v>115.85203180046987</v>
      </c>
      <c r="AD100" s="88">
        <v>116.04477078731989</v>
      </c>
      <c r="AE100" s="88">
        <v>117.8527350314699</v>
      </c>
      <c r="AF100" s="88">
        <v>117.6599960446199</v>
      </c>
      <c r="AG100" s="88">
        <v>115.29284245103989</v>
      </c>
    </row>
    <row r="101" spans="1:33" x14ac:dyDescent="0.25">
      <c r="A101" s="23" t="s">
        <v>3</v>
      </c>
      <c r="B101" s="23" t="s">
        <v>172</v>
      </c>
      <c r="C101" s="23" t="s">
        <v>181</v>
      </c>
      <c r="D101" s="23" t="s">
        <v>91</v>
      </c>
      <c r="E101" s="23" t="s">
        <v>143</v>
      </c>
      <c r="F101" s="88">
        <v>162.35519225796006</v>
      </c>
      <c r="G101" s="88">
        <v>162.85447603163993</v>
      </c>
      <c r="H101" s="88">
        <v>162.45749437104001</v>
      </c>
      <c r="I101" s="88">
        <v>165.37481851379994</v>
      </c>
      <c r="J101" s="88">
        <v>165.32366745725997</v>
      </c>
      <c r="K101" s="88">
        <v>162.35519225796006</v>
      </c>
      <c r="L101" s="88">
        <v>162.80332497509997</v>
      </c>
      <c r="M101" s="88">
        <v>162.85447603163993</v>
      </c>
      <c r="N101" s="88">
        <v>162.45749437104001</v>
      </c>
      <c r="O101" s="88">
        <v>165.32366745725997</v>
      </c>
      <c r="P101" s="88">
        <v>162.35519225796006</v>
      </c>
      <c r="Q101" s="88">
        <v>162.35519225796006</v>
      </c>
      <c r="R101" s="88">
        <v>162.80332497509997</v>
      </c>
      <c r="S101" s="88">
        <v>162.45749437104001</v>
      </c>
      <c r="T101" s="88">
        <v>165.37481851379994</v>
      </c>
      <c r="U101" s="88">
        <v>165.32366745725997</v>
      </c>
      <c r="V101" s="88">
        <v>162.35519225796006</v>
      </c>
      <c r="W101" s="88">
        <v>162.80332497509997</v>
      </c>
      <c r="X101" s="88">
        <v>162.85447603163993</v>
      </c>
      <c r="Y101" s="88">
        <v>162.45749437104001</v>
      </c>
      <c r="Z101" s="88">
        <v>165.37481851379994</v>
      </c>
      <c r="AA101" s="88">
        <v>162.35519225796006</v>
      </c>
      <c r="AB101" s="88">
        <v>162.35519225796006</v>
      </c>
      <c r="AC101" s="88">
        <v>162.80332497509997</v>
      </c>
      <c r="AD101" s="88">
        <v>162.85447603163993</v>
      </c>
      <c r="AE101" s="88">
        <v>165.37481851379994</v>
      </c>
      <c r="AF101" s="88">
        <v>165.32366745725997</v>
      </c>
      <c r="AG101" s="88">
        <v>162.35519225796006</v>
      </c>
    </row>
    <row r="102" spans="1:33" x14ac:dyDescent="0.25">
      <c r="A102" s="23" t="s">
        <v>3</v>
      </c>
      <c r="B102" s="23" t="s">
        <v>172</v>
      </c>
      <c r="C102" s="23" t="s">
        <v>182</v>
      </c>
      <c r="D102" s="23" t="s">
        <v>95</v>
      </c>
      <c r="E102" s="23" t="s">
        <v>143</v>
      </c>
      <c r="F102" s="88">
        <v>107.66916685752008</v>
      </c>
      <c r="G102" s="88">
        <v>108.2840969496</v>
      </c>
      <c r="H102" s="88">
        <v>107.96601961248007</v>
      </c>
      <c r="I102" s="88">
        <v>109.96950766830004</v>
      </c>
      <c r="J102" s="88">
        <v>109.82108129082006</v>
      </c>
      <c r="K102" s="88">
        <v>107.66916685752008</v>
      </c>
      <c r="L102" s="88">
        <v>108.13567057212006</v>
      </c>
      <c r="M102" s="88">
        <v>108.2840969496</v>
      </c>
      <c r="N102" s="88">
        <v>107.96601961248007</v>
      </c>
      <c r="O102" s="88">
        <v>109.82108129082006</v>
      </c>
      <c r="P102" s="88">
        <v>107.66916685752008</v>
      </c>
      <c r="Q102" s="88">
        <v>107.66916685752008</v>
      </c>
      <c r="R102" s="88">
        <v>108.13567057212006</v>
      </c>
      <c r="S102" s="88">
        <v>107.96601961248007</v>
      </c>
      <c r="T102" s="88">
        <v>109.96950766830004</v>
      </c>
      <c r="U102" s="88">
        <v>109.82108129082006</v>
      </c>
      <c r="V102" s="88">
        <v>107.66916685752008</v>
      </c>
      <c r="W102" s="88">
        <v>108.13567057212006</v>
      </c>
      <c r="X102" s="88">
        <v>108.2840969496</v>
      </c>
      <c r="Y102" s="88">
        <v>107.96601961248007</v>
      </c>
      <c r="Z102" s="88">
        <v>109.96950766830004</v>
      </c>
      <c r="AA102" s="88">
        <v>107.66916685752008</v>
      </c>
      <c r="AB102" s="88">
        <v>107.66916685752008</v>
      </c>
      <c r="AC102" s="88">
        <v>108.13567057212006</v>
      </c>
      <c r="AD102" s="88">
        <v>108.2840969496</v>
      </c>
      <c r="AE102" s="88">
        <v>109.96950766830004</v>
      </c>
      <c r="AF102" s="88">
        <v>109.82108129082006</v>
      </c>
      <c r="AG102" s="88">
        <v>107.66916685752008</v>
      </c>
    </row>
    <row r="103" spans="1:33" x14ac:dyDescent="0.25">
      <c r="A103" s="23" t="s">
        <v>3</v>
      </c>
      <c r="B103" s="23" t="s">
        <v>172</v>
      </c>
      <c r="C103" s="23" t="s">
        <v>183</v>
      </c>
      <c r="D103" s="23" t="s">
        <v>99</v>
      </c>
      <c r="E103" s="23" t="s">
        <v>143</v>
      </c>
      <c r="F103" s="88">
        <v>45.612700453440034</v>
      </c>
      <c r="G103" s="88">
        <v>46.147270148160032</v>
      </c>
      <c r="H103" s="88">
        <v>45.93140477699999</v>
      </c>
      <c r="I103" s="88">
        <v>46.85149754106002</v>
      </c>
      <c r="J103" s="88">
        <v>46.692145379280028</v>
      </c>
      <c r="K103" s="88">
        <v>45.612700453440034</v>
      </c>
      <c r="L103" s="88">
        <v>45.987917986380033</v>
      </c>
      <c r="M103" s="88">
        <v>46.147270148160032</v>
      </c>
      <c r="N103" s="88">
        <v>45.93140477699999</v>
      </c>
      <c r="O103" s="88">
        <v>46.692145379280028</v>
      </c>
      <c r="P103" s="88">
        <v>45.612700453440034</v>
      </c>
      <c r="Q103" s="88">
        <v>45.612700453440034</v>
      </c>
      <c r="R103" s="88">
        <v>45.987917986380033</v>
      </c>
      <c r="S103" s="88">
        <v>45.93140477699999</v>
      </c>
      <c r="T103" s="88">
        <v>46.85149754106002</v>
      </c>
      <c r="U103" s="88">
        <v>46.692145379280028</v>
      </c>
      <c r="V103" s="88">
        <v>45.612700453440034</v>
      </c>
      <c r="W103" s="88">
        <v>45.987917986380033</v>
      </c>
      <c r="X103" s="88">
        <v>46.147270148160032</v>
      </c>
      <c r="Y103" s="88">
        <v>45.93140477699999</v>
      </c>
      <c r="Z103" s="88">
        <v>46.85149754106002</v>
      </c>
      <c r="AA103" s="88">
        <v>45.612700453440034</v>
      </c>
      <c r="AB103" s="88">
        <v>45.612700453440034</v>
      </c>
      <c r="AC103" s="88">
        <v>45.987917986380033</v>
      </c>
      <c r="AD103" s="88">
        <v>46.147270148160032</v>
      </c>
      <c r="AE103" s="88">
        <v>46.85149754106002</v>
      </c>
      <c r="AF103" s="88">
        <v>46.692145379280028</v>
      </c>
      <c r="AG103" s="88">
        <v>45.612700453440034</v>
      </c>
    </row>
    <row r="104" spans="1:33" x14ac:dyDescent="0.25">
      <c r="A104" s="23" t="s">
        <v>3</v>
      </c>
      <c r="B104" s="23" t="s">
        <v>172</v>
      </c>
      <c r="C104" s="23" t="s">
        <v>184</v>
      </c>
      <c r="D104" s="23" t="s">
        <v>102</v>
      </c>
      <c r="E104" s="23" t="s">
        <v>143</v>
      </c>
      <c r="F104" s="88">
        <v>0.90076467036000107</v>
      </c>
      <c r="G104" s="88">
        <v>0.95017181814000096</v>
      </c>
      <c r="H104" s="88">
        <v>0.94207201992000089</v>
      </c>
      <c r="I104" s="88">
        <v>0.97082549292000087</v>
      </c>
      <c r="J104" s="88">
        <v>0.95017181814000096</v>
      </c>
      <c r="K104" s="88">
        <v>0.90076467036000107</v>
      </c>
      <c r="L104" s="88">
        <v>0.92951814336000105</v>
      </c>
      <c r="M104" s="88">
        <v>0.95017181814000096</v>
      </c>
      <c r="N104" s="88">
        <v>0.94207201992000089</v>
      </c>
      <c r="O104" s="88">
        <v>0.95017181814000096</v>
      </c>
      <c r="P104" s="88">
        <v>0.90076467036000107</v>
      </c>
      <c r="Q104" s="88">
        <v>0.90076467036000107</v>
      </c>
      <c r="R104" s="88">
        <v>0.92951814336000105</v>
      </c>
      <c r="S104" s="88">
        <v>0.94207201992000089</v>
      </c>
      <c r="T104" s="88">
        <v>0.97082549292000087</v>
      </c>
      <c r="U104" s="88">
        <v>0.95017181814000096</v>
      </c>
      <c r="V104" s="88">
        <v>0.90076467036000107</v>
      </c>
      <c r="W104" s="88">
        <v>0.92951814336000105</v>
      </c>
      <c r="X104" s="88">
        <v>0.95017181814000096</v>
      </c>
      <c r="Y104" s="88">
        <v>0.94207201992000089</v>
      </c>
      <c r="Z104" s="88">
        <v>0.97082549292000087</v>
      </c>
      <c r="AA104" s="88">
        <v>0.90076467036000107</v>
      </c>
      <c r="AB104" s="88">
        <v>0.90076467036000107</v>
      </c>
      <c r="AC104" s="88">
        <v>0.92951814336000105</v>
      </c>
      <c r="AD104" s="88">
        <v>0.95017181814000096</v>
      </c>
      <c r="AE104" s="88">
        <v>0.97082549292000087</v>
      </c>
      <c r="AF104" s="88">
        <v>0.95017181814000096</v>
      </c>
      <c r="AG104" s="88">
        <v>0.90076467036000107</v>
      </c>
    </row>
    <row r="105" spans="1:33" x14ac:dyDescent="0.25">
      <c r="A105" s="23" t="s">
        <v>3</v>
      </c>
      <c r="B105" s="23" t="s">
        <v>172</v>
      </c>
      <c r="C105" s="23" t="s">
        <v>185</v>
      </c>
      <c r="D105" s="23" t="s">
        <v>174</v>
      </c>
      <c r="E105" s="23" t="s">
        <v>143</v>
      </c>
      <c r="F105" s="88">
        <v>113.22768369389979</v>
      </c>
      <c r="G105" s="88">
        <v>113.9758009200598</v>
      </c>
      <c r="H105" s="88">
        <v>113.59623451169981</v>
      </c>
      <c r="I105" s="88">
        <v>115.7276186228998</v>
      </c>
      <c r="J105" s="88">
        <v>115.54334321399998</v>
      </c>
      <c r="K105" s="88">
        <v>113.22768369389979</v>
      </c>
      <c r="L105" s="88">
        <v>113.79152551115979</v>
      </c>
      <c r="M105" s="88">
        <v>113.9758009200598</v>
      </c>
      <c r="N105" s="88">
        <v>113.59623451169981</v>
      </c>
      <c r="O105" s="88">
        <v>115.54334321399998</v>
      </c>
      <c r="P105" s="88">
        <v>113.22768369389979</v>
      </c>
      <c r="Q105" s="88">
        <v>113.22768369389979</v>
      </c>
      <c r="R105" s="88">
        <v>113.79152551115979</v>
      </c>
      <c r="S105" s="88">
        <v>113.59623451169981</v>
      </c>
      <c r="T105" s="88">
        <v>115.7276186228998</v>
      </c>
      <c r="U105" s="88">
        <v>115.54334321399998</v>
      </c>
      <c r="V105" s="88">
        <v>113.22768369389979</v>
      </c>
      <c r="W105" s="88">
        <v>113.79152551115979</v>
      </c>
      <c r="X105" s="88">
        <v>113.9758009200598</v>
      </c>
      <c r="Y105" s="88">
        <v>113.59623451169981</v>
      </c>
      <c r="Z105" s="88">
        <v>115.7276186228998</v>
      </c>
      <c r="AA105" s="88">
        <v>113.22768369389979</v>
      </c>
      <c r="AB105" s="88">
        <v>113.22768369389979</v>
      </c>
      <c r="AC105" s="88">
        <v>113.79152551115979</v>
      </c>
      <c r="AD105" s="88">
        <v>113.9758009200598</v>
      </c>
      <c r="AE105" s="88">
        <v>115.7276186228998</v>
      </c>
      <c r="AF105" s="88">
        <v>115.54334321399998</v>
      </c>
      <c r="AG105" s="88">
        <v>113.22768369389979</v>
      </c>
    </row>
    <row r="106" spans="1:33" x14ac:dyDescent="0.25">
      <c r="A106" s="23" t="s">
        <v>3</v>
      </c>
      <c r="B106" s="23" t="s">
        <v>172</v>
      </c>
      <c r="C106" s="23" t="s">
        <v>186</v>
      </c>
      <c r="D106" s="23" t="s">
        <v>91</v>
      </c>
      <c r="E106" s="23" t="s">
        <v>144</v>
      </c>
      <c r="F106" s="88">
        <v>162.35519225796006</v>
      </c>
      <c r="G106" s="88">
        <v>162.85447603163993</v>
      </c>
      <c r="H106" s="88">
        <v>162.45749437104001</v>
      </c>
      <c r="I106" s="88">
        <v>165.37481851379994</v>
      </c>
      <c r="J106" s="88">
        <v>165.32366745725997</v>
      </c>
      <c r="K106" s="88">
        <v>162.35519225796006</v>
      </c>
      <c r="L106" s="88">
        <v>162.80332497509997</v>
      </c>
      <c r="M106" s="88">
        <v>162.85447603163993</v>
      </c>
      <c r="N106" s="88">
        <v>162.45749437104001</v>
      </c>
      <c r="O106" s="88">
        <v>165.32366745725997</v>
      </c>
      <c r="P106" s="88">
        <v>162.35519225796006</v>
      </c>
      <c r="Q106" s="88">
        <v>162.35519225796006</v>
      </c>
      <c r="R106" s="88">
        <v>162.80332497509997</v>
      </c>
      <c r="S106" s="88">
        <v>162.45749437104001</v>
      </c>
      <c r="T106" s="88">
        <v>165.37481851379994</v>
      </c>
      <c r="U106" s="88">
        <v>165.32366745725997</v>
      </c>
      <c r="V106" s="88">
        <v>162.35519225796006</v>
      </c>
      <c r="W106" s="88">
        <v>162.80332497509997</v>
      </c>
      <c r="X106" s="88">
        <v>162.85447603163993</v>
      </c>
      <c r="Y106" s="88">
        <v>162.45749437104001</v>
      </c>
      <c r="Z106" s="88">
        <v>165.37481851379994</v>
      </c>
      <c r="AA106" s="88">
        <v>162.35519225796006</v>
      </c>
      <c r="AB106" s="88">
        <v>162.35519225796006</v>
      </c>
      <c r="AC106" s="88">
        <v>162.80332497509997</v>
      </c>
      <c r="AD106" s="88">
        <v>162.85447603163993</v>
      </c>
      <c r="AE106" s="88">
        <v>165.37481851379994</v>
      </c>
      <c r="AF106" s="88">
        <v>165.32366745725997</v>
      </c>
      <c r="AG106" s="88">
        <v>162.35519225796006</v>
      </c>
    </row>
    <row r="107" spans="1:33" x14ac:dyDescent="0.25">
      <c r="A107" s="23" t="s">
        <v>3</v>
      </c>
      <c r="B107" s="23" t="s">
        <v>172</v>
      </c>
      <c r="C107" s="23" t="s">
        <v>187</v>
      </c>
      <c r="D107" s="23" t="s">
        <v>95</v>
      </c>
      <c r="E107" s="23" t="s">
        <v>144</v>
      </c>
      <c r="F107" s="88">
        <v>107.66916685752008</v>
      </c>
      <c r="G107" s="88">
        <v>108.2840969496</v>
      </c>
      <c r="H107" s="88">
        <v>107.96601961248007</v>
      </c>
      <c r="I107" s="88">
        <v>109.96950766830004</v>
      </c>
      <c r="J107" s="88">
        <v>109.82108129082006</v>
      </c>
      <c r="K107" s="88">
        <v>107.66916685752008</v>
      </c>
      <c r="L107" s="88">
        <v>108.13567057212006</v>
      </c>
      <c r="M107" s="88">
        <v>108.2840969496</v>
      </c>
      <c r="N107" s="88">
        <v>107.96601961248007</v>
      </c>
      <c r="O107" s="88">
        <v>109.82108129082006</v>
      </c>
      <c r="P107" s="88">
        <v>107.66916685752008</v>
      </c>
      <c r="Q107" s="88">
        <v>107.66916685752008</v>
      </c>
      <c r="R107" s="88">
        <v>108.13567057212006</v>
      </c>
      <c r="S107" s="88">
        <v>107.96601961248007</v>
      </c>
      <c r="T107" s="88">
        <v>109.96950766830004</v>
      </c>
      <c r="U107" s="88">
        <v>109.82108129082006</v>
      </c>
      <c r="V107" s="88">
        <v>107.66916685752008</v>
      </c>
      <c r="W107" s="88">
        <v>108.13567057212006</v>
      </c>
      <c r="X107" s="88">
        <v>108.2840969496</v>
      </c>
      <c r="Y107" s="88">
        <v>107.96601961248007</v>
      </c>
      <c r="Z107" s="88">
        <v>109.96950766830004</v>
      </c>
      <c r="AA107" s="88">
        <v>107.66916685752008</v>
      </c>
      <c r="AB107" s="88">
        <v>107.66916685752008</v>
      </c>
      <c r="AC107" s="88">
        <v>108.13567057212006</v>
      </c>
      <c r="AD107" s="88">
        <v>108.2840969496</v>
      </c>
      <c r="AE107" s="88">
        <v>109.96950766830004</v>
      </c>
      <c r="AF107" s="88">
        <v>109.82108129082006</v>
      </c>
      <c r="AG107" s="88">
        <v>107.66916685752008</v>
      </c>
    </row>
    <row r="108" spans="1:33" x14ac:dyDescent="0.25">
      <c r="A108" s="23" t="s">
        <v>3</v>
      </c>
      <c r="B108" s="23" t="s">
        <v>172</v>
      </c>
      <c r="C108" s="23" t="s">
        <v>188</v>
      </c>
      <c r="D108" s="23" t="s">
        <v>99</v>
      </c>
      <c r="E108" s="23" t="s">
        <v>144</v>
      </c>
      <c r="F108" s="88">
        <v>45.612700453440034</v>
      </c>
      <c r="G108" s="88">
        <v>46.147270148160032</v>
      </c>
      <c r="H108" s="88">
        <v>45.93140477699999</v>
      </c>
      <c r="I108" s="88">
        <v>46.85149754106002</v>
      </c>
      <c r="J108" s="88">
        <v>46.692145379280028</v>
      </c>
      <c r="K108" s="88">
        <v>45.612700453440034</v>
      </c>
      <c r="L108" s="88">
        <v>45.987917986380033</v>
      </c>
      <c r="M108" s="88">
        <v>46.147270148160032</v>
      </c>
      <c r="N108" s="88">
        <v>45.93140477699999</v>
      </c>
      <c r="O108" s="88">
        <v>46.692145379280028</v>
      </c>
      <c r="P108" s="88">
        <v>45.612700453440034</v>
      </c>
      <c r="Q108" s="88">
        <v>45.612700453440034</v>
      </c>
      <c r="R108" s="88">
        <v>45.987917986380033</v>
      </c>
      <c r="S108" s="88">
        <v>45.93140477699999</v>
      </c>
      <c r="T108" s="88">
        <v>46.85149754106002</v>
      </c>
      <c r="U108" s="88">
        <v>46.692145379280028</v>
      </c>
      <c r="V108" s="88">
        <v>45.612700453440034</v>
      </c>
      <c r="W108" s="88">
        <v>45.987917986380033</v>
      </c>
      <c r="X108" s="88">
        <v>46.147270148160032</v>
      </c>
      <c r="Y108" s="88">
        <v>45.93140477699999</v>
      </c>
      <c r="Z108" s="88">
        <v>46.85149754106002</v>
      </c>
      <c r="AA108" s="88">
        <v>45.612700453440034</v>
      </c>
      <c r="AB108" s="88">
        <v>45.612700453440034</v>
      </c>
      <c r="AC108" s="88">
        <v>45.987917986380033</v>
      </c>
      <c r="AD108" s="88">
        <v>46.147270148160032</v>
      </c>
      <c r="AE108" s="88">
        <v>46.85149754106002</v>
      </c>
      <c r="AF108" s="88">
        <v>46.692145379280028</v>
      </c>
      <c r="AG108" s="88">
        <v>45.612700453440034</v>
      </c>
    </row>
    <row r="109" spans="1:33" x14ac:dyDescent="0.25">
      <c r="A109" s="23" t="s">
        <v>3</v>
      </c>
      <c r="B109" s="23" t="s">
        <v>172</v>
      </c>
      <c r="C109" s="23" t="s">
        <v>189</v>
      </c>
      <c r="D109" s="23" t="s">
        <v>102</v>
      </c>
      <c r="E109" s="23" t="s">
        <v>144</v>
      </c>
      <c r="F109" s="88">
        <v>0.90076467036000107</v>
      </c>
      <c r="G109" s="88">
        <v>0.95017181814000096</v>
      </c>
      <c r="H109" s="88">
        <v>0.94207201992000089</v>
      </c>
      <c r="I109" s="88">
        <v>0.97082549292000087</v>
      </c>
      <c r="J109" s="88">
        <v>0.95017181814000096</v>
      </c>
      <c r="K109" s="88">
        <v>0.90076467036000107</v>
      </c>
      <c r="L109" s="88">
        <v>0.92951814336000105</v>
      </c>
      <c r="M109" s="88">
        <v>0.95017181814000096</v>
      </c>
      <c r="N109" s="88">
        <v>0.94207201992000089</v>
      </c>
      <c r="O109" s="88">
        <v>0.95017181814000096</v>
      </c>
      <c r="P109" s="88">
        <v>0.90076467036000107</v>
      </c>
      <c r="Q109" s="88">
        <v>0.90076467036000107</v>
      </c>
      <c r="R109" s="88">
        <v>0.92951814336000105</v>
      </c>
      <c r="S109" s="88">
        <v>0.94207201992000089</v>
      </c>
      <c r="T109" s="88">
        <v>0.97082549292000087</v>
      </c>
      <c r="U109" s="88">
        <v>0.95017181814000096</v>
      </c>
      <c r="V109" s="88">
        <v>0.90076467036000107</v>
      </c>
      <c r="W109" s="88">
        <v>0.92951814336000105</v>
      </c>
      <c r="X109" s="88">
        <v>0.95017181814000096</v>
      </c>
      <c r="Y109" s="88">
        <v>0.94207201992000089</v>
      </c>
      <c r="Z109" s="88">
        <v>0.97082549292000087</v>
      </c>
      <c r="AA109" s="88">
        <v>0.90076467036000107</v>
      </c>
      <c r="AB109" s="88">
        <v>0.90076467036000107</v>
      </c>
      <c r="AC109" s="88">
        <v>0.92951814336000105</v>
      </c>
      <c r="AD109" s="88">
        <v>0.95017181814000096</v>
      </c>
      <c r="AE109" s="88">
        <v>0.97082549292000087</v>
      </c>
      <c r="AF109" s="88">
        <v>0.95017181814000096</v>
      </c>
      <c r="AG109" s="88">
        <v>0.90076467036000107</v>
      </c>
    </row>
    <row r="110" spans="1:33" x14ac:dyDescent="0.25">
      <c r="A110" s="23" t="s">
        <v>3</v>
      </c>
      <c r="B110" s="23" t="s">
        <v>172</v>
      </c>
      <c r="C110" s="23" t="s">
        <v>190</v>
      </c>
      <c r="D110" s="23" t="s">
        <v>174</v>
      </c>
      <c r="E110" s="23" t="s">
        <v>144</v>
      </c>
      <c r="F110" s="88">
        <v>113.22768369389979</v>
      </c>
      <c r="G110" s="88">
        <v>113.9758009200598</v>
      </c>
      <c r="H110" s="88">
        <v>113.59623451169981</v>
      </c>
      <c r="I110" s="88">
        <v>115.7276186228998</v>
      </c>
      <c r="J110" s="88">
        <v>115.54334321399998</v>
      </c>
      <c r="K110" s="88">
        <v>113.22768369389979</v>
      </c>
      <c r="L110" s="88">
        <v>113.79152551115979</v>
      </c>
      <c r="M110" s="88">
        <v>113.9758009200598</v>
      </c>
      <c r="N110" s="88">
        <v>113.59623451169981</v>
      </c>
      <c r="O110" s="88">
        <v>115.54334321399998</v>
      </c>
      <c r="P110" s="88">
        <v>113.22768369389979</v>
      </c>
      <c r="Q110" s="88">
        <v>113.22768369389979</v>
      </c>
      <c r="R110" s="88">
        <v>113.79152551115979</v>
      </c>
      <c r="S110" s="88">
        <v>113.59623451169981</v>
      </c>
      <c r="T110" s="88">
        <v>115.7276186228998</v>
      </c>
      <c r="U110" s="88">
        <v>115.54334321399998</v>
      </c>
      <c r="V110" s="88">
        <v>113.22768369389979</v>
      </c>
      <c r="W110" s="88">
        <v>113.79152551115979</v>
      </c>
      <c r="X110" s="88">
        <v>113.9758009200598</v>
      </c>
      <c r="Y110" s="88">
        <v>113.59623451169981</v>
      </c>
      <c r="Z110" s="88">
        <v>115.7276186228998</v>
      </c>
      <c r="AA110" s="88">
        <v>113.22768369389979</v>
      </c>
      <c r="AB110" s="88">
        <v>113.22768369389979</v>
      </c>
      <c r="AC110" s="88">
        <v>113.79152551115979</v>
      </c>
      <c r="AD110" s="88">
        <v>113.9758009200598</v>
      </c>
      <c r="AE110" s="88">
        <v>115.7276186228998</v>
      </c>
      <c r="AF110" s="88">
        <v>115.54334321399998</v>
      </c>
      <c r="AG110" s="88">
        <v>113.22768369389979</v>
      </c>
    </row>
    <row r="111" spans="1:33" x14ac:dyDescent="0.25">
      <c r="A111" s="23" t="s">
        <v>3</v>
      </c>
      <c r="B111" s="23" t="s">
        <v>172</v>
      </c>
      <c r="C111" s="23" t="s">
        <v>191</v>
      </c>
      <c r="D111" s="23" t="s">
        <v>91</v>
      </c>
      <c r="E111" s="23" t="s">
        <v>145</v>
      </c>
      <c r="F111" s="88">
        <v>162.35519225796006</v>
      </c>
      <c r="G111" s="88">
        <v>162.85447603163993</v>
      </c>
      <c r="H111" s="88">
        <v>162.45749437104001</v>
      </c>
      <c r="I111" s="88">
        <v>165.37481851379994</v>
      </c>
      <c r="J111" s="88">
        <v>165.32366745725997</v>
      </c>
      <c r="K111" s="88">
        <v>162.35519225796006</v>
      </c>
      <c r="L111" s="88">
        <v>162.80332497509997</v>
      </c>
      <c r="M111" s="88">
        <v>162.85447603163993</v>
      </c>
      <c r="N111" s="88">
        <v>162.45749437104001</v>
      </c>
      <c r="O111" s="88">
        <v>165.32366745725997</v>
      </c>
      <c r="P111" s="88">
        <v>162.35519225796006</v>
      </c>
      <c r="Q111" s="88">
        <v>162.35519225796006</v>
      </c>
      <c r="R111" s="88">
        <v>162.80332497509997</v>
      </c>
      <c r="S111" s="88">
        <v>162.45749437104001</v>
      </c>
      <c r="T111" s="88">
        <v>165.37481851379994</v>
      </c>
      <c r="U111" s="88">
        <v>165.32366745725997</v>
      </c>
      <c r="V111" s="88">
        <v>162.35519225796006</v>
      </c>
      <c r="W111" s="88">
        <v>162.80332497509997</v>
      </c>
      <c r="X111" s="88">
        <v>162.85447603163993</v>
      </c>
      <c r="Y111" s="88">
        <v>162.45749437104001</v>
      </c>
      <c r="Z111" s="88">
        <v>165.37481851379994</v>
      </c>
      <c r="AA111" s="88">
        <v>162.35519225796006</v>
      </c>
      <c r="AB111" s="88">
        <v>162.35519225796006</v>
      </c>
      <c r="AC111" s="88">
        <v>162.80332497509997</v>
      </c>
      <c r="AD111" s="88">
        <v>162.85447603163993</v>
      </c>
      <c r="AE111" s="88">
        <v>165.37481851379994</v>
      </c>
      <c r="AF111" s="88">
        <v>165.32366745725997</v>
      </c>
      <c r="AG111" s="88">
        <v>162.35519225796006</v>
      </c>
    </row>
    <row r="112" spans="1:33" x14ac:dyDescent="0.25">
      <c r="A112" s="23" t="s">
        <v>3</v>
      </c>
      <c r="B112" s="23" t="s">
        <v>172</v>
      </c>
      <c r="C112" s="23" t="s">
        <v>192</v>
      </c>
      <c r="D112" s="23" t="s">
        <v>95</v>
      </c>
      <c r="E112" s="23" t="s">
        <v>145</v>
      </c>
      <c r="F112" s="88">
        <v>107.66916685752008</v>
      </c>
      <c r="G112" s="88">
        <v>108.2840969496</v>
      </c>
      <c r="H112" s="88">
        <v>107.96601961248007</v>
      </c>
      <c r="I112" s="88">
        <v>109.96950766830004</v>
      </c>
      <c r="J112" s="88">
        <v>109.82108129082006</v>
      </c>
      <c r="K112" s="88">
        <v>107.66916685752008</v>
      </c>
      <c r="L112" s="88">
        <v>108.13567057212006</v>
      </c>
      <c r="M112" s="88">
        <v>108.2840969496</v>
      </c>
      <c r="N112" s="88">
        <v>107.96601961248007</v>
      </c>
      <c r="O112" s="88">
        <v>109.82108129082006</v>
      </c>
      <c r="P112" s="88">
        <v>107.66916685752008</v>
      </c>
      <c r="Q112" s="88">
        <v>107.66916685752008</v>
      </c>
      <c r="R112" s="88">
        <v>108.13567057212006</v>
      </c>
      <c r="S112" s="88">
        <v>107.96601961248007</v>
      </c>
      <c r="T112" s="88">
        <v>109.96950766830004</v>
      </c>
      <c r="U112" s="88">
        <v>109.82108129082006</v>
      </c>
      <c r="V112" s="88">
        <v>107.66916685752008</v>
      </c>
      <c r="W112" s="88">
        <v>108.13567057212006</v>
      </c>
      <c r="X112" s="88">
        <v>108.2840969496</v>
      </c>
      <c r="Y112" s="88">
        <v>107.96601961248007</v>
      </c>
      <c r="Z112" s="88">
        <v>109.96950766830004</v>
      </c>
      <c r="AA112" s="88">
        <v>107.66916685752008</v>
      </c>
      <c r="AB112" s="88">
        <v>107.66916685752008</v>
      </c>
      <c r="AC112" s="88">
        <v>108.13567057212006</v>
      </c>
      <c r="AD112" s="88">
        <v>108.2840969496</v>
      </c>
      <c r="AE112" s="88">
        <v>109.96950766830004</v>
      </c>
      <c r="AF112" s="88">
        <v>109.82108129082006</v>
      </c>
      <c r="AG112" s="88">
        <v>107.66916685752008</v>
      </c>
    </row>
    <row r="113" spans="1:33" x14ac:dyDescent="0.25">
      <c r="A113" s="23" t="s">
        <v>3</v>
      </c>
      <c r="B113" s="23" t="s">
        <v>172</v>
      </c>
      <c r="C113" s="23" t="s">
        <v>193</v>
      </c>
      <c r="D113" s="23" t="s">
        <v>99</v>
      </c>
      <c r="E113" s="23" t="s">
        <v>145</v>
      </c>
      <c r="F113" s="88">
        <v>45.612700453440034</v>
      </c>
      <c r="G113" s="88">
        <v>46.147270148160032</v>
      </c>
      <c r="H113" s="88">
        <v>45.93140477699999</v>
      </c>
      <c r="I113" s="88">
        <v>46.85149754106002</v>
      </c>
      <c r="J113" s="88">
        <v>46.692145379280028</v>
      </c>
      <c r="K113" s="88">
        <v>45.612700453440034</v>
      </c>
      <c r="L113" s="88">
        <v>45.987917986380033</v>
      </c>
      <c r="M113" s="88">
        <v>46.147270148160032</v>
      </c>
      <c r="N113" s="88">
        <v>45.93140477699999</v>
      </c>
      <c r="O113" s="88">
        <v>46.692145379280028</v>
      </c>
      <c r="P113" s="88">
        <v>45.612700453440034</v>
      </c>
      <c r="Q113" s="88">
        <v>45.612700453440034</v>
      </c>
      <c r="R113" s="88">
        <v>45.987917986380033</v>
      </c>
      <c r="S113" s="88">
        <v>45.93140477699999</v>
      </c>
      <c r="T113" s="88">
        <v>46.85149754106002</v>
      </c>
      <c r="U113" s="88">
        <v>46.692145379280028</v>
      </c>
      <c r="V113" s="88">
        <v>45.612700453440034</v>
      </c>
      <c r="W113" s="88">
        <v>45.987917986380033</v>
      </c>
      <c r="X113" s="88">
        <v>46.147270148160032</v>
      </c>
      <c r="Y113" s="88">
        <v>45.93140477699999</v>
      </c>
      <c r="Z113" s="88">
        <v>46.85149754106002</v>
      </c>
      <c r="AA113" s="88">
        <v>45.612700453440034</v>
      </c>
      <c r="AB113" s="88">
        <v>45.612700453440034</v>
      </c>
      <c r="AC113" s="88">
        <v>45.987917986380033</v>
      </c>
      <c r="AD113" s="88">
        <v>46.147270148160032</v>
      </c>
      <c r="AE113" s="88">
        <v>46.85149754106002</v>
      </c>
      <c r="AF113" s="88">
        <v>46.692145379280028</v>
      </c>
      <c r="AG113" s="88">
        <v>45.612700453440034</v>
      </c>
    </row>
    <row r="114" spans="1:33" x14ac:dyDescent="0.25">
      <c r="A114" s="23" t="s">
        <v>3</v>
      </c>
      <c r="B114" s="23" t="s">
        <v>172</v>
      </c>
      <c r="C114" s="23" t="s">
        <v>194</v>
      </c>
      <c r="D114" s="23" t="s">
        <v>102</v>
      </c>
      <c r="E114" s="23" t="s">
        <v>145</v>
      </c>
      <c r="F114" s="88">
        <v>0.90076467036000107</v>
      </c>
      <c r="G114" s="88">
        <v>0.95017181814000096</v>
      </c>
      <c r="H114" s="88">
        <v>0.94207201992000089</v>
      </c>
      <c r="I114" s="88">
        <v>0.97082549292000087</v>
      </c>
      <c r="J114" s="88">
        <v>0.95017181814000096</v>
      </c>
      <c r="K114" s="88">
        <v>0.90076467036000107</v>
      </c>
      <c r="L114" s="88">
        <v>0.92951814336000105</v>
      </c>
      <c r="M114" s="88">
        <v>0.95017181814000096</v>
      </c>
      <c r="N114" s="88">
        <v>0.94207201992000089</v>
      </c>
      <c r="O114" s="88">
        <v>0.95017181814000096</v>
      </c>
      <c r="P114" s="88">
        <v>0.90076467036000107</v>
      </c>
      <c r="Q114" s="88">
        <v>0.90076467036000107</v>
      </c>
      <c r="R114" s="88">
        <v>0.92951814336000105</v>
      </c>
      <c r="S114" s="88">
        <v>0.94207201992000089</v>
      </c>
      <c r="T114" s="88">
        <v>0.97082549292000087</v>
      </c>
      <c r="U114" s="88">
        <v>0.95017181814000096</v>
      </c>
      <c r="V114" s="88">
        <v>0.90076467036000107</v>
      </c>
      <c r="W114" s="88">
        <v>0.92951814336000105</v>
      </c>
      <c r="X114" s="88">
        <v>0.95017181814000096</v>
      </c>
      <c r="Y114" s="88">
        <v>0.94207201992000089</v>
      </c>
      <c r="Z114" s="88">
        <v>0.97082549292000087</v>
      </c>
      <c r="AA114" s="88">
        <v>0.90076467036000107</v>
      </c>
      <c r="AB114" s="88">
        <v>0.90076467036000107</v>
      </c>
      <c r="AC114" s="88">
        <v>0.92951814336000105</v>
      </c>
      <c r="AD114" s="88">
        <v>0.95017181814000096</v>
      </c>
      <c r="AE114" s="88">
        <v>0.97082549292000087</v>
      </c>
      <c r="AF114" s="88">
        <v>0.95017181814000096</v>
      </c>
      <c r="AG114" s="88">
        <v>0.90076467036000107</v>
      </c>
    </row>
    <row r="115" spans="1:33" x14ac:dyDescent="0.25">
      <c r="A115" s="23" t="s">
        <v>3</v>
      </c>
      <c r="B115" s="23" t="s">
        <v>172</v>
      </c>
      <c r="C115" s="23" t="s">
        <v>195</v>
      </c>
      <c r="D115" s="23" t="s">
        <v>174</v>
      </c>
      <c r="E115" s="23" t="s">
        <v>146</v>
      </c>
      <c r="F115" s="88">
        <v>145.34585218434006</v>
      </c>
      <c r="G115" s="88">
        <v>143.69749579319998</v>
      </c>
      <c r="H115" s="88">
        <v>143.57411881692005</v>
      </c>
      <c r="I115" s="88">
        <v>148.07022830544011</v>
      </c>
      <c r="J115" s="88">
        <v>147.90437514996015</v>
      </c>
      <c r="K115" s="88">
        <v>145.34585218434006</v>
      </c>
      <c r="L115" s="88">
        <v>145.63508231609998</v>
      </c>
      <c r="M115" s="88">
        <v>143.69749579319998</v>
      </c>
      <c r="N115" s="88">
        <v>143.57411881692005</v>
      </c>
      <c r="O115" s="88">
        <v>147.90437514996015</v>
      </c>
      <c r="P115" s="88">
        <v>145.34585218434006</v>
      </c>
      <c r="Q115" s="88">
        <v>145.34585218434006</v>
      </c>
      <c r="R115" s="88">
        <v>145.63508231609998</v>
      </c>
      <c r="S115" s="88">
        <v>143.57411881692005</v>
      </c>
      <c r="T115" s="88">
        <v>148.07022830544011</v>
      </c>
      <c r="U115" s="88">
        <v>147.90437514996015</v>
      </c>
      <c r="V115" s="88">
        <v>145.34585218434006</v>
      </c>
      <c r="W115" s="88">
        <v>145.63508231609998</v>
      </c>
      <c r="X115" s="88">
        <v>143.69749579319998</v>
      </c>
      <c r="Y115" s="88">
        <v>143.57411881692005</v>
      </c>
      <c r="Z115" s="88">
        <v>148.07022830544011</v>
      </c>
      <c r="AA115" s="88">
        <v>145.34585218434006</v>
      </c>
      <c r="AB115" s="88">
        <v>145.34585218434006</v>
      </c>
      <c r="AC115" s="88">
        <v>145.63508231609998</v>
      </c>
      <c r="AD115" s="88">
        <v>143.69749579319998</v>
      </c>
      <c r="AE115" s="88">
        <v>148.07022830544011</v>
      </c>
      <c r="AF115" s="88">
        <v>147.90437514996015</v>
      </c>
      <c r="AG115" s="88">
        <v>145.34585218434006</v>
      </c>
    </row>
    <row r="116" spans="1:33" x14ac:dyDescent="0.25">
      <c r="A116" s="23" t="s">
        <v>3</v>
      </c>
      <c r="B116" s="23" t="s">
        <v>172</v>
      </c>
      <c r="C116" s="23" t="s">
        <v>196</v>
      </c>
      <c r="D116" s="23" t="s">
        <v>174</v>
      </c>
      <c r="E116" s="23" t="s">
        <v>147</v>
      </c>
      <c r="F116" s="88">
        <v>177.25801949393971</v>
      </c>
      <c r="G116" s="88">
        <v>178.91654279771959</v>
      </c>
      <c r="H116" s="88">
        <v>178.13241068621963</v>
      </c>
      <c r="I116" s="88">
        <v>181.59411478913947</v>
      </c>
      <c r="J116" s="88">
        <v>181.15691919299945</v>
      </c>
      <c r="K116" s="88">
        <v>177.25801949393971</v>
      </c>
      <c r="L116" s="88">
        <v>178.47934720157957</v>
      </c>
      <c r="M116" s="88">
        <v>178.91654279771959</v>
      </c>
      <c r="N116" s="88">
        <v>178.13241068621963</v>
      </c>
      <c r="O116" s="88">
        <v>181.15691919299945</v>
      </c>
      <c r="P116" s="88">
        <v>177.25801949393971</v>
      </c>
      <c r="Q116" s="88">
        <v>177.25801949393971</v>
      </c>
      <c r="R116" s="88">
        <v>178.47934720157957</v>
      </c>
      <c r="S116" s="88">
        <v>178.13241068621963</v>
      </c>
      <c r="T116" s="88">
        <v>181.59411478913947</v>
      </c>
      <c r="U116" s="88">
        <v>181.15691919299945</v>
      </c>
      <c r="V116" s="88">
        <v>177.25801949393971</v>
      </c>
      <c r="W116" s="88">
        <v>178.47934720157957</v>
      </c>
      <c r="X116" s="88">
        <v>178.91654279771959</v>
      </c>
      <c r="Y116" s="88">
        <v>178.13241068621963</v>
      </c>
      <c r="Z116" s="88">
        <v>181.59411478913947</v>
      </c>
      <c r="AA116" s="88">
        <v>177.25801949393971</v>
      </c>
      <c r="AB116" s="88">
        <v>177.25801949393971</v>
      </c>
      <c r="AC116" s="88">
        <v>178.47934720157957</v>
      </c>
      <c r="AD116" s="88">
        <v>178.91654279771959</v>
      </c>
      <c r="AE116" s="88">
        <v>181.59411478913947</v>
      </c>
      <c r="AF116" s="88">
        <v>181.15691919299945</v>
      </c>
      <c r="AG116" s="88">
        <v>177.25801949393971</v>
      </c>
    </row>
    <row r="117" spans="1:33" x14ac:dyDescent="0.25">
      <c r="A117" s="23" t="s">
        <v>3</v>
      </c>
      <c r="B117" s="23" t="s">
        <v>172</v>
      </c>
      <c r="C117" s="23" t="s">
        <v>197</v>
      </c>
      <c r="D117" s="23" t="s">
        <v>174</v>
      </c>
      <c r="E117" s="23" t="s">
        <v>148</v>
      </c>
      <c r="F117" s="88">
        <v>173.62801494630017</v>
      </c>
      <c r="G117" s="88">
        <v>174.9323249505602</v>
      </c>
      <c r="H117" s="88">
        <v>174.34863414894019</v>
      </c>
      <c r="I117" s="88">
        <v>177.65686139316037</v>
      </c>
      <c r="J117" s="88">
        <v>177.29655179184027</v>
      </c>
      <c r="K117" s="88">
        <v>173.62801494630017</v>
      </c>
      <c r="L117" s="88">
        <v>174.57201534924019</v>
      </c>
      <c r="M117" s="88">
        <v>174.9323249505602</v>
      </c>
      <c r="N117" s="88">
        <v>174.34863414894019</v>
      </c>
      <c r="O117" s="88">
        <v>177.29655179184027</v>
      </c>
      <c r="P117" s="88">
        <v>173.62801494630017</v>
      </c>
      <c r="Q117" s="88">
        <v>173.62801494630017</v>
      </c>
      <c r="R117" s="88">
        <v>174.57201534924019</v>
      </c>
      <c r="S117" s="88">
        <v>174.34863414894019</v>
      </c>
      <c r="T117" s="88">
        <v>177.65686139316037</v>
      </c>
      <c r="U117" s="88">
        <v>177.29655179184027</v>
      </c>
      <c r="V117" s="88">
        <v>173.62801494630017</v>
      </c>
      <c r="W117" s="88">
        <v>174.57201534924019</v>
      </c>
      <c r="X117" s="88">
        <v>174.9323249505602</v>
      </c>
      <c r="Y117" s="88">
        <v>174.34863414894019</v>
      </c>
      <c r="Z117" s="88">
        <v>177.65686139316037</v>
      </c>
      <c r="AA117" s="88">
        <v>173.62801494630017</v>
      </c>
      <c r="AB117" s="88">
        <v>173.62801494630017</v>
      </c>
      <c r="AC117" s="88">
        <v>174.57201534924019</v>
      </c>
      <c r="AD117" s="88">
        <v>174.9323249505602</v>
      </c>
      <c r="AE117" s="88">
        <v>177.65686139316037</v>
      </c>
      <c r="AF117" s="88">
        <v>177.29655179184027</v>
      </c>
      <c r="AG117" s="88">
        <v>173.62801494630017</v>
      </c>
    </row>
    <row r="118" spans="1:33" x14ac:dyDescent="0.25">
      <c r="A118" s="23" t="s">
        <v>3</v>
      </c>
      <c r="B118" s="23" t="s">
        <v>172</v>
      </c>
      <c r="C118" s="23" t="s">
        <v>198</v>
      </c>
      <c r="D118" s="23" t="s">
        <v>174</v>
      </c>
      <c r="E118" s="23" t="s">
        <v>149</v>
      </c>
      <c r="F118" s="88">
        <v>153.03757672234005</v>
      </c>
      <c r="G118" s="88">
        <v>154.40944678216002</v>
      </c>
      <c r="H118" s="88">
        <v>154.08538463942003</v>
      </c>
      <c r="I118" s="88">
        <v>157.09160456464002</v>
      </c>
      <c r="J118" s="88">
        <v>156.5677006061</v>
      </c>
      <c r="K118" s="88">
        <v>153.03757672234005</v>
      </c>
      <c r="L118" s="88">
        <v>153.88554282362003</v>
      </c>
      <c r="M118" s="88">
        <v>154.40944678216002</v>
      </c>
      <c r="N118" s="88">
        <v>154.08538463942003</v>
      </c>
      <c r="O118" s="88">
        <v>156.5677006061</v>
      </c>
      <c r="P118" s="88">
        <v>153.03757672234005</v>
      </c>
      <c r="Q118" s="88">
        <v>153.03757672234005</v>
      </c>
      <c r="R118" s="88">
        <v>153.88554282362003</v>
      </c>
      <c r="S118" s="88">
        <v>154.08538463942003</v>
      </c>
      <c r="T118" s="88">
        <v>157.09160456464002</v>
      </c>
      <c r="U118" s="88">
        <v>156.5677006061</v>
      </c>
      <c r="V118" s="88">
        <v>153.03757672234005</v>
      </c>
      <c r="W118" s="88">
        <v>153.88554282362003</v>
      </c>
      <c r="X118" s="88">
        <v>154.40944678216002</v>
      </c>
      <c r="Y118" s="88">
        <v>154.08538463942003</v>
      </c>
      <c r="Z118" s="88">
        <v>157.09160456464002</v>
      </c>
      <c r="AA118" s="88">
        <v>153.03757672234005</v>
      </c>
      <c r="AB118" s="88">
        <v>153.03757672234005</v>
      </c>
      <c r="AC118" s="88">
        <v>153.88554282362003</v>
      </c>
      <c r="AD118" s="88">
        <v>154.40944678216002</v>
      </c>
      <c r="AE118" s="88">
        <v>157.09160456464002</v>
      </c>
      <c r="AF118" s="88">
        <v>156.5677006061</v>
      </c>
      <c r="AG118" s="88">
        <v>153.03757672234005</v>
      </c>
    </row>
    <row r="119" spans="1:33" x14ac:dyDescent="0.25">
      <c r="A119" s="23" t="s">
        <v>3</v>
      </c>
      <c r="B119" s="23" t="s">
        <v>172</v>
      </c>
      <c r="C119" s="23" t="s">
        <v>199</v>
      </c>
      <c r="D119" s="23" t="s">
        <v>174</v>
      </c>
      <c r="E119" s="23" t="s">
        <v>150</v>
      </c>
      <c r="F119" s="88">
        <v>159.08393600034034</v>
      </c>
      <c r="G119" s="88">
        <v>160.69248032160036</v>
      </c>
      <c r="H119" s="88">
        <v>160.17369572238039</v>
      </c>
      <c r="I119" s="88">
        <v>163.34838075438037</v>
      </c>
      <c r="J119" s="88">
        <v>162.80350089336036</v>
      </c>
      <c r="K119" s="88">
        <v>159.08393600034034</v>
      </c>
      <c r="L119" s="88">
        <v>160.14760046058035</v>
      </c>
      <c r="M119" s="88">
        <v>160.69248032160036</v>
      </c>
      <c r="N119" s="88">
        <v>160.17369572238039</v>
      </c>
      <c r="O119" s="88">
        <v>162.80350089336036</v>
      </c>
      <c r="P119" s="88">
        <v>159.08393600034034</v>
      </c>
      <c r="Q119" s="88">
        <v>159.08393600034034</v>
      </c>
      <c r="R119" s="88">
        <v>160.14760046058035</v>
      </c>
      <c r="S119" s="88">
        <v>160.17369572238039</v>
      </c>
      <c r="T119" s="88">
        <v>163.34838075438037</v>
      </c>
      <c r="U119" s="88">
        <v>162.80350089336036</v>
      </c>
      <c r="V119" s="88">
        <v>159.08393600034034</v>
      </c>
      <c r="W119" s="88">
        <v>160.14760046058035</v>
      </c>
      <c r="X119" s="88">
        <v>160.69248032160036</v>
      </c>
      <c r="Y119" s="88">
        <v>160.17369572238039</v>
      </c>
      <c r="Z119" s="88">
        <v>163.34838075438037</v>
      </c>
      <c r="AA119" s="88">
        <v>159.08393600034034</v>
      </c>
      <c r="AB119" s="88">
        <v>159.08393600034034</v>
      </c>
      <c r="AC119" s="88">
        <v>160.14760046058035</v>
      </c>
      <c r="AD119" s="88">
        <v>160.69248032160036</v>
      </c>
      <c r="AE119" s="88">
        <v>163.34838075438037</v>
      </c>
      <c r="AF119" s="88">
        <v>162.80350089336036</v>
      </c>
      <c r="AG119" s="88">
        <v>159.08393600034034</v>
      </c>
    </row>
    <row r="120" spans="1:33" x14ac:dyDescent="0.25">
      <c r="A120" s="23" t="s">
        <v>3</v>
      </c>
      <c r="B120" s="23" t="s">
        <v>172</v>
      </c>
      <c r="C120" s="23" t="s">
        <v>200</v>
      </c>
      <c r="D120" s="23" t="s">
        <v>174</v>
      </c>
      <c r="E120" s="23" t="s">
        <v>151</v>
      </c>
      <c r="F120" s="88">
        <v>153.03757672234005</v>
      </c>
      <c r="G120" s="88">
        <v>154.40944678216002</v>
      </c>
      <c r="H120" s="88">
        <v>154.08538463942003</v>
      </c>
      <c r="I120" s="88">
        <v>157.09160456464002</v>
      </c>
      <c r="J120" s="88">
        <v>156.5677006061</v>
      </c>
      <c r="K120" s="88">
        <v>153.03757672234005</v>
      </c>
      <c r="L120" s="88">
        <v>153.88554282362003</v>
      </c>
      <c r="M120" s="88">
        <v>154.40944678216002</v>
      </c>
      <c r="N120" s="88">
        <v>154.08538463942003</v>
      </c>
      <c r="O120" s="88">
        <v>156.5677006061</v>
      </c>
      <c r="P120" s="88">
        <v>153.03757672234005</v>
      </c>
      <c r="Q120" s="88">
        <v>153.03757672234005</v>
      </c>
      <c r="R120" s="88">
        <v>153.88554282362003</v>
      </c>
      <c r="S120" s="88">
        <v>154.08538463942003</v>
      </c>
      <c r="T120" s="88">
        <v>157.09160456464002</v>
      </c>
      <c r="U120" s="88">
        <v>156.5677006061</v>
      </c>
      <c r="V120" s="88">
        <v>153.03757672234005</v>
      </c>
      <c r="W120" s="88">
        <v>153.88554282362003</v>
      </c>
      <c r="X120" s="88">
        <v>154.40944678216002</v>
      </c>
      <c r="Y120" s="88">
        <v>154.08538463942003</v>
      </c>
      <c r="Z120" s="88">
        <v>157.09160456464002</v>
      </c>
      <c r="AA120" s="88">
        <v>153.03757672234005</v>
      </c>
      <c r="AB120" s="88">
        <v>153.03757672234005</v>
      </c>
      <c r="AC120" s="88">
        <v>153.88554282362003</v>
      </c>
      <c r="AD120" s="88">
        <v>154.40944678216002</v>
      </c>
      <c r="AE120" s="88">
        <v>157.09160456464002</v>
      </c>
      <c r="AF120" s="88">
        <v>156.5677006061</v>
      </c>
      <c r="AG120" s="88">
        <v>153.03757672234005</v>
      </c>
    </row>
    <row r="121" spans="1:33" x14ac:dyDescent="0.25">
      <c r="A121" s="23" t="s">
        <v>3</v>
      </c>
      <c r="B121" s="23" t="s">
        <v>172</v>
      </c>
      <c r="C121" s="23" t="s">
        <v>201</v>
      </c>
      <c r="D121" s="23" t="s">
        <v>174</v>
      </c>
      <c r="E121" s="23" t="s">
        <v>152</v>
      </c>
      <c r="F121" s="88">
        <v>156.62698748346025</v>
      </c>
      <c r="G121" s="88">
        <v>158.09743868094014</v>
      </c>
      <c r="H121" s="88">
        <v>157.51893690702016</v>
      </c>
      <c r="I121" s="88">
        <v>160.60230584862012</v>
      </c>
      <c r="J121" s="88">
        <v>160.15633113684015</v>
      </c>
      <c r="K121" s="88">
        <v>156.62698748346025</v>
      </c>
      <c r="L121" s="88">
        <v>157.6514639691602</v>
      </c>
      <c r="M121" s="88">
        <v>158.09743868094014</v>
      </c>
      <c r="N121" s="88">
        <v>157.51893690702016</v>
      </c>
      <c r="O121" s="88">
        <v>160.15633113684015</v>
      </c>
      <c r="P121" s="88">
        <v>156.62698748346025</v>
      </c>
      <c r="Q121" s="88">
        <v>156.62698748346025</v>
      </c>
      <c r="R121" s="88">
        <v>157.6514639691602</v>
      </c>
      <c r="S121" s="88">
        <v>157.51893690702016</v>
      </c>
      <c r="T121" s="88">
        <v>160.60230584862012</v>
      </c>
      <c r="U121" s="88">
        <v>160.15633113684015</v>
      </c>
      <c r="V121" s="88">
        <v>156.62698748346025</v>
      </c>
      <c r="W121" s="88">
        <v>157.6514639691602</v>
      </c>
      <c r="X121" s="88">
        <v>158.09743868094014</v>
      </c>
      <c r="Y121" s="88">
        <v>157.51893690702016</v>
      </c>
      <c r="Z121" s="88">
        <v>160.60230584862012</v>
      </c>
      <c r="AA121" s="88">
        <v>156.62698748346025</v>
      </c>
      <c r="AB121" s="88">
        <v>156.62698748346025</v>
      </c>
      <c r="AC121" s="88">
        <v>157.6514639691602</v>
      </c>
      <c r="AD121" s="88">
        <v>158.09743868094014</v>
      </c>
      <c r="AE121" s="88">
        <v>160.60230584862012</v>
      </c>
      <c r="AF121" s="88">
        <v>160.15633113684015</v>
      </c>
      <c r="AG121" s="88">
        <v>156.62698748346025</v>
      </c>
    </row>
    <row r="122" spans="1:33" x14ac:dyDescent="0.25">
      <c r="A122" s="23" t="s">
        <v>3</v>
      </c>
      <c r="B122" s="23" t="s">
        <v>172</v>
      </c>
      <c r="C122" s="23" t="s">
        <v>202</v>
      </c>
      <c r="D122" s="23" t="s">
        <v>174</v>
      </c>
      <c r="E122" s="23" t="s">
        <v>153</v>
      </c>
      <c r="F122" s="88">
        <v>154.13951102334005</v>
      </c>
      <c r="G122" s="88">
        <v>155.64950564127005</v>
      </c>
      <c r="H122" s="88">
        <v>155.06141005698007</v>
      </c>
      <c r="I122" s="88">
        <v>158.10326427228009</v>
      </c>
      <c r="J122" s="88">
        <v>157.64231475546009</v>
      </c>
      <c r="K122" s="88">
        <v>154.13951102334005</v>
      </c>
      <c r="L122" s="88">
        <v>155.18855612445003</v>
      </c>
      <c r="M122" s="88">
        <v>155.64950564127005</v>
      </c>
      <c r="N122" s="88">
        <v>155.06141005698007</v>
      </c>
      <c r="O122" s="88">
        <v>157.64231475546009</v>
      </c>
      <c r="P122" s="88">
        <v>154.13951102334005</v>
      </c>
      <c r="Q122" s="88">
        <v>154.13951102334005</v>
      </c>
      <c r="R122" s="88">
        <v>155.18855612445003</v>
      </c>
      <c r="S122" s="88">
        <v>155.06141005698007</v>
      </c>
      <c r="T122" s="88">
        <v>158.10326427228009</v>
      </c>
      <c r="U122" s="88">
        <v>157.64231475546009</v>
      </c>
      <c r="V122" s="88">
        <v>154.13951102334005</v>
      </c>
      <c r="W122" s="88">
        <v>155.18855612445003</v>
      </c>
      <c r="X122" s="88">
        <v>155.64950564127005</v>
      </c>
      <c r="Y122" s="88">
        <v>155.06141005698007</v>
      </c>
      <c r="Z122" s="88">
        <v>158.10326427228009</v>
      </c>
      <c r="AA122" s="88">
        <v>154.13951102334005</v>
      </c>
      <c r="AB122" s="88">
        <v>154.13951102334005</v>
      </c>
      <c r="AC122" s="88">
        <v>155.18855612445003</v>
      </c>
      <c r="AD122" s="88">
        <v>155.64950564127005</v>
      </c>
      <c r="AE122" s="88">
        <v>158.10326427228009</v>
      </c>
      <c r="AF122" s="88">
        <v>157.64231475546009</v>
      </c>
      <c r="AG122" s="88">
        <v>154.13951102334005</v>
      </c>
    </row>
    <row r="123" spans="1:33" x14ac:dyDescent="0.25">
      <c r="A123" s="23" t="s">
        <v>3</v>
      </c>
      <c r="B123" s="23" t="s">
        <v>172</v>
      </c>
      <c r="C123" s="23" t="s">
        <v>203</v>
      </c>
      <c r="D123" s="23" t="s">
        <v>91</v>
      </c>
      <c r="E123" s="23" t="s">
        <v>154</v>
      </c>
      <c r="F123" s="88">
        <v>157.92845961846001</v>
      </c>
      <c r="G123" s="88">
        <v>158.8364419013399</v>
      </c>
      <c r="H123" s="88">
        <v>158.29631375429997</v>
      </c>
      <c r="I123" s="88">
        <v>161.23445426693991</v>
      </c>
      <c r="J123" s="88">
        <v>161.05052719901994</v>
      </c>
      <c r="K123" s="88">
        <v>157.92845961846001</v>
      </c>
      <c r="L123" s="88">
        <v>158.65251483341996</v>
      </c>
      <c r="M123" s="88">
        <v>158.8364419013399</v>
      </c>
      <c r="N123" s="88">
        <v>158.29631375429997</v>
      </c>
      <c r="O123" s="88">
        <v>161.05052719901994</v>
      </c>
      <c r="P123" s="88">
        <v>157.92845961846001</v>
      </c>
      <c r="Q123" s="88">
        <v>157.92845961846001</v>
      </c>
      <c r="R123" s="88">
        <v>158.65251483341996</v>
      </c>
      <c r="S123" s="88">
        <v>158.29631375429997</v>
      </c>
      <c r="T123" s="88">
        <v>161.23445426693991</v>
      </c>
      <c r="U123" s="88">
        <v>161.05052719901994</v>
      </c>
      <c r="V123" s="88">
        <v>157.92845961846001</v>
      </c>
      <c r="W123" s="88">
        <v>158.65251483341996</v>
      </c>
      <c r="X123" s="88">
        <v>158.8364419013399</v>
      </c>
      <c r="Y123" s="88">
        <v>158.29631375429997</v>
      </c>
      <c r="Z123" s="88">
        <v>161.23445426693991</v>
      </c>
      <c r="AA123" s="88">
        <v>157.92845961846001</v>
      </c>
      <c r="AB123" s="88">
        <v>157.92845961846001</v>
      </c>
      <c r="AC123" s="88">
        <v>158.65251483341996</v>
      </c>
      <c r="AD123" s="88">
        <v>158.8364419013399</v>
      </c>
      <c r="AE123" s="88">
        <v>161.23445426693991</v>
      </c>
      <c r="AF123" s="88">
        <v>161.05052719901994</v>
      </c>
      <c r="AG123" s="88">
        <v>157.92845961846001</v>
      </c>
    </row>
    <row r="124" spans="1:33" x14ac:dyDescent="0.25">
      <c r="A124" s="23" t="s">
        <v>3</v>
      </c>
      <c r="B124" s="23" t="s">
        <v>172</v>
      </c>
      <c r="C124" s="23" t="s">
        <v>204</v>
      </c>
      <c r="D124" s="23" t="s">
        <v>95</v>
      </c>
      <c r="E124" s="23" t="s">
        <v>154</v>
      </c>
      <c r="F124" s="88">
        <v>133.89232279470005</v>
      </c>
      <c r="G124" s="88">
        <v>134.94262628814013</v>
      </c>
      <c r="H124" s="88">
        <v>134.52225050322011</v>
      </c>
      <c r="I124" s="88">
        <v>137.09137906278013</v>
      </c>
      <c r="J124" s="88">
        <v>136.77641520852012</v>
      </c>
      <c r="K124" s="88">
        <v>133.89232279470005</v>
      </c>
      <c r="L124" s="88">
        <v>134.62766243388012</v>
      </c>
      <c r="M124" s="88">
        <v>134.94262628814013</v>
      </c>
      <c r="N124" s="88">
        <v>134.52225050322011</v>
      </c>
      <c r="O124" s="88">
        <v>136.77641520852012</v>
      </c>
      <c r="P124" s="88">
        <v>133.89232279470005</v>
      </c>
      <c r="Q124" s="88">
        <v>133.89232279470005</v>
      </c>
      <c r="R124" s="88">
        <v>134.62766243388012</v>
      </c>
      <c r="S124" s="88">
        <v>134.52225050322011</v>
      </c>
      <c r="T124" s="88">
        <v>137.09137906278013</v>
      </c>
      <c r="U124" s="88">
        <v>136.77641520852012</v>
      </c>
      <c r="V124" s="88">
        <v>133.89232279470005</v>
      </c>
      <c r="W124" s="88">
        <v>134.62766243388012</v>
      </c>
      <c r="X124" s="88">
        <v>134.94262628814013</v>
      </c>
      <c r="Y124" s="88">
        <v>134.52225050322011</v>
      </c>
      <c r="Z124" s="88">
        <v>137.09137906278013</v>
      </c>
      <c r="AA124" s="88">
        <v>133.89232279470005</v>
      </c>
      <c r="AB124" s="88">
        <v>133.89232279470005</v>
      </c>
      <c r="AC124" s="88">
        <v>134.62766243388012</v>
      </c>
      <c r="AD124" s="88">
        <v>134.94262628814013</v>
      </c>
      <c r="AE124" s="88">
        <v>137.09137906278013</v>
      </c>
      <c r="AF124" s="88">
        <v>136.77641520852012</v>
      </c>
      <c r="AG124" s="88">
        <v>133.89232279470005</v>
      </c>
    </row>
    <row r="125" spans="1:33" x14ac:dyDescent="0.25">
      <c r="A125" s="23" t="s">
        <v>3</v>
      </c>
      <c r="B125" s="23" t="s">
        <v>172</v>
      </c>
      <c r="C125" s="23" t="s">
        <v>205</v>
      </c>
      <c r="D125" s="23" t="s">
        <v>99</v>
      </c>
      <c r="E125" s="23" t="s">
        <v>154</v>
      </c>
      <c r="F125" s="88">
        <v>83.67809269866008</v>
      </c>
      <c r="G125" s="88">
        <v>85.085140461299972</v>
      </c>
      <c r="H125" s="88">
        <v>84.660508963379968</v>
      </c>
      <c r="I125" s="88">
        <v>86.467530582659975</v>
      </c>
      <c r="J125" s="88">
        <v>85.976322450299975</v>
      </c>
      <c r="K125" s="88">
        <v>83.67809269866008</v>
      </c>
      <c r="L125" s="88">
        <v>84.593932328940014</v>
      </c>
      <c r="M125" s="88">
        <v>85.085140461299972</v>
      </c>
      <c r="N125" s="88">
        <v>84.660508963379968</v>
      </c>
      <c r="O125" s="88">
        <v>85.976322450299975</v>
      </c>
      <c r="P125" s="88">
        <v>83.67809269866008</v>
      </c>
      <c r="Q125" s="88">
        <v>83.67809269866008</v>
      </c>
      <c r="R125" s="88">
        <v>84.593932328940014</v>
      </c>
      <c r="S125" s="88">
        <v>84.660508963379968</v>
      </c>
      <c r="T125" s="88">
        <v>86.467530582659975</v>
      </c>
      <c r="U125" s="88">
        <v>85.976322450299975</v>
      </c>
      <c r="V125" s="88">
        <v>83.67809269866008</v>
      </c>
      <c r="W125" s="88">
        <v>84.593932328940014</v>
      </c>
      <c r="X125" s="88">
        <v>85.085140461299972</v>
      </c>
      <c r="Y125" s="88">
        <v>84.660508963379968</v>
      </c>
      <c r="Z125" s="88">
        <v>86.467530582659975</v>
      </c>
      <c r="AA125" s="88">
        <v>83.67809269866008</v>
      </c>
      <c r="AB125" s="88">
        <v>83.67809269866008</v>
      </c>
      <c r="AC125" s="88">
        <v>84.593932328940014</v>
      </c>
      <c r="AD125" s="88">
        <v>85.085140461299972</v>
      </c>
      <c r="AE125" s="88">
        <v>86.467530582659975</v>
      </c>
      <c r="AF125" s="88">
        <v>85.976322450299975</v>
      </c>
      <c r="AG125" s="88">
        <v>83.67809269866008</v>
      </c>
    </row>
    <row r="126" spans="1:33" x14ac:dyDescent="0.25">
      <c r="A126" s="23" t="s">
        <v>3</v>
      </c>
      <c r="B126" s="23" t="s">
        <v>172</v>
      </c>
      <c r="C126" s="23" t="s">
        <v>206</v>
      </c>
      <c r="D126" s="23" t="s">
        <v>102</v>
      </c>
      <c r="E126" s="23" t="s">
        <v>154</v>
      </c>
      <c r="F126" s="88">
        <v>4.7480521306799996</v>
      </c>
      <c r="G126" s="88">
        <v>5.0224217738399997</v>
      </c>
      <c r="H126" s="88">
        <v>4.9828431364799997</v>
      </c>
      <c r="I126" s="88">
        <v>5.1398172767399988</v>
      </c>
      <c r="J126" s="88">
        <v>5.0224217738399997</v>
      </c>
      <c r="K126" s="88">
        <v>4.7480521306799996</v>
      </c>
      <c r="L126" s="88">
        <v>4.9050262709399997</v>
      </c>
      <c r="M126" s="88">
        <v>5.0224217738399997</v>
      </c>
      <c r="N126" s="88">
        <v>4.9828431364799997</v>
      </c>
      <c r="O126" s="88">
        <v>5.0224217738399997</v>
      </c>
      <c r="P126" s="88">
        <v>4.7480521306799996</v>
      </c>
      <c r="Q126" s="88">
        <v>4.7480521306799996</v>
      </c>
      <c r="R126" s="88">
        <v>4.9050262709399997</v>
      </c>
      <c r="S126" s="88">
        <v>4.9828431364799997</v>
      </c>
      <c r="T126" s="88">
        <v>5.1398172767399988</v>
      </c>
      <c r="U126" s="88">
        <v>5.0224217738399997</v>
      </c>
      <c r="V126" s="88">
        <v>4.7480521306799996</v>
      </c>
      <c r="W126" s="88">
        <v>4.9050262709399997</v>
      </c>
      <c r="X126" s="88">
        <v>5.0224217738399997</v>
      </c>
      <c r="Y126" s="88">
        <v>4.9828431364799997</v>
      </c>
      <c r="Z126" s="88">
        <v>5.1398172767399988</v>
      </c>
      <c r="AA126" s="88">
        <v>4.7480521306799996</v>
      </c>
      <c r="AB126" s="88">
        <v>4.7480521306799996</v>
      </c>
      <c r="AC126" s="88">
        <v>4.9050262709399997</v>
      </c>
      <c r="AD126" s="88">
        <v>5.0224217738399997</v>
      </c>
      <c r="AE126" s="88">
        <v>5.1398172767399988</v>
      </c>
      <c r="AF126" s="88">
        <v>5.0224217738399997</v>
      </c>
      <c r="AG126" s="88">
        <v>4.7480521306799996</v>
      </c>
    </row>
    <row r="127" spans="1:33" x14ac:dyDescent="0.25">
      <c r="A127" s="23" t="s">
        <v>3</v>
      </c>
      <c r="B127" s="23" t="s">
        <v>172</v>
      </c>
      <c r="C127" s="23" t="s">
        <v>207</v>
      </c>
      <c r="D127" s="23" t="s">
        <v>174</v>
      </c>
      <c r="E127" s="23" t="s">
        <v>154</v>
      </c>
      <c r="F127" s="88">
        <v>151.65203456322038</v>
      </c>
      <c r="G127" s="88">
        <v>153.20157260160039</v>
      </c>
      <c r="H127" s="88">
        <v>152.60388320694034</v>
      </c>
      <c r="I127" s="88">
        <v>155.60422269594036</v>
      </c>
      <c r="J127" s="88">
        <v>155.12829837408037</v>
      </c>
      <c r="K127" s="88">
        <v>151.65203456322038</v>
      </c>
      <c r="L127" s="88">
        <v>152.72564827974043</v>
      </c>
      <c r="M127" s="88">
        <v>153.20157260160039</v>
      </c>
      <c r="N127" s="88">
        <v>152.60388320694034</v>
      </c>
      <c r="O127" s="88">
        <v>155.12829837408037</v>
      </c>
      <c r="P127" s="88">
        <v>151.65203456322038</v>
      </c>
      <c r="Q127" s="88">
        <v>151.65203456322038</v>
      </c>
      <c r="R127" s="88">
        <v>152.72564827974043</v>
      </c>
      <c r="S127" s="88">
        <v>152.60388320694034</v>
      </c>
      <c r="T127" s="88">
        <v>155.60422269594036</v>
      </c>
      <c r="U127" s="88">
        <v>155.12829837408037</v>
      </c>
      <c r="V127" s="88">
        <v>151.65203456322038</v>
      </c>
      <c r="W127" s="88">
        <v>152.72564827974043</v>
      </c>
      <c r="X127" s="88">
        <v>153.20157260160039</v>
      </c>
      <c r="Y127" s="88">
        <v>152.60388320694034</v>
      </c>
      <c r="Z127" s="88">
        <v>155.60422269594036</v>
      </c>
      <c r="AA127" s="88">
        <v>151.65203456322038</v>
      </c>
      <c r="AB127" s="88">
        <v>151.65203456322038</v>
      </c>
      <c r="AC127" s="88">
        <v>152.72564827974043</v>
      </c>
      <c r="AD127" s="88">
        <v>153.20157260160039</v>
      </c>
      <c r="AE127" s="88">
        <v>155.60422269594036</v>
      </c>
      <c r="AF127" s="88">
        <v>155.12829837408037</v>
      </c>
      <c r="AG127" s="88">
        <v>151.65203456322038</v>
      </c>
    </row>
    <row r="128" spans="1:33" x14ac:dyDescent="0.25">
      <c r="A128" s="23" t="s">
        <v>3</v>
      </c>
      <c r="B128" s="23" t="s">
        <v>172</v>
      </c>
      <c r="C128" s="23" t="s">
        <v>208</v>
      </c>
      <c r="D128" s="23" t="s">
        <v>91</v>
      </c>
      <c r="E128" s="23" t="s">
        <v>155</v>
      </c>
      <c r="F128" s="88">
        <v>157.92845961846001</v>
      </c>
      <c r="G128" s="88">
        <v>158.8364419013399</v>
      </c>
      <c r="H128" s="88">
        <v>158.29631375429997</v>
      </c>
      <c r="I128" s="88">
        <v>161.23445426693991</v>
      </c>
      <c r="J128" s="88">
        <v>161.05052719901994</v>
      </c>
      <c r="K128" s="88">
        <v>157.92845961846001</v>
      </c>
      <c r="L128" s="88">
        <v>158.65251483341996</v>
      </c>
      <c r="M128" s="88">
        <v>158.8364419013399</v>
      </c>
      <c r="N128" s="88">
        <v>158.29631375429997</v>
      </c>
      <c r="O128" s="88">
        <v>161.05052719901994</v>
      </c>
      <c r="P128" s="88">
        <v>157.92845961846001</v>
      </c>
      <c r="Q128" s="88">
        <v>157.92845961846001</v>
      </c>
      <c r="R128" s="88">
        <v>158.65251483341996</v>
      </c>
      <c r="S128" s="88">
        <v>158.29631375429997</v>
      </c>
      <c r="T128" s="88">
        <v>161.23445426693991</v>
      </c>
      <c r="U128" s="88">
        <v>161.05052719901994</v>
      </c>
      <c r="V128" s="88">
        <v>157.92845961846001</v>
      </c>
      <c r="W128" s="88">
        <v>158.65251483341996</v>
      </c>
      <c r="X128" s="88">
        <v>158.8364419013399</v>
      </c>
      <c r="Y128" s="88">
        <v>158.29631375429997</v>
      </c>
      <c r="Z128" s="88">
        <v>161.23445426693991</v>
      </c>
      <c r="AA128" s="88">
        <v>157.92845961846001</v>
      </c>
      <c r="AB128" s="88">
        <v>157.92845961846001</v>
      </c>
      <c r="AC128" s="88">
        <v>158.65251483341996</v>
      </c>
      <c r="AD128" s="88">
        <v>158.8364419013399</v>
      </c>
      <c r="AE128" s="88">
        <v>161.23445426693991</v>
      </c>
      <c r="AF128" s="88">
        <v>161.05052719901994</v>
      </c>
      <c r="AG128" s="88">
        <v>157.92845961846001</v>
      </c>
    </row>
    <row r="129" spans="1:33" x14ac:dyDescent="0.25">
      <c r="A129" s="23" t="s">
        <v>3</v>
      </c>
      <c r="B129" s="23" t="s">
        <v>172</v>
      </c>
      <c r="C129" s="23" t="s">
        <v>209</v>
      </c>
      <c r="D129" s="23" t="s">
        <v>95</v>
      </c>
      <c r="E129" s="23" t="s">
        <v>155</v>
      </c>
      <c r="F129" s="88">
        <v>133.89232279470005</v>
      </c>
      <c r="G129" s="88">
        <v>134.94262628814013</v>
      </c>
      <c r="H129" s="88">
        <v>134.52225050322011</v>
      </c>
      <c r="I129" s="88">
        <v>137.09137906278013</v>
      </c>
      <c r="J129" s="88">
        <v>136.77641520852012</v>
      </c>
      <c r="K129" s="88">
        <v>133.89232279470005</v>
      </c>
      <c r="L129" s="88">
        <v>134.62766243388012</v>
      </c>
      <c r="M129" s="88">
        <v>134.94262628814013</v>
      </c>
      <c r="N129" s="88">
        <v>134.52225050322011</v>
      </c>
      <c r="O129" s="88">
        <v>136.77641520852012</v>
      </c>
      <c r="P129" s="88">
        <v>133.89232279470005</v>
      </c>
      <c r="Q129" s="88">
        <v>133.89232279470005</v>
      </c>
      <c r="R129" s="88">
        <v>134.62766243388012</v>
      </c>
      <c r="S129" s="88">
        <v>134.52225050322011</v>
      </c>
      <c r="T129" s="88">
        <v>137.09137906278013</v>
      </c>
      <c r="U129" s="88">
        <v>136.77641520852012</v>
      </c>
      <c r="V129" s="88">
        <v>133.89232279470005</v>
      </c>
      <c r="W129" s="88">
        <v>134.62766243388012</v>
      </c>
      <c r="X129" s="88">
        <v>134.94262628814013</v>
      </c>
      <c r="Y129" s="88">
        <v>134.52225050322011</v>
      </c>
      <c r="Z129" s="88">
        <v>137.09137906278013</v>
      </c>
      <c r="AA129" s="88">
        <v>133.89232279470005</v>
      </c>
      <c r="AB129" s="88">
        <v>133.89232279470005</v>
      </c>
      <c r="AC129" s="88">
        <v>134.62766243388012</v>
      </c>
      <c r="AD129" s="88">
        <v>134.94262628814013</v>
      </c>
      <c r="AE129" s="88">
        <v>137.09137906278013</v>
      </c>
      <c r="AF129" s="88">
        <v>136.77641520852012</v>
      </c>
      <c r="AG129" s="88">
        <v>133.89232279470005</v>
      </c>
    </row>
    <row r="130" spans="1:33" x14ac:dyDescent="0.25">
      <c r="A130" s="23" t="s">
        <v>3</v>
      </c>
      <c r="B130" s="23" t="s">
        <v>172</v>
      </c>
      <c r="C130" s="23" t="s">
        <v>210</v>
      </c>
      <c r="D130" s="23" t="s">
        <v>99</v>
      </c>
      <c r="E130" s="23" t="s">
        <v>155</v>
      </c>
      <c r="F130" s="88">
        <v>83.67809269866008</v>
      </c>
      <c r="G130" s="88">
        <v>85.085140461299972</v>
      </c>
      <c r="H130" s="88">
        <v>84.660508963379968</v>
      </c>
      <c r="I130" s="88">
        <v>86.467530582659975</v>
      </c>
      <c r="J130" s="88">
        <v>85.976322450299975</v>
      </c>
      <c r="K130" s="88">
        <v>83.67809269866008</v>
      </c>
      <c r="L130" s="88">
        <v>84.593932328940014</v>
      </c>
      <c r="M130" s="88">
        <v>85.085140461299972</v>
      </c>
      <c r="N130" s="88">
        <v>84.660508963379968</v>
      </c>
      <c r="O130" s="88">
        <v>85.976322450299975</v>
      </c>
      <c r="P130" s="88">
        <v>83.67809269866008</v>
      </c>
      <c r="Q130" s="88">
        <v>83.67809269866008</v>
      </c>
      <c r="R130" s="88">
        <v>84.593932328940014</v>
      </c>
      <c r="S130" s="88">
        <v>84.660508963379968</v>
      </c>
      <c r="T130" s="88">
        <v>86.467530582659975</v>
      </c>
      <c r="U130" s="88">
        <v>85.976322450299975</v>
      </c>
      <c r="V130" s="88">
        <v>83.67809269866008</v>
      </c>
      <c r="W130" s="88">
        <v>84.593932328940014</v>
      </c>
      <c r="X130" s="88">
        <v>85.085140461299972</v>
      </c>
      <c r="Y130" s="88">
        <v>84.660508963379968</v>
      </c>
      <c r="Z130" s="88">
        <v>86.467530582659975</v>
      </c>
      <c r="AA130" s="88">
        <v>83.67809269866008</v>
      </c>
      <c r="AB130" s="88">
        <v>83.67809269866008</v>
      </c>
      <c r="AC130" s="88">
        <v>84.593932328940014</v>
      </c>
      <c r="AD130" s="88">
        <v>85.085140461299972</v>
      </c>
      <c r="AE130" s="88">
        <v>86.467530582659975</v>
      </c>
      <c r="AF130" s="88">
        <v>85.976322450299975</v>
      </c>
      <c r="AG130" s="88">
        <v>83.67809269866008</v>
      </c>
    </row>
    <row r="131" spans="1:33" x14ac:dyDescent="0.25">
      <c r="A131" s="23" t="s">
        <v>3</v>
      </c>
      <c r="B131" s="23" t="s">
        <v>172</v>
      </c>
      <c r="C131" s="23" t="s">
        <v>211</v>
      </c>
      <c r="D131" s="23" t="s">
        <v>102</v>
      </c>
      <c r="E131" s="23" t="s">
        <v>155</v>
      </c>
      <c r="F131" s="88">
        <v>4.7480521306799996</v>
      </c>
      <c r="G131" s="88">
        <v>5.0224217738399997</v>
      </c>
      <c r="H131" s="88">
        <v>4.9828431364799997</v>
      </c>
      <c r="I131" s="88">
        <v>5.1398172767399988</v>
      </c>
      <c r="J131" s="88">
        <v>5.0224217738399997</v>
      </c>
      <c r="K131" s="88">
        <v>4.7480521306799996</v>
      </c>
      <c r="L131" s="88">
        <v>4.9050262709399997</v>
      </c>
      <c r="M131" s="88">
        <v>5.0224217738399997</v>
      </c>
      <c r="N131" s="88">
        <v>4.9828431364799997</v>
      </c>
      <c r="O131" s="88">
        <v>5.0224217738399997</v>
      </c>
      <c r="P131" s="88">
        <v>4.7480521306799996</v>
      </c>
      <c r="Q131" s="88">
        <v>4.7480521306799996</v>
      </c>
      <c r="R131" s="88">
        <v>4.9050262709399997</v>
      </c>
      <c r="S131" s="88">
        <v>4.9828431364799997</v>
      </c>
      <c r="T131" s="88">
        <v>5.1398172767399988</v>
      </c>
      <c r="U131" s="88">
        <v>5.0224217738399997</v>
      </c>
      <c r="V131" s="88">
        <v>4.7480521306799996</v>
      </c>
      <c r="W131" s="88">
        <v>4.9050262709399997</v>
      </c>
      <c r="X131" s="88">
        <v>5.0224217738399997</v>
      </c>
      <c r="Y131" s="88">
        <v>4.9828431364799997</v>
      </c>
      <c r="Z131" s="88">
        <v>5.1398172767399988</v>
      </c>
      <c r="AA131" s="88">
        <v>4.7480521306799996</v>
      </c>
      <c r="AB131" s="88">
        <v>4.7480521306799996</v>
      </c>
      <c r="AC131" s="88">
        <v>4.9050262709399997</v>
      </c>
      <c r="AD131" s="88">
        <v>5.0224217738399997</v>
      </c>
      <c r="AE131" s="88">
        <v>5.1398172767399988</v>
      </c>
      <c r="AF131" s="88">
        <v>5.0224217738399997</v>
      </c>
      <c r="AG131" s="88">
        <v>4.7480521306799996</v>
      </c>
    </row>
    <row r="132" spans="1:33" x14ac:dyDescent="0.25">
      <c r="A132" s="23" t="s">
        <v>3</v>
      </c>
      <c r="B132" s="23" t="s">
        <v>172</v>
      </c>
      <c r="C132" s="23" t="s">
        <v>212</v>
      </c>
      <c r="D132" s="23" t="s">
        <v>174</v>
      </c>
      <c r="E132" s="23" t="s">
        <v>155</v>
      </c>
      <c r="F132" s="88">
        <v>151.65203456322038</v>
      </c>
      <c r="G132" s="88">
        <v>153.20157260160039</v>
      </c>
      <c r="H132" s="88">
        <v>152.60388320694034</v>
      </c>
      <c r="I132" s="88">
        <v>155.60422269594036</v>
      </c>
      <c r="J132" s="88">
        <v>155.12829837408037</v>
      </c>
      <c r="K132" s="88">
        <v>151.65203456322038</v>
      </c>
      <c r="L132" s="88">
        <v>152.72564827974043</v>
      </c>
      <c r="M132" s="88">
        <v>153.20157260160039</v>
      </c>
      <c r="N132" s="88">
        <v>152.60388320694034</v>
      </c>
      <c r="O132" s="88">
        <v>155.12829837408037</v>
      </c>
      <c r="P132" s="88">
        <v>151.65203456322038</v>
      </c>
      <c r="Q132" s="88">
        <v>151.65203456322038</v>
      </c>
      <c r="R132" s="88">
        <v>152.72564827974043</v>
      </c>
      <c r="S132" s="88">
        <v>152.60388320694034</v>
      </c>
      <c r="T132" s="88">
        <v>155.60422269594036</v>
      </c>
      <c r="U132" s="88">
        <v>155.12829837408037</v>
      </c>
      <c r="V132" s="88">
        <v>151.65203456322038</v>
      </c>
      <c r="W132" s="88">
        <v>152.72564827974043</v>
      </c>
      <c r="X132" s="88">
        <v>153.20157260160039</v>
      </c>
      <c r="Y132" s="88">
        <v>152.60388320694034</v>
      </c>
      <c r="Z132" s="88">
        <v>155.60422269594036</v>
      </c>
      <c r="AA132" s="88">
        <v>151.65203456322038</v>
      </c>
      <c r="AB132" s="88">
        <v>151.65203456322038</v>
      </c>
      <c r="AC132" s="88">
        <v>152.72564827974043</v>
      </c>
      <c r="AD132" s="88">
        <v>153.20157260160039</v>
      </c>
      <c r="AE132" s="88">
        <v>155.60422269594036</v>
      </c>
      <c r="AF132" s="88">
        <v>155.12829837408037</v>
      </c>
      <c r="AG132" s="88">
        <v>151.65203456322038</v>
      </c>
    </row>
    <row r="133" spans="1:33" x14ac:dyDescent="0.25">
      <c r="A133" s="23" t="s">
        <v>3</v>
      </c>
      <c r="B133" s="23" t="s">
        <v>172</v>
      </c>
      <c r="C133" s="23" t="s">
        <v>213</v>
      </c>
      <c r="D133" s="23" t="s">
        <v>91</v>
      </c>
      <c r="E133" s="23" t="s">
        <v>156</v>
      </c>
      <c r="F133" s="88">
        <v>157.92845961846001</v>
      </c>
      <c r="G133" s="88">
        <v>158.8364419013399</v>
      </c>
      <c r="H133" s="88">
        <v>158.29631375429997</v>
      </c>
      <c r="I133" s="88">
        <v>161.23445426693991</v>
      </c>
      <c r="J133" s="88">
        <v>161.05052719901994</v>
      </c>
      <c r="K133" s="88">
        <v>157.92845961846001</v>
      </c>
      <c r="L133" s="88">
        <v>158.65251483341996</v>
      </c>
      <c r="M133" s="88">
        <v>158.8364419013399</v>
      </c>
      <c r="N133" s="88">
        <v>158.29631375429997</v>
      </c>
      <c r="O133" s="88">
        <v>161.05052719901994</v>
      </c>
      <c r="P133" s="88">
        <v>157.92845961846001</v>
      </c>
      <c r="Q133" s="88">
        <v>157.92845961846001</v>
      </c>
      <c r="R133" s="88">
        <v>158.65251483341996</v>
      </c>
      <c r="S133" s="88">
        <v>158.29631375429997</v>
      </c>
      <c r="T133" s="88">
        <v>161.23445426693991</v>
      </c>
      <c r="U133" s="88">
        <v>161.05052719901994</v>
      </c>
      <c r="V133" s="88">
        <v>157.92845961846001</v>
      </c>
      <c r="W133" s="88">
        <v>158.65251483341996</v>
      </c>
      <c r="X133" s="88">
        <v>158.8364419013399</v>
      </c>
      <c r="Y133" s="88">
        <v>158.29631375429997</v>
      </c>
      <c r="Z133" s="88">
        <v>161.23445426693991</v>
      </c>
      <c r="AA133" s="88">
        <v>157.92845961846001</v>
      </c>
      <c r="AB133" s="88">
        <v>157.92845961846001</v>
      </c>
      <c r="AC133" s="88">
        <v>158.65251483341996</v>
      </c>
      <c r="AD133" s="88">
        <v>158.8364419013399</v>
      </c>
      <c r="AE133" s="88">
        <v>161.23445426693991</v>
      </c>
      <c r="AF133" s="88">
        <v>161.05052719901994</v>
      </c>
      <c r="AG133" s="88">
        <v>157.92845961846001</v>
      </c>
    </row>
    <row r="134" spans="1:33" x14ac:dyDescent="0.25">
      <c r="A134" s="23" t="s">
        <v>3</v>
      </c>
      <c r="B134" s="23" t="s">
        <v>172</v>
      </c>
      <c r="C134" s="23" t="s">
        <v>214</v>
      </c>
      <c r="D134" s="23" t="s">
        <v>95</v>
      </c>
      <c r="E134" s="23" t="s">
        <v>156</v>
      </c>
      <c r="F134" s="88">
        <v>133.89232279470005</v>
      </c>
      <c r="G134" s="88">
        <v>134.94262628814013</v>
      </c>
      <c r="H134" s="88">
        <v>134.52225050322011</v>
      </c>
      <c r="I134" s="88">
        <v>137.09137906278013</v>
      </c>
      <c r="J134" s="88">
        <v>136.77641520852012</v>
      </c>
      <c r="K134" s="88">
        <v>133.89232279470005</v>
      </c>
      <c r="L134" s="88">
        <v>134.62766243388012</v>
      </c>
      <c r="M134" s="88">
        <v>134.94262628814013</v>
      </c>
      <c r="N134" s="88">
        <v>134.52225050322011</v>
      </c>
      <c r="O134" s="88">
        <v>136.77641520852012</v>
      </c>
      <c r="P134" s="88">
        <v>133.89232279470005</v>
      </c>
      <c r="Q134" s="88">
        <v>133.89232279470005</v>
      </c>
      <c r="R134" s="88">
        <v>134.62766243388012</v>
      </c>
      <c r="S134" s="88">
        <v>134.52225050322011</v>
      </c>
      <c r="T134" s="88">
        <v>137.09137906278013</v>
      </c>
      <c r="U134" s="88">
        <v>136.77641520852012</v>
      </c>
      <c r="V134" s="88">
        <v>133.89232279470005</v>
      </c>
      <c r="W134" s="88">
        <v>134.62766243388012</v>
      </c>
      <c r="X134" s="88">
        <v>134.94262628814013</v>
      </c>
      <c r="Y134" s="88">
        <v>134.52225050322011</v>
      </c>
      <c r="Z134" s="88">
        <v>137.09137906278013</v>
      </c>
      <c r="AA134" s="88">
        <v>133.89232279470005</v>
      </c>
      <c r="AB134" s="88">
        <v>133.89232279470005</v>
      </c>
      <c r="AC134" s="88">
        <v>134.62766243388012</v>
      </c>
      <c r="AD134" s="88">
        <v>134.94262628814013</v>
      </c>
      <c r="AE134" s="88">
        <v>137.09137906278013</v>
      </c>
      <c r="AF134" s="88">
        <v>136.77641520852012</v>
      </c>
      <c r="AG134" s="88">
        <v>133.89232279470005</v>
      </c>
    </row>
    <row r="135" spans="1:33" x14ac:dyDescent="0.25">
      <c r="A135" s="23" t="s">
        <v>3</v>
      </c>
      <c r="B135" s="23" t="s">
        <v>172</v>
      </c>
      <c r="C135" s="23" t="s">
        <v>215</v>
      </c>
      <c r="D135" s="23" t="s">
        <v>99</v>
      </c>
      <c r="E135" s="23" t="s">
        <v>156</v>
      </c>
      <c r="F135" s="88">
        <v>83.67809269866008</v>
      </c>
      <c r="G135" s="88">
        <v>85.085140461299972</v>
      </c>
      <c r="H135" s="88">
        <v>84.660508963379968</v>
      </c>
      <c r="I135" s="88">
        <v>86.467530582659975</v>
      </c>
      <c r="J135" s="88">
        <v>85.976322450299975</v>
      </c>
      <c r="K135" s="88">
        <v>83.67809269866008</v>
      </c>
      <c r="L135" s="88">
        <v>84.593932328940014</v>
      </c>
      <c r="M135" s="88">
        <v>85.085140461299972</v>
      </c>
      <c r="N135" s="88">
        <v>84.660508963379968</v>
      </c>
      <c r="O135" s="88">
        <v>85.976322450299975</v>
      </c>
      <c r="P135" s="88">
        <v>83.67809269866008</v>
      </c>
      <c r="Q135" s="88">
        <v>83.67809269866008</v>
      </c>
      <c r="R135" s="88">
        <v>84.593932328940014</v>
      </c>
      <c r="S135" s="88">
        <v>84.660508963379968</v>
      </c>
      <c r="T135" s="88">
        <v>86.467530582659975</v>
      </c>
      <c r="U135" s="88">
        <v>85.976322450299975</v>
      </c>
      <c r="V135" s="88">
        <v>83.67809269866008</v>
      </c>
      <c r="W135" s="88">
        <v>84.593932328940014</v>
      </c>
      <c r="X135" s="88">
        <v>85.085140461299972</v>
      </c>
      <c r="Y135" s="88">
        <v>84.660508963379968</v>
      </c>
      <c r="Z135" s="88">
        <v>86.467530582659975</v>
      </c>
      <c r="AA135" s="88">
        <v>83.67809269866008</v>
      </c>
      <c r="AB135" s="88">
        <v>83.67809269866008</v>
      </c>
      <c r="AC135" s="88">
        <v>84.593932328940014</v>
      </c>
      <c r="AD135" s="88">
        <v>85.085140461299972</v>
      </c>
      <c r="AE135" s="88">
        <v>86.467530582659975</v>
      </c>
      <c r="AF135" s="88">
        <v>85.976322450299975</v>
      </c>
      <c r="AG135" s="88">
        <v>83.67809269866008</v>
      </c>
    </row>
    <row r="136" spans="1:33" x14ac:dyDescent="0.25">
      <c r="A136" s="23" t="s">
        <v>3</v>
      </c>
      <c r="B136" s="23" t="s">
        <v>172</v>
      </c>
      <c r="C136" s="23" t="s">
        <v>216</v>
      </c>
      <c r="D136" s="23" t="s">
        <v>102</v>
      </c>
      <c r="E136" s="23" t="s">
        <v>156</v>
      </c>
      <c r="F136" s="88">
        <v>4.7480521306799996</v>
      </c>
      <c r="G136" s="88">
        <v>5.0224217738399997</v>
      </c>
      <c r="H136" s="88">
        <v>4.9828431364799997</v>
      </c>
      <c r="I136" s="88">
        <v>5.1398172767399988</v>
      </c>
      <c r="J136" s="88">
        <v>5.0224217738399997</v>
      </c>
      <c r="K136" s="88">
        <v>4.7480521306799996</v>
      </c>
      <c r="L136" s="88">
        <v>4.9050262709399997</v>
      </c>
      <c r="M136" s="88">
        <v>5.0224217738399997</v>
      </c>
      <c r="N136" s="88">
        <v>4.9828431364799997</v>
      </c>
      <c r="O136" s="88">
        <v>5.0224217738399997</v>
      </c>
      <c r="P136" s="88">
        <v>4.7480521306799996</v>
      </c>
      <c r="Q136" s="88">
        <v>4.7480521306799996</v>
      </c>
      <c r="R136" s="88">
        <v>4.9050262709399997</v>
      </c>
      <c r="S136" s="88">
        <v>4.9828431364799997</v>
      </c>
      <c r="T136" s="88">
        <v>5.1398172767399988</v>
      </c>
      <c r="U136" s="88">
        <v>5.0224217738399997</v>
      </c>
      <c r="V136" s="88">
        <v>4.7480521306799996</v>
      </c>
      <c r="W136" s="88">
        <v>4.9050262709399997</v>
      </c>
      <c r="X136" s="88">
        <v>5.0224217738399997</v>
      </c>
      <c r="Y136" s="88">
        <v>4.9828431364799997</v>
      </c>
      <c r="Z136" s="88">
        <v>5.1398172767399988</v>
      </c>
      <c r="AA136" s="88">
        <v>4.7480521306799996</v>
      </c>
      <c r="AB136" s="88">
        <v>4.7480521306799996</v>
      </c>
      <c r="AC136" s="88">
        <v>4.9050262709399997</v>
      </c>
      <c r="AD136" s="88">
        <v>5.0224217738399997</v>
      </c>
      <c r="AE136" s="88">
        <v>5.1398172767399988</v>
      </c>
      <c r="AF136" s="88">
        <v>5.0224217738399997</v>
      </c>
      <c r="AG136" s="88">
        <v>4.7480521306799996</v>
      </c>
    </row>
    <row r="137" spans="1:33" x14ac:dyDescent="0.25">
      <c r="A137" s="23" t="s">
        <v>3</v>
      </c>
      <c r="B137" s="23" t="s">
        <v>172</v>
      </c>
      <c r="C137" s="23" t="s">
        <v>217</v>
      </c>
      <c r="D137" s="23" t="s">
        <v>174</v>
      </c>
      <c r="E137" s="23" t="s">
        <v>157</v>
      </c>
      <c r="F137" s="88">
        <v>203.99710334615997</v>
      </c>
      <c r="G137" s="88">
        <v>201.7978757632799</v>
      </c>
      <c r="H137" s="88">
        <v>201.80363754065991</v>
      </c>
      <c r="I137" s="88">
        <v>208.24046012147974</v>
      </c>
      <c r="J137" s="88">
        <v>207.82932957203982</v>
      </c>
      <c r="K137" s="88">
        <v>203.99710334615997</v>
      </c>
      <c r="L137" s="88">
        <v>204.40247211821992</v>
      </c>
      <c r="M137" s="88">
        <v>201.7978757632799</v>
      </c>
      <c r="N137" s="88">
        <v>201.80363754065991</v>
      </c>
      <c r="O137" s="88">
        <v>207.82932957203982</v>
      </c>
      <c r="P137" s="88">
        <v>203.99710334615997</v>
      </c>
      <c r="Q137" s="88">
        <v>203.99710334615997</v>
      </c>
      <c r="R137" s="88">
        <v>204.40247211821992</v>
      </c>
      <c r="S137" s="88">
        <v>201.80363754065991</v>
      </c>
      <c r="T137" s="88">
        <v>208.24046012147974</v>
      </c>
      <c r="U137" s="88">
        <v>207.82932957203982</v>
      </c>
      <c r="V137" s="88">
        <v>203.99710334615997</v>
      </c>
      <c r="W137" s="88">
        <v>204.40247211821992</v>
      </c>
      <c r="X137" s="88">
        <v>201.7978757632799</v>
      </c>
      <c r="Y137" s="88">
        <v>201.80363754065991</v>
      </c>
      <c r="Z137" s="88">
        <v>208.24046012147974</v>
      </c>
      <c r="AA137" s="88">
        <v>203.99710334615997</v>
      </c>
      <c r="AB137" s="88">
        <v>203.99710334615997</v>
      </c>
      <c r="AC137" s="88">
        <v>204.40247211821992</v>
      </c>
      <c r="AD137" s="88">
        <v>201.7978757632799</v>
      </c>
      <c r="AE137" s="88">
        <v>208.24046012147974</v>
      </c>
      <c r="AF137" s="88">
        <v>207.82932957203982</v>
      </c>
      <c r="AG137" s="88">
        <v>203.99710334615997</v>
      </c>
    </row>
    <row r="138" spans="1:33" x14ac:dyDescent="0.25">
      <c r="B138" s="23" t="s">
        <v>275</v>
      </c>
    </row>
    <row r="140" spans="1:33" x14ac:dyDescent="0.25">
      <c r="A140" s="23" t="s">
        <v>277</v>
      </c>
      <c r="B140" s="23" t="s">
        <v>131</v>
      </c>
      <c r="C140" s="23" t="s">
        <v>218</v>
      </c>
      <c r="D140" s="23" t="s">
        <v>80</v>
      </c>
      <c r="E140" s="23" t="s">
        <v>134</v>
      </c>
      <c r="F140" s="88">
        <v>2023</v>
      </c>
      <c r="G140" s="88">
        <v>2024</v>
      </c>
      <c r="H140" s="88">
        <v>2025</v>
      </c>
      <c r="I140" s="88">
        <v>2026</v>
      </c>
      <c r="J140" s="88">
        <v>2027</v>
      </c>
      <c r="K140" s="88">
        <v>2028</v>
      </c>
      <c r="L140" s="88">
        <v>2029</v>
      </c>
      <c r="M140" s="88">
        <v>2030</v>
      </c>
      <c r="N140" s="88">
        <v>2031</v>
      </c>
      <c r="O140" s="88">
        <v>2032</v>
      </c>
      <c r="P140" s="88">
        <v>2033</v>
      </c>
      <c r="Q140" s="88">
        <v>2034</v>
      </c>
      <c r="R140" s="88">
        <v>2035</v>
      </c>
      <c r="S140" s="88">
        <v>2036</v>
      </c>
      <c r="T140" s="88">
        <v>2037</v>
      </c>
      <c r="U140" s="88">
        <v>2038</v>
      </c>
      <c r="V140" s="88">
        <v>2039</v>
      </c>
      <c r="W140" s="88">
        <v>2040</v>
      </c>
      <c r="X140" s="88">
        <v>2041</v>
      </c>
      <c r="Y140" s="88">
        <v>2042</v>
      </c>
      <c r="Z140" s="88">
        <v>2043</v>
      </c>
      <c r="AA140" s="88">
        <v>2044</v>
      </c>
      <c r="AB140" s="88">
        <v>2045</v>
      </c>
      <c r="AC140" s="88">
        <v>2046</v>
      </c>
      <c r="AD140" s="88">
        <v>2047</v>
      </c>
      <c r="AE140" s="88">
        <v>2048</v>
      </c>
      <c r="AF140" s="88">
        <v>2049</v>
      </c>
      <c r="AG140" s="88">
        <v>2050</v>
      </c>
    </row>
    <row r="141" spans="1:33" x14ac:dyDescent="0.25">
      <c r="A141" s="23" t="s">
        <v>107</v>
      </c>
      <c r="B141" s="23" t="s">
        <v>219</v>
      </c>
      <c r="C141" s="23" t="s">
        <v>354</v>
      </c>
      <c r="D141" s="23" t="s">
        <v>89</v>
      </c>
      <c r="E141" s="23" t="s">
        <v>105</v>
      </c>
      <c r="F141" s="88">
        <v>0.22018333333333334</v>
      </c>
      <c r="G141" s="88">
        <v>0.19133312319633441</v>
      </c>
      <c r="H141" s="88">
        <v>0.19087257131778981</v>
      </c>
      <c r="I141" s="88">
        <v>0.1951369528969821</v>
      </c>
      <c r="J141" s="88">
        <v>0.19196884721092405</v>
      </c>
      <c r="K141" s="88">
        <v>0.18723435015738257</v>
      </c>
      <c r="L141" s="88">
        <v>0.18111615999689204</v>
      </c>
      <c r="M141" s="88">
        <v>0.17501490287283911</v>
      </c>
      <c r="N141" s="88">
        <v>0.17190258992139307</v>
      </c>
      <c r="O141" s="88">
        <v>0.17008674194718965</v>
      </c>
      <c r="P141" s="88">
        <v>0.16585979764707603</v>
      </c>
      <c r="Q141" s="88">
        <v>0.16358393708925073</v>
      </c>
      <c r="R141" s="88">
        <v>0.16304243112330413</v>
      </c>
      <c r="S141" s="88">
        <v>0.16310789438690781</v>
      </c>
      <c r="T141" s="88">
        <v>0.16276951312956589</v>
      </c>
      <c r="U141" s="88">
        <v>0.16371677427201126</v>
      </c>
      <c r="V141" s="88">
        <v>0.1644501164251311</v>
      </c>
      <c r="W141" s="88">
        <v>0.16571082515201105</v>
      </c>
      <c r="X141" s="88">
        <v>0.1673223591191807</v>
      </c>
      <c r="Y141" s="88">
        <v>0.16819868725528614</v>
      </c>
      <c r="Z141" s="88">
        <v>0.16734163935158905</v>
      </c>
      <c r="AA141" s="88">
        <v>0.16870304646590156</v>
      </c>
      <c r="AB141" s="88">
        <v>0.16985778181841787</v>
      </c>
      <c r="AC141" s="88">
        <v>0.17283736942613942</v>
      </c>
      <c r="AD141" s="88">
        <v>0.17563681205352299</v>
      </c>
      <c r="AE141" s="88">
        <v>0.17647160926476563</v>
      </c>
      <c r="AF141" s="88">
        <v>0.17706198506105916</v>
      </c>
      <c r="AG141" s="88">
        <v>0.18673219765905186</v>
      </c>
    </row>
    <row r="142" spans="1:33" x14ac:dyDescent="0.25">
      <c r="A142" s="23" t="s">
        <v>107</v>
      </c>
      <c r="B142" s="23" t="s">
        <v>219</v>
      </c>
      <c r="C142" s="23" t="s">
        <v>352</v>
      </c>
      <c r="D142" s="23" t="s">
        <v>128</v>
      </c>
      <c r="E142" s="23" t="s">
        <v>117</v>
      </c>
      <c r="F142" s="88">
        <v>0.24948888888888884</v>
      </c>
      <c r="G142" s="88">
        <v>0.21884329746135928</v>
      </c>
      <c r="H142" s="88">
        <v>0.21702598611975898</v>
      </c>
      <c r="I142" s="88">
        <v>0.21991146883520066</v>
      </c>
      <c r="J142" s="88">
        <v>0.21694065760397038</v>
      </c>
      <c r="K142" s="88">
        <v>0.21272048092808946</v>
      </c>
      <c r="L142" s="88">
        <v>0.20718116826670352</v>
      </c>
      <c r="M142" s="88">
        <v>0.20173534144687888</v>
      </c>
      <c r="N142" s="88">
        <v>0.19902086438575717</v>
      </c>
      <c r="O142" s="88">
        <v>0.19734846435793202</v>
      </c>
      <c r="P142" s="88">
        <v>0.19375906860937886</v>
      </c>
      <c r="Q142" s="88">
        <v>0.19180605421690816</v>
      </c>
      <c r="R142" s="88">
        <v>0.19144536700424375</v>
      </c>
      <c r="S142" s="88">
        <v>0.19133850170945765</v>
      </c>
      <c r="T142" s="88">
        <v>0.19099405177633469</v>
      </c>
      <c r="U142" s="88">
        <v>0.19167360279405221</v>
      </c>
      <c r="V142" s="88">
        <v>0.19220484073908845</v>
      </c>
      <c r="W142" s="88">
        <v>0.19336800734448667</v>
      </c>
      <c r="X142" s="88">
        <v>0.19480871585090609</v>
      </c>
      <c r="Y142" s="88">
        <v>0.19548814164273118</v>
      </c>
      <c r="Z142" s="88">
        <v>0.19476511150852743</v>
      </c>
      <c r="AA142" s="88">
        <v>0.19580663545910021</v>
      </c>
      <c r="AB142" s="88">
        <v>0.19680140694953507</v>
      </c>
      <c r="AC142" s="88">
        <v>0.19919721845419058</v>
      </c>
      <c r="AD142" s="88">
        <v>0.20150644876983914</v>
      </c>
      <c r="AE142" s="88">
        <v>0.20209176589603717</v>
      </c>
      <c r="AF142" s="88">
        <v>0.20235809902361362</v>
      </c>
      <c r="AG142" s="88">
        <v>0.20986388746232912</v>
      </c>
    </row>
    <row r="143" spans="1:33" x14ac:dyDescent="0.25">
      <c r="A143" s="23" t="s">
        <v>107</v>
      </c>
      <c r="B143" s="23" t="s">
        <v>219</v>
      </c>
      <c r="C143" s="23" t="s">
        <v>220</v>
      </c>
      <c r="D143" s="23" t="s">
        <v>129</v>
      </c>
      <c r="E143" s="23" t="s">
        <v>114</v>
      </c>
      <c r="F143" s="88">
        <v>0.2387791666666666</v>
      </c>
      <c r="G143" s="88">
        <v>0.21111133470003399</v>
      </c>
      <c r="H143" s="88">
        <v>0.20947060616781948</v>
      </c>
      <c r="I143" s="88">
        <v>0.21207571311209036</v>
      </c>
      <c r="J143" s="88">
        <v>0.20939357213091669</v>
      </c>
      <c r="K143" s="88">
        <v>0.20558346215353746</v>
      </c>
      <c r="L143" s="88">
        <v>0.20058238716636295</v>
      </c>
      <c r="M143" s="88">
        <v>0.19566571848216369</v>
      </c>
      <c r="N143" s="88">
        <v>0.19321500522011656</v>
      </c>
      <c r="O143" s="88">
        <v>0.19170510369291399</v>
      </c>
      <c r="P143" s="88">
        <v>0.18846448283897166</v>
      </c>
      <c r="Q143" s="88">
        <v>0.186701239531742</v>
      </c>
      <c r="R143" s="88">
        <v>0.18637560039576379</v>
      </c>
      <c r="S143" s="88">
        <v>0.18627911586353968</v>
      </c>
      <c r="T143" s="88">
        <v>0.18596813832171316</v>
      </c>
      <c r="U143" s="88">
        <v>0.18658166137604576</v>
      </c>
      <c r="V143" s="88">
        <v>0.18706127643250364</v>
      </c>
      <c r="W143" s="88">
        <v>0.18811141887320365</v>
      </c>
      <c r="X143" s="88">
        <v>0.18941213849415356</v>
      </c>
      <c r="Y143" s="88">
        <v>0.19002554789271753</v>
      </c>
      <c r="Z143" s="88">
        <v>0.1893727705933263</v>
      </c>
      <c r="AA143" s="88">
        <v>0.19031309084376605</v>
      </c>
      <c r="AB143" s="88">
        <v>0.19121120487094062</v>
      </c>
      <c r="AC143" s="88">
        <v>0.19337422159306272</v>
      </c>
      <c r="AD143" s="88">
        <v>0.19545906772059596</v>
      </c>
      <c r="AE143" s="88">
        <v>0.19598751175267415</v>
      </c>
      <c r="AF143" s="88">
        <v>0.19622796435418444</v>
      </c>
      <c r="AG143" s="88">
        <v>0.20300443460049816</v>
      </c>
    </row>
    <row r="144" spans="1:33" x14ac:dyDescent="0.25">
      <c r="A144" s="23" t="s">
        <v>107</v>
      </c>
      <c r="B144" s="23" t="s">
        <v>219</v>
      </c>
      <c r="C144" s="23" t="s">
        <v>356</v>
      </c>
      <c r="D144" s="23" t="s">
        <v>106</v>
      </c>
      <c r="E144" s="23" t="s">
        <v>88</v>
      </c>
      <c r="F144" s="88">
        <v>0.13461524191631014</v>
      </c>
      <c r="G144" s="88">
        <v>0.12047788544814875</v>
      </c>
      <c r="H144" s="88">
        <v>0.11703024354516492</v>
      </c>
      <c r="I144" s="88">
        <v>0.12323859766519575</v>
      </c>
      <c r="J144" s="88">
        <v>0.12215810246192209</v>
      </c>
      <c r="K144" s="88">
        <v>0.11943749010763272</v>
      </c>
      <c r="L144" s="88">
        <v>0.11629732206637909</v>
      </c>
      <c r="M144" s="88">
        <v>0.11322551904672661</v>
      </c>
      <c r="N144" s="88">
        <v>0.11144220995542525</v>
      </c>
      <c r="O144" s="88">
        <v>0.11014979739626871</v>
      </c>
      <c r="P144" s="88">
        <v>0.10745107815142384</v>
      </c>
      <c r="Q144" s="88">
        <v>0.10602790410400721</v>
      </c>
      <c r="R144" s="88">
        <v>0.10550475311052636</v>
      </c>
      <c r="S144" s="88">
        <v>0.10563816143626734</v>
      </c>
      <c r="T144" s="88">
        <v>0.10548765857447519</v>
      </c>
      <c r="U144" s="88">
        <v>0.10608731610750245</v>
      </c>
      <c r="V144" s="88">
        <v>0.10643606775810426</v>
      </c>
      <c r="W144" s="88">
        <v>0.10588477300708396</v>
      </c>
      <c r="X144" s="88">
        <v>0.10671172350956619</v>
      </c>
      <c r="Y144" s="88">
        <v>0.10720900792576159</v>
      </c>
      <c r="Z144" s="88">
        <v>0.10664602143850441</v>
      </c>
      <c r="AA144" s="88">
        <v>0.1072072352727839</v>
      </c>
      <c r="AB144" s="88">
        <v>0.1078050385378079</v>
      </c>
      <c r="AC144" s="88">
        <v>0.10919527429589949</v>
      </c>
      <c r="AD144" s="88">
        <v>0.11010598064647167</v>
      </c>
      <c r="AE144" s="88">
        <v>0.11064540560782446</v>
      </c>
      <c r="AF144" s="88">
        <v>0.11071819330014668</v>
      </c>
      <c r="AG144" s="88">
        <v>0.11641258908137433</v>
      </c>
    </row>
    <row r="145" spans="1:33" x14ac:dyDescent="0.25">
      <c r="A145" s="23" t="s">
        <v>107</v>
      </c>
      <c r="B145" s="23" t="s">
        <v>219</v>
      </c>
      <c r="C145" s="23" t="s">
        <v>221</v>
      </c>
      <c r="D145" s="23" t="s">
        <v>17</v>
      </c>
      <c r="E145" s="23" t="s">
        <v>98</v>
      </c>
      <c r="F145" s="88">
        <v>0.14565294572344248</v>
      </c>
      <c r="G145" s="88">
        <v>0.13039316062460532</v>
      </c>
      <c r="H145" s="88">
        <v>0.1325287493141217</v>
      </c>
      <c r="I145" s="88">
        <v>0.14044949196174572</v>
      </c>
      <c r="J145" s="88">
        <v>0.13894147026860085</v>
      </c>
      <c r="K145" s="88">
        <v>0.13538796298138026</v>
      </c>
      <c r="L145" s="88">
        <v>0.1311037533817507</v>
      </c>
      <c r="M145" s="88">
        <v>0.1268129922260732</v>
      </c>
      <c r="N145" s="88">
        <v>0.12440174784967276</v>
      </c>
      <c r="O145" s="88">
        <v>0.12281394958946587</v>
      </c>
      <c r="P145" s="88">
        <v>0.11938229592787511</v>
      </c>
      <c r="Q145" s="88">
        <v>0.11749239354397012</v>
      </c>
      <c r="R145" s="88">
        <v>0.11676241786942762</v>
      </c>
      <c r="S145" s="88">
        <v>0.11686524303515618</v>
      </c>
      <c r="T145" s="88">
        <v>0.11644766256694078</v>
      </c>
      <c r="U145" s="88">
        <v>0.11712294544987631</v>
      </c>
      <c r="V145" s="88">
        <v>0.11750910326108616</v>
      </c>
      <c r="W145" s="88">
        <v>0.11802502796152031</v>
      </c>
      <c r="X145" s="88">
        <v>0.11905307285193337</v>
      </c>
      <c r="Y145" s="88">
        <v>0.1197242322126674</v>
      </c>
      <c r="Z145" s="88">
        <v>0.11902100626381037</v>
      </c>
      <c r="AA145" s="88">
        <v>0.11990397760880407</v>
      </c>
      <c r="AB145" s="88">
        <v>0.12057496860222758</v>
      </c>
      <c r="AC145" s="88">
        <v>0.12260310054806986</v>
      </c>
      <c r="AD145" s="88">
        <v>0.12436064850303094</v>
      </c>
      <c r="AE145" s="88">
        <v>0.1249448121790378</v>
      </c>
      <c r="AF145" s="88">
        <v>0.12521855970306928</v>
      </c>
      <c r="AG145" s="88">
        <v>0.13304908110275404</v>
      </c>
    </row>
    <row r="146" spans="1:33" x14ac:dyDescent="0.25">
      <c r="A146" s="23" t="s">
        <v>107</v>
      </c>
      <c r="B146" s="23" t="s">
        <v>219</v>
      </c>
      <c r="C146" s="23" t="s">
        <v>355</v>
      </c>
      <c r="D146" s="23" t="s">
        <v>112</v>
      </c>
      <c r="E146" s="23" t="s">
        <v>109</v>
      </c>
      <c r="F146" s="88">
        <v>0.20324146825396827</v>
      </c>
      <c r="G146" s="88">
        <v>0.17313748582010741</v>
      </c>
      <c r="H146" s="88">
        <v>0.17172664406084293</v>
      </c>
      <c r="I146" s="88">
        <v>0.17478404771403727</v>
      </c>
      <c r="J146" s="88">
        <v>0.17192407011163913</v>
      </c>
      <c r="K146" s="88">
        <v>0.16786133780327089</v>
      </c>
      <c r="L146" s="88">
        <v>0.16252868321461714</v>
      </c>
      <c r="M146" s="88">
        <v>0.15728602674169556</v>
      </c>
      <c r="N146" s="88">
        <v>0.15467282011469063</v>
      </c>
      <c r="O146" s="88">
        <v>0.15306281320090598</v>
      </c>
      <c r="P146" s="88">
        <v>0.14960732894155976</v>
      </c>
      <c r="Q146" s="88">
        <v>0.1477271766919285</v>
      </c>
      <c r="R146" s="88">
        <v>0.1473799458282346</v>
      </c>
      <c r="S146" s="88">
        <v>0.14727706741362884</v>
      </c>
      <c r="T146" s="88">
        <v>0.14694546805668443</v>
      </c>
      <c r="U146" s="88">
        <v>0.14759966670449085</v>
      </c>
      <c r="V146" s="88">
        <v>0.14811108547400939</v>
      </c>
      <c r="W146" s="88">
        <v>0.1492308572064997</v>
      </c>
      <c r="X146" s="88">
        <v>0.15061781643724076</v>
      </c>
      <c r="Y146" s="88">
        <v>0.15127189453102347</v>
      </c>
      <c r="Z146" s="88">
        <v>0.15057583886516912</v>
      </c>
      <c r="AA146" s="88">
        <v>0.15159513682094075</v>
      </c>
      <c r="AB146" s="88">
        <v>0.15253617465226788</v>
      </c>
      <c r="AC146" s="88">
        <v>0.15484967412352341</v>
      </c>
      <c r="AD146" s="88">
        <v>0.15712715967897709</v>
      </c>
      <c r="AE146" s="88">
        <v>0.15777754542240235</v>
      </c>
      <c r="AF146" s="88">
        <v>0.15829023578834378</v>
      </c>
      <c r="AG146" s="88">
        <v>0.16577760080516588</v>
      </c>
    </row>
    <row r="147" spans="1:33" x14ac:dyDescent="0.25">
      <c r="A147" s="23" t="s">
        <v>107</v>
      </c>
      <c r="B147" s="23" t="s">
        <v>219</v>
      </c>
      <c r="C147" s="23" t="s">
        <v>353</v>
      </c>
      <c r="D147" s="23" t="s">
        <v>115</v>
      </c>
      <c r="E147" s="23" t="s">
        <v>120</v>
      </c>
      <c r="F147" s="88">
        <v>0.21280031749680761</v>
      </c>
      <c r="G147" s="88">
        <v>0.18573247268289111</v>
      </c>
      <c r="H147" s="88">
        <v>0.18209027529041502</v>
      </c>
      <c r="I147" s="88">
        <v>0.18442413905824129</v>
      </c>
      <c r="J147" s="88">
        <v>0.18207560406991843</v>
      </c>
      <c r="K147" s="88">
        <v>0.17852678642422148</v>
      </c>
      <c r="L147" s="88">
        <v>0.17371695441309087</v>
      </c>
      <c r="M147" s="88">
        <v>0.16881360321721328</v>
      </c>
      <c r="N147" s="88">
        <v>0.16616693103604865</v>
      </c>
      <c r="O147" s="88">
        <v>0.16443789793820235</v>
      </c>
      <c r="P147" s="88">
        <v>0.16117033616805373</v>
      </c>
      <c r="Q147" s="88">
        <v>0.15886131076138171</v>
      </c>
      <c r="R147" s="88">
        <v>0.1577236162962658</v>
      </c>
      <c r="S147" s="88">
        <v>0.156533635858187</v>
      </c>
      <c r="T147" s="88">
        <v>0.1554343371773374</v>
      </c>
      <c r="U147" s="88">
        <v>0.15511254856586046</v>
      </c>
      <c r="V147" s="88">
        <v>0.15499857487546551</v>
      </c>
      <c r="W147" s="88">
        <v>0.15537644752021551</v>
      </c>
      <c r="X147" s="88">
        <v>0.15630440642026511</v>
      </c>
      <c r="Y147" s="88">
        <v>0.15645607027290209</v>
      </c>
      <c r="Z147" s="88">
        <v>0.1553978131480051</v>
      </c>
      <c r="AA147" s="88">
        <v>0.15566408180278896</v>
      </c>
      <c r="AB147" s="88">
        <v>0.15563581192564613</v>
      </c>
      <c r="AC147" s="88">
        <v>0.15633572483823396</v>
      </c>
      <c r="AD147" s="88">
        <v>0.15679062806766783</v>
      </c>
      <c r="AE147" s="88">
        <v>0.15682925385182017</v>
      </c>
      <c r="AF147" s="88">
        <v>0.15768272296051331</v>
      </c>
      <c r="AG147" s="88">
        <v>0.16064361975760805</v>
      </c>
    </row>
    <row r="148" spans="1:33" x14ac:dyDescent="0.25">
      <c r="A148" s="23" t="s">
        <v>107</v>
      </c>
      <c r="B148" s="23" t="s">
        <v>219</v>
      </c>
      <c r="C148" s="23" t="s">
        <v>222</v>
      </c>
      <c r="D148" s="23" t="s">
        <v>118</v>
      </c>
      <c r="E148" s="23" t="s">
        <v>94</v>
      </c>
      <c r="F148" s="88">
        <v>0.14390206462977129</v>
      </c>
      <c r="G148" s="88">
        <v>0.1296799128132558</v>
      </c>
      <c r="H148" s="88">
        <v>0.13167028725126048</v>
      </c>
      <c r="I148" s="88">
        <v>0.13905243358554109</v>
      </c>
      <c r="J148" s="88">
        <v>0.13764695708817493</v>
      </c>
      <c r="K148" s="88">
        <v>0.13433507995823518</v>
      </c>
      <c r="L148" s="88">
        <v>0.13034218670378961</v>
      </c>
      <c r="M148" s="88">
        <v>0.12634319021376966</v>
      </c>
      <c r="N148" s="88">
        <v>0.12409590194186151</v>
      </c>
      <c r="O148" s="88">
        <v>0.12261607175199804</v>
      </c>
      <c r="P148" s="88">
        <v>0.11941776452253405</v>
      </c>
      <c r="Q148" s="88">
        <v>0.11765637328006129</v>
      </c>
      <c r="R148" s="88">
        <v>0.11697603523979586</v>
      </c>
      <c r="S148" s="88">
        <v>0.11707186719702006</v>
      </c>
      <c r="T148" s="88">
        <v>0.11668268038372118</v>
      </c>
      <c r="U148" s="88">
        <v>0.11731204659731351</v>
      </c>
      <c r="V148" s="88">
        <v>0.11767194658598285</v>
      </c>
      <c r="W148" s="88">
        <v>0.11815278881583993</v>
      </c>
      <c r="X148" s="88">
        <v>0.1191109296121538</v>
      </c>
      <c r="Y148" s="88">
        <v>0.11973645211509218</v>
      </c>
      <c r="Z148" s="88">
        <v>0.11908104192044902</v>
      </c>
      <c r="AA148" s="88">
        <v>0.11990397299715948</v>
      </c>
      <c r="AB148" s="88">
        <v>0.1205293379827327</v>
      </c>
      <c r="AC148" s="88">
        <v>0.12241955916364466</v>
      </c>
      <c r="AD148" s="88">
        <v>0.12405759789919174</v>
      </c>
      <c r="AE148" s="88">
        <v>0.12460203976467521</v>
      </c>
      <c r="AF148" s="88">
        <v>0.12485717735205473</v>
      </c>
      <c r="AG148" s="88">
        <v>0.13215523520328618</v>
      </c>
    </row>
    <row r="149" spans="1:33" x14ac:dyDescent="0.25">
      <c r="A149" s="23" t="s">
        <v>107</v>
      </c>
      <c r="B149" s="23" t="s">
        <v>223</v>
      </c>
      <c r="C149" s="23" t="s">
        <v>354</v>
      </c>
      <c r="D149" s="23" t="s">
        <v>89</v>
      </c>
      <c r="E149" s="23" t="s">
        <v>105</v>
      </c>
      <c r="F149" s="88">
        <v>0.12693571428571429</v>
      </c>
      <c r="G149" s="88">
        <v>9.8948860044948017E-2</v>
      </c>
      <c r="H149" s="88">
        <v>9.8502090394608152E-2</v>
      </c>
      <c r="I149" s="88">
        <v>0.10263885838059961</v>
      </c>
      <c r="J149" s="88">
        <v>9.9565559724055661E-2</v>
      </c>
      <c r="K149" s="88">
        <v>9.4972744686952229E-2</v>
      </c>
      <c r="L149" s="88">
        <v>8.9037644199786409E-2</v>
      </c>
      <c r="M149" s="88">
        <v>8.3118970020102656E-2</v>
      </c>
      <c r="N149" s="88">
        <v>8.009979447475496E-2</v>
      </c>
      <c r="O149" s="88">
        <v>7.8338286591932038E-2</v>
      </c>
      <c r="P149" s="88">
        <v>7.4237835557109055E-2</v>
      </c>
      <c r="Q149" s="88">
        <v>7.2030081180218697E-2</v>
      </c>
      <c r="R149" s="88">
        <v>7.1504780031024742E-2</v>
      </c>
      <c r="S149" s="88">
        <v>7.1568284276155067E-2</v>
      </c>
      <c r="T149" s="88">
        <v>7.1240029234612381E-2</v>
      </c>
      <c r="U149" s="88">
        <v>7.2158943148780436E-2</v>
      </c>
      <c r="V149" s="88">
        <v>7.2870339698424769E-2</v>
      </c>
      <c r="W149" s="88">
        <v>7.4093321132934389E-2</v>
      </c>
      <c r="X149" s="88">
        <v>7.5656629199983103E-2</v>
      </c>
      <c r="Y149" s="88">
        <v>7.6506732810868477E-2</v>
      </c>
      <c r="Z149" s="88">
        <v>7.5675332462509709E-2</v>
      </c>
      <c r="AA149" s="88">
        <v>7.6995998838583823E-2</v>
      </c>
      <c r="AB149" s="88">
        <v>7.8116178201024164E-2</v>
      </c>
      <c r="AC149" s="88">
        <v>8.1006600270011248E-2</v>
      </c>
      <c r="AD149" s="88">
        <v>8.3722268280605555E-2</v>
      </c>
      <c r="AE149" s="88">
        <v>8.4532083798783852E-2</v>
      </c>
      <c r="AF149" s="88">
        <v>8.510479232602447E-2</v>
      </c>
      <c r="AG149" s="88">
        <v>9.4485619334634799E-2</v>
      </c>
    </row>
    <row r="150" spans="1:33" x14ac:dyDescent="0.25">
      <c r="A150" s="23" t="s">
        <v>107</v>
      </c>
      <c r="B150" s="23" t="s">
        <v>223</v>
      </c>
      <c r="C150" s="23" t="s">
        <v>352</v>
      </c>
      <c r="D150" s="23" t="s">
        <v>128</v>
      </c>
      <c r="E150" s="23" t="s">
        <v>117</v>
      </c>
      <c r="F150" s="88">
        <v>0.14847410527394972</v>
      </c>
      <c r="G150" s="88">
        <v>0.12384458864108916</v>
      </c>
      <c r="H150" s="88">
        <v>0.1223840359863663</v>
      </c>
      <c r="I150" s="88">
        <v>0.12470306594217129</v>
      </c>
      <c r="J150" s="88">
        <v>0.12231545841938271</v>
      </c>
      <c r="K150" s="88">
        <v>0.1189237499618051</v>
      </c>
      <c r="L150" s="88">
        <v>0.11447186677166174</v>
      </c>
      <c r="M150" s="88">
        <v>0.11009511709933989</v>
      </c>
      <c r="N150" s="88">
        <v>0.10791352246167345</v>
      </c>
      <c r="O150" s="88">
        <v>0.10656943339752462</v>
      </c>
      <c r="P150" s="88">
        <v>0.10368467646601071</v>
      </c>
      <c r="Q150" s="88">
        <v>0.10211506079788682</v>
      </c>
      <c r="R150" s="88">
        <v>0.10182518054791398</v>
      </c>
      <c r="S150" s="88">
        <v>0.10173929411424426</v>
      </c>
      <c r="T150" s="88">
        <v>0.10146246358293923</v>
      </c>
      <c r="U150" s="88">
        <v>0.10200861108129411</v>
      </c>
      <c r="V150" s="88">
        <v>0.10243556103376011</v>
      </c>
      <c r="W150" s="88">
        <v>0.10337038493240117</v>
      </c>
      <c r="X150" s="88">
        <v>0.10452826613061114</v>
      </c>
      <c r="Y150" s="88">
        <v>0.10507431298632683</v>
      </c>
      <c r="Z150" s="88">
        <v>0.10449322181180855</v>
      </c>
      <c r="AA150" s="88">
        <v>0.10533028287897109</v>
      </c>
      <c r="AB150" s="88">
        <v>0.10612976952054887</v>
      </c>
      <c r="AC150" s="88">
        <v>0.10805525623998952</v>
      </c>
      <c r="AD150" s="88">
        <v>0.1099111586330913</v>
      </c>
      <c r="AE150" s="88">
        <v>0.11038157141429944</v>
      </c>
      <c r="AF150" s="88">
        <v>0.11059562034890848</v>
      </c>
      <c r="AG150" s="88">
        <v>0.11662793797055532</v>
      </c>
    </row>
    <row r="151" spans="1:33" x14ac:dyDescent="0.25">
      <c r="A151" s="23" t="s">
        <v>107</v>
      </c>
      <c r="B151" s="23" t="s">
        <v>223</v>
      </c>
      <c r="C151" s="23" t="s">
        <v>220</v>
      </c>
      <c r="D151" s="23" t="s">
        <v>129</v>
      </c>
      <c r="E151" s="23" t="s">
        <v>114</v>
      </c>
      <c r="F151" s="88">
        <v>0.13797095589160324</v>
      </c>
      <c r="G151" s="88">
        <v>0.11474445146068635</v>
      </c>
      <c r="H151" s="88">
        <v>0.11336709784044713</v>
      </c>
      <c r="I151" s="88">
        <v>0.11555402481243005</v>
      </c>
      <c r="J151" s="88">
        <v>0.11330242954979063</v>
      </c>
      <c r="K151" s="88">
        <v>0.11010393042710528</v>
      </c>
      <c r="L151" s="88">
        <v>0.1059056437493113</v>
      </c>
      <c r="M151" s="88">
        <v>0.10177821420887512</v>
      </c>
      <c r="N151" s="88">
        <v>9.9720897158934535E-2</v>
      </c>
      <c r="O151" s="88">
        <v>9.8453369780782424E-2</v>
      </c>
      <c r="P151" s="88">
        <v>9.5732943593657027E-2</v>
      </c>
      <c r="Q151" s="88">
        <v>9.4252741655986433E-2</v>
      </c>
      <c r="R151" s="88">
        <v>9.3979375139817037E-2</v>
      </c>
      <c r="S151" s="88">
        <v>9.3898378608613553E-2</v>
      </c>
      <c r="T151" s="88">
        <v>9.3637320161321397E-2</v>
      </c>
      <c r="U151" s="88">
        <v>9.4152358562491073E-2</v>
      </c>
      <c r="V151" s="88">
        <v>9.4554984299389716E-2</v>
      </c>
      <c r="W151" s="88">
        <v>9.5436554567758736E-2</v>
      </c>
      <c r="X151" s="88">
        <v>9.6528478578133237E-2</v>
      </c>
      <c r="Y151" s="88">
        <v>9.704342156791626E-2</v>
      </c>
      <c r="Z151" s="88">
        <v>9.6495430136748217E-2</v>
      </c>
      <c r="AA151" s="88">
        <v>9.7284807218756625E-2</v>
      </c>
      <c r="AB151" s="88">
        <v>9.8038753153399993E-2</v>
      </c>
      <c r="AC151" s="88">
        <v>9.9854555618193952E-2</v>
      </c>
      <c r="AD151" s="88">
        <v>0.10160473567846501</v>
      </c>
      <c r="AE151" s="88">
        <v>0.10204835221001535</v>
      </c>
      <c r="AF151" s="88">
        <v>0.10225020660255103</v>
      </c>
      <c r="AG151" s="88">
        <v>0.10793889650032831</v>
      </c>
    </row>
    <row r="152" spans="1:33" x14ac:dyDescent="0.25">
      <c r="A152" s="23" t="s">
        <v>107</v>
      </c>
      <c r="B152" s="23" t="s">
        <v>223</v>
      </c>
      <c r="C152" s="23" t="s">
        <v>356</v>
      </c>
      <c r="D152" s="23" t="s">
        <v>106</v>
      </c>
      <c r="E152" s="23" t="s">
        <v>88</v>
      </c>
      <c r="F152" s="88">
        <v>8.6356867110183061E-2</v>
      </c>
      <c r="G152" s="88">
        <v>6.889980156003532E-2</v>
      </c>
      <c r="H152" s="88">
        <v>6.4642590473268965E-2</v>
      </c>
      <c r="I152" s="88">
        <v>7.2308779344999616E-2</v>
      </c>
      <c r="J152" s="88">
        <v>7.0974564166041088E-2</v>
      </c>
      <c r="K152" s="88">
        <v>6.7615102422798487E-2</v>
      </c>
      <c r="L152" s="88">
        <v>6.3737565667033813E-2</v>
      </c>
      <c r="M152" s="88">
        <v>5.9944447286523081E-2</v>
      </c>
      <c r="N152" s="88">
        <v>5.7742384703385094E-2</v>
      </c>
      <c r="O152" s="88">
        <v>5.6146490109240763E-2</v>
      </c>
      <c r="P152" s="88">
        <v>5.2814062376743395E-2</v>
      </c>
      <c r="Q152" s="88">
        <v>5.1056701112565536E-2</v>
      </c>
      <c r="R152" s="88">
        <v>5.0410704726580088E-2</v>
      </c>
      <c r="S152" s="88">
        <v>5.0575439759797981E-2</v>
      </c>
      <c r="T152" s="88">
        <v>5.0389596081759067E-2</v>
      </c>
      <c r="U152" s="88">
        <v>5.1130064137811293E-2</v>
      </c>
      <c r="V152" s="88">
        <v>5.156070903517871E-2</v>
      </c>
      <c r="W152" s="88">
        <v>5.0879960224204913E-2</v>
      </c>
      <c r="X152" s="88">
        <v>5.1901093783443604E-2</v>
      </c>
      <c r="Y152" s="88">
        <v>5.2515149648140851E-2</v>
      </c>
      <c r="Z152" s="88">
        <v>5.1819963668072372E-2</v>
      </c>
      <c r="AA152" s="88">
        <v>5.251296074392111E-2</v>
      </c>
      <c r="AB152" s="88">
        <v>5.3251139116031826E-2</v>
      </c>
      <c r="AC152" s="88">
        <v>5.4967827579948066E-2</v>
      </c>
      <c r="AD152" s="88">
        <v>5.6092384387628397E-2</v>
      </c>
      <c r="AE152" s="88">
        <v>5.6758476165884739E-2</v>
      </c>
      <c r="AF152" s="88">
        <v>5.6848355735588933E-2</v>
      </c>
      <c r="AG152" s="88">
        <v>6.3879899478950758E-2</v>
      </c>
    </row>
    <row r="153" spans="1:33" x14ac:dyDescent="0.25">
      <c r="A153" s="23" t="s">
        <v>107</v>
      </c>
      <c r="B153" s="23" t="s">
        <v>223</v>
      </c>
      <c r="C153" s="23" t="s">
        <v>221</v>
      </c>
      <c r="D153" s="23" t="s">
        <v>17</v>
      </c>
      <c r="E153" s="23" t="s">
        <v>98</v>
      </c>
      <c r="F153" s="88">
        <v>9.4338942467489584E-2</v>
      </c>
      <c r="G153" s="88">
        <v>7.5912846308945597E-2</v>
      </c>
      <c r="H153" s="88">
        <v>7.8491556447604513E-2</v>
      </c>
      <c r="I153" s="88">
        <v>8.8055804222189615E-2</v>
      </c>
      <c r="J153" s="88">
        <v>8.6234877351523867E-2</v>
      </c>
      <c r="K153" s="88">
        <v>8.1944039272853736E-2</v>
      </c>
      <c r="L153" s="88">
        <v>7.6770882669740956E-2</v>
      </c>
      <c r="M153" s="88">
        <v>7.1589815103207291E-2</v>
      </c>
      <c r="N153" s="88">
        <v>6.8678252426961683E-2</v>
      </c>
      <c r="O153" s="88">
        <v>6.6760995844811627E-2</v>
      </c>
      <c r="P153" s="88">
        <v>6.2617295265692111E-2</v>
      </c>
      <c r="Q153" s="88">
        <v>6.0335249822028009E-2</v>
      </c>
      <c r="R153" s="88">
        <v>5.9453808708316444E-2</v>
      </c>
      <c r="S153" s="88">
        <v>5.9577969460185544E-2</v>
      </c>
      <c r="T153" s="88">
        <v>5.907374362663477E-2</v>
      </c>
      <c r="U153" s="88">
        <v>5.9889143532635893E-2</v>
      </c>
      <c r="V153" s="88">
        <v>6.0355426702132675E-2</v>
      </c>
      <c r="W153" s="88">
        <v>6.0978402588044205E-2</v>
      </c>
      <c r="X153" s="88">
        <v>6.2219760437015104E-2</v>
      </c>
      <c r="Y153" s="88">
        <v>6.3030181215452841E-2</v>
      </c>
      <c r="Z153" s="88">
        <v>6.2181040230118105E-2</v>
      </c>
      <c r="AA153" s="88">
        <v>6.3247222669956832E-2</v>
      </c>
      <c r="AB153" s="88">
        <v>6.4057440145908084E-2</v>
      </c>
      <c r="AC153" s="88">
        <v>6.6506396930964815E-2</v>
      </c>
      <c r="AD153" s="88">
        <v>6.8628625220001016E-2</v>
      </c>
      <c r="AE153" s="88">
        <v>6.9333999247008199E-2</v>
      </c>
      <c r="AF153" s="88">
        <v>6.9664547689748182E-2</v>
      </c>
      <c r="AG153" s="88">
        <v>7.9119853865267181E-2</v>
      </c>
    </row>
    <row r="154" spans="1:33" x14ac:dyDescent="0.25">
      <c r="A154" s="23" t="s">
        <v>107</v>
      </c>
      <c r="B154" s="23" t="s">
        <v>223</v>
      </c>
      <c r="C154" s="23" t="s">
        <v>355</v>
      </c>
      <c r="D154" s="23" t="s">
        <v>112</v>
      </c>
      <c r="E154" s="23" t="s">
        <v>109</v>
      </c>
      <c r="F154" s="88">
        <v>0.1093251203919091</v>
      </c>
      <c r="G154" s="88">
        <v>8.0211947093650204E-2</v>
      </c>
      <c r="H154" s="88">
        <v>7.8847540217446097E-2</v>
      </c>
      <c r="I154" s="88">
        <v>8.1804315873083552E-2</v>
      </c>
      <c r="J154" s="88">
        <v>7.9038468405869311E-2</v>
      </c>
      <c r="K154" s="88">
        <v>7.510945236894391E-2</v>
      </c>
      <c r="L154" s="88">
        <v>6.9952310867140238E-2</v>
      </c>
      <c r="M154" s="88">
        <v>6.4882205382766622E-2</v>
      </c>
      <c r="N154" s="88">
        <v>6.235500694437731E-2</v>
      </c>
      <c r="O154" s="88">
        <v>6.0797990014959821E-2</v>
      </c>
      <c r="P154" s="88">
        <v>5.7456235737339822E-2</v>
      </c>
      <c r="Q154" s="88">
        <v>5.5637964736455298E-2</v>
      </c>
      <c r="R154" s="88">
        <v>5.5302162244827022E-2</v>
      </c>
      <c r="S154" s="88">
        <v>5.5202669856414685E-2</v>
      </c>
      <c r="T154" s="88">
        <v>5.4881984393435695E-2</v>
      </c>
      <c r="U154" s="88">
        <v>5.5514651471518101E-2</v>
      </c>
      <c r="V154" s="88">
        <v>5.6009237970088076E-2</v>
      </c>
      <c r="W154" s="88">
        <v>5.7092154775999243E-2</v>
      </c>
      <c r="X154" s="88">
        <v>5.8433465166772204E-2</v>
      </c>
      <c r="Y154" s="88">
        <v>5.9066015658612511E-2</v>
      </c>
      <c r="Z154" s="88">
        <v>5.8392869198014667E-2</v>
      </c>
      <c r="AA154" s="88">
        <v>5.9378619109812458E-2</v>
      </c>
      <c r="AB154" s="88">
        <v>6.0288684664223241E-2</v>
      </c>
      <c r="AC154" s="88">
        <v>6.2526040176241277E-2</v>
      </c>
      <c r="AD154" s="88">
        <v>6.4728567094594278E-2</v>
      </c>
      <c r="AE154" s="88">
        <v>6.5357546762007293E-2</v>
      </c>
      <c r="AF154" s="88">
        <v>6.5853363005083876E-2</v>
      </c>
      <c r="AG154" s="88">
        <v>7.3094297182512785E-2</v>
      </c>
    </row>
    <row r="155" spans="1:33" x14ac:dyDescent="0.25">
      <c r="A155" s="23" t="s">
        <v>107</v>
      </c>
      <c r="B155" s="23" t="s">
        <v>223</v>
      </c>
      <c r="C155" s="23" t="s">
        <v>353</v>
      </c>
      <c r="D155" s="23" t="s">
        <v>115</v>
      </c>
      <c r="E155" s="23" t="s">
        <v>120</v>
      </c>
      <c r="F155" s="88">
        <v>0.15842433680709625</v>
      </c>
      <c r="G155" s="88">
        <v>0.12996994786814886</v>
      </c>
      <c r="H155" s="88">
        <v>0.12614117975194286</v>
      </c>
      <c r="I155" s="88">
        <v>0.12859459515449104</v>
      </c>
      <c r="J155" s="88">
        <v>0.12612575700155071</v>
      </c>
      <c r="K155" s="88">
        <v>0.12239515198817544</v>
      </c>
      <c r="L155" s="88">
        <v>0.11733893743852852</v>
      </c>
      <c r="M155" s="88">
        <v>0.11218441320540518</v>
      </c>
      <c r="N155" s="88">
        <v>0.10940216585049085</v>
      </c>
      <c r="O155" s="88">
        <v>0.10758456342988229</v>
      </c>
      <c r="P155" s="88">
        <v>0.1041496215595919</v>
      </c>
      <c r="Q155" s="88">
        <v>0.10172231685753536</v>
      </c>
      <c r="R155" s="88">
        <v>0.10052634425511181</v>
      </c>
      <c r="S155" s="88">
        <v>9.9275407342786059E-2</v>
      </c>
      <c r="T155" s="88">
        <v>9.8119797339846909E-2</v>
      </c>
      <c r="U155" s="88">
        <v>9.7781525180757944E-2</v>
      </c>
      <c r="V155" s="88">
        <v>9.7661713214286267E-2</v>
      </c>
      <c r="W155" s="88">
        <v>9.8058942298353491E-2</v>
      </c>
      <c r="X155" s="88">
        <v>9.9034435679629024E-2</v>
      </c>
      <c r="Y155" s="88">
        <v>9.9193868478234887E-2</v>
      </c>
      <c r="Z155" s="88">
        <v>9.808140237551255E-2</v>
      </c>
      <c r="AA155" s="88">
        <v>9.8361310580896338E-2</v>
      </c>
      <c r="AB155" s="88">
        <v>9.8331592585798877E-2</v>
      </c>
      <c r="AC155" s="88">
        <v>9.906735837635515E-2</v>
      </c>
      <c r="AD155" s="88">
        <v>9.9545563919089752E-2</v>
      </c>
      <c r="AE155" s="88">
        <v>9.9586168300151406E-2</v>
      </c>
      <c r="AF155" s="88">
        <v>0.10048335616764079</v>
      </c>
      <c r="AG155" s="88">
        <v>0.10359592422216507</v>
      </c>
    </row>
    <row r="156" spans="1:33" x14ac:dyDescent="0.25">
      <c r="A156" s="23" t="s">
        <v>107</v>
      </c>
      <c r="B156" s="23" t="s">
        <v>223</v>
      </c>
      <c r="C156" s="23" t="s">
        <v>222</v>
      </c>
      <c r="D156" s="23" t="s">
        <v>118</v>
      </c>
      <c r="E156" s="23" t="s">
        <v>94</v>
      </c>
      <c r="F156" s="88">
        <v>0.1104823715980041</v>
      </c>
      <c r="G156" s="88">
        <v>9.2067109035822978E-2</v>
      </c>
      <c r="H156" s="88">
        <v>9.4644304691289538E-2</v>
      </c>
      <c r="I156" s="88">
        <v>0.10420292597251898</v>
      </c>
      <c r="J156" s="88">
        <v>0.10238307345948949</v>
      </c>
      <c r="K156" s="88">
        <v>9.8094757056432974E-2</v>
      </c>
      <c r="L156" s="88">
        <v>9.2924640845326978E-2</v>
      </c>
      <c r="M156" s="88">
        <v>8.7746621984394785E-2</v>
      </c>
      <c r="N156" s="88">
        <v>8.4836766702717836E-2</v>
      </c>
      <c r="O156" s="88">
        <v>8.2920638830834739E-2</v>
      </c>
      <c r="P156" s="88">
        <v>7.8779376091907549E-2</v>
      </c>
      <c r="Q156" s="88">
        <v>7.649867464649085E-2</v>
      </c>
      <c r="R156" s="88">
        <v>7.5617752841959207E-2</v>
      </c>
      <c r="S156" s="88">
        <v>7.5741838892853547E-2</v>
      </c>
      <c r="T156" s="88">
        <v>7.5237908303087617E-2</v>
      </c>
      <c r="U156" s="88">
        <v>7.6052830279775413E-2</v>
      </c>
      <c r="V156" s="88">
        <v>7.6518839423326768E-2</v>
      </c>
      <c r="W156" s="88">
        <v>7.7141448155679082E-2</v>
      </c>
      <c r="X156" s="88">
        <v>7.8382077180266463E-2</v>
      </c>
      <c r="Y156" s="88">
        <v>7.9192022206783924E-2</v>
      </c>
      <c r="Z156" s="88">
        <v>7.8343377713601919E-2</v>
      </c>
      <c r="AA156" s="88">
        <v>7.9408933196605802E-2</v>
      </c>
      <c r="AB156" s="88">
        <v>8.0218674264982831E-2</v>
      </c>
      <c r="AC156" s="88">
        <v>8.2666188522752732E-2</v>
      </c>
      <c r="AD156" s="88">
        <v>8.4787169496046338E-2</v>
      </c>
      <c r="AE156" s="88">
        <v>8.5492128916538471E-2</v>
      </c>
      <c r="AF156" s="88">
        <v>8.5822488606245861E-2</v>
      </c>
      <c r="AG156" s="88">
        <v>9.5272229634066105E-2</v>
      </c>
    </row>
  </sheetData>
  <sheetProtection algorithmName="SHA-512" hashValue="XTgqBBHnhLvCVcw1srEa3QnIJGyEbckZGAGf6s21+S98MslsrDLPhpC75DQ9pp0/tjYtAg3RCE3ObYn+gYS46g==" saltValue="pyAsWyrTNdJL3bZHPrZ2ZQ==" spinCount="100000" sheet="1" objects="1" scenarios="1" selectLockedCells="1"/>
  <sortState xmlns:xlrd2="http://schemas.microsoft.com/office/spreadsheetml/2017/richdata2" ref="A149:AG156">
    <sortCondition ref="D149:D15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50</vt:i4>
      </vt:variant>
    </vt:vector>
  </HeadingPairs>
  <TitlesOfParts>
    <vt:vector size="54" baseType="lpstr">
      <vt:lpstr>Inputs</vt:lpstr>
      <vt:lpstr>Model</vt:lpstr>
      <vt:lpstr>ModelFactors</vt:lpstr>
      <vt:lpstr>Forecasts</vt:lpstr>
      <vt:lpstr>Cash_Flow_Base_Year</vt:lpstr>
      <vt:lpstr>Cash_Flow_Label</vt:lpstr>
      <vt:lpstr>CC_MTC</vt:lpstr>
      <vt:lpstr>Community_Adder</vt:lpstr>
      <vt:lpstr>Cost_Base_Year</vt:lpstr>
      <vt:lpstr>Date_of_Operation</vt:lpstr>
      <vt:lpstr>Days_per_Year</vt:lpstr>
      <vt:lpstr>Decomm_Cost_Rate</vt:lpstr>
      <vt:lpstr>Degradation</vt:lpstr>
      <vt:lpstr>DRV_Factors</vt:lpstr>
      <vt:lpstr>DRV_Rate</vt:lpstr>
      <vt:lpstr>DRV_Ref_Year</vt:lpstr>
      <vt:lpstr>DRV_Renewal_Rate</vt:lpstr>
      <vt:lpstr>DRV_Table</vt:lpstr>
      <vt:lpstr>Forecast_Energy_Header</vt:lpstr>
      <vt:lpstr>Forecast_Energy_Tier1</vt:lpstr>
      <vt:lpstr>Forecast_Energy_VDER</vt:lpstr>
      <vt:lpstr>Forecast_ICAP</vt:lpstr>
      <vt:lpstr>Forecast_ICAP_Header</vt:lpstr>
      <vt:lpstr>Forecast_NEM_Commercial</vt:lpstr>
      <vt:lpstr>Forecast_NEM_Header</vt:lpstr>
      <vt:lpstr>Forecast_NEM_Residential</vt:lpstr>
      <vt:lpstr>Fraction_of_Credits</vt:lpstr>
      <vt:lpstr>Ground_Lease_Ann</vt:lpstr>
      <vt:lpstr>Ground_Lease_Esc</vt:lpstr>
      <vt:lpstr>Inf_Base_Year</vt:lpstr>
      <vt:lpstr>Inflation</vt:lpstr>
      <vt:lpstr>Inverter_Age</vt:lpstr>
      <vt:lpstr>Inverter_Cost</vt:lpstr>
      <vt:lpstr>Inverter_Repl_Cycle</vt:lpstr>
      <vt:lpstr>Inverter_Size</vt:lpstr>
      <vt:lpstr>Inverter_Size_Step</vt:lpstr>
      <vt:lpstr>Loaded_Discount_Rate</vt:lpstr>
      <vt:lpstr>NEM_Utility_Name</vt:lpstr>
      <vt:lpstr>Nominal_Real_Switch</vt:lpstr>
      <vt:lpstr>NYISO_Name</vt:lpstr>
      <vt:lpstr>NYISO_Zone</vt:lpstr>
      <vt:lpstr>Plant_Type</vt:lpstr>
      <vt:lpstr>Plant_Type_Table</vt:lpstr>
      <vt:lpstr>Residential_Share</vt:lpstr>
      <vt:lpstr>Revenue_Model</vt:lpstr>
      <vt:lpstr>System_Age</vt:lpstr>
      <vt:lpstr>System_Size</vt:lpstr>
      <vt:lpstr>Tax_Status_Year</vt:lpstr>
      <vt:lpstr>Utility_Loss_Adjustment</vt:lpstr>
      <vt:lpstr>ValGroup</vt:lpstr>
      <vt:lpstr>ValGroup_Table</vt:lpstr>
      <vt:lpstr>ValGroup_Zone</vt:lpstr>
      <vt:lpstr>VDER_Utility_Name</vt:lpstr>
      <vt:lpstr>Zone_Capacity_Factor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2023-12-22T18:26:21Z</dcterms:created>
  <dcterms:modified xsi:type="dcterms:W3CDTF">2023-12-27T19:26:05Z</dcterms:modified>
  <cp:category/>
  <cp:contentStatus/>
</cp:coreProperties>
</file>