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4F208087-8C46-43B6-9805-8F74E207516E}" xr6:coauthVersionLast="47" xr6:coauthVersionMax="47" xr10:uidLastSave="{00000000-0000-0000-0000-000000000000}"/>
  <workbookProtection workbookAlgorithmName="SHA-512" workbookHashValue="u99FzXBlhNHaH2xhZn07IM7/5GpgV/Ubsyf3rJQcEG53VCC8o1S9SRh/Bqr19sC817np5TKXDrB6zNRfbtfQDA==" workbookSaltValue="kZ+tWEq4JPDUGqfeqed80g==" workbookSpinCount="100000" lockStructure="1"/>
  <bookViews>
    <workbookView xWindow="31470" yWindow="2295" windowWidth="19770" windowHeight="9870" tabRatio="786" xr2:uid="{2C46D0F8-3AE4-46AE-84A2-A13AB4537D70}"/>
  </bookViews>
  <sheets>
    <sheet name="Inputs" sheetId="4" r:id="rId1"/>
    <sheet name="Model" sheetId="3" r:id="rId2"/>
    <sheet name="ModelFactors" sheetId="2" r:id="rId3"/>
    <sheet name="Wind Capacity Factor" sheetId="7" r:id="rId4"/>
    <sheet name="2026_Forecasts" sheetId="1" r:id="rId5"/>
  </sheets>
  <definedNames>
    <definedName name="BESS_Size_kW">Inputs!$C$7</definedName>
    <definedName name="Cash_Flow_Base_Year">Inputs!$C$69</definedName>
    <definedName name="Cash_Flow_Label">Inputs!$C$39</definedName>
    <definedName name="CC_MTC">Inputs!$C$21</definedName>
    <definedName name="Community_Adder">Inputs!$C$24</definedName>
    <definedName name="Cost_Base_Year">Inputs!$C$66</definedName>
    <definedName name="Date_of_Operation">Inputs!$C$8</definedName>
    <definedName name="Days_per_Year">ModelFactors!$AC$1:$AD$52</definedName>
    <definedName name="Decomm_Cost_Rate">Inputs!$C$50</definedName>
    <definedName name="Degradation">Inputs!$C$54</definedName>
    <definedName name="DRV_Factors">'2026_Forecasts'!$C$126:$AG$192</definedName>
    <definedName name="DRV_Rate">Inputs!$C$20</definedName>
    <definedName name="DRV_Ref_Year">Inputs!$C$67</definedName>
    <definedName name="DRV_Renewal_Rate">Inputs!$C$55</definedName>
    <definedName name="DRV_Table">ModelFactors!$Q$1:$T$11</definedName>
    <definedName name="Forecast_Base_Year">Inputs!$C$68</definedName>
    <definedName name="Forecast_Energy_Header">'2026_Forecasts'!$C$1:$AG$1</definedName>
    <definedName name="Forecast_Energy_Tier1">'2026_Forecasts'!$C$35:$AG$78</definedName>
    <definedName name="Forecast_Energy_VDER">'2026_Forecasts'!$C$2:$AG$34</definedName>
    <definedName name="Forecast_ICAP">'2026_Forecasts'!$C$80:$AG$124</definedName>
    <definedName name="Forecast_ICAP_Header">'2026_Forecasts'!$C$80:$AG$80</definedName>
    <definedName name="Forecast_NEM_Commercial">'2026_Forecasts'!$C$204:$AG$211</definedName>
    <definedName name="Forecast_NEM_Header">'2026_Forecasts'!$C$195:$AG$195</definedName>
    <definedName name="Forecast_NEM_Residential">'2026_Forecasts'!$C$196:$AG$203</definedName>
    <definedName name="Fraction_of_Credits">Inputs!$C$56</definedName>
    <definedName name="Ground_Lease_Ann">Inputs!$C$14</definedName>
    <definedName name="Ground_Lease_Esc">Inputs!$C$15</definedName>
    <definedName name="Inflation">Inputs!$C$53</definedName>
    <definedName name="Inverter_Age">Inputs!$C$60</definedName>
    <definedName name="Inverter_Cost">Inputs!$C$63</definedName>
    <definedName name="Inverter_Repl_Cycle">Inputs!$C$61</definedName>
    <definedName name="Inverter_Size">Inputs!$C$58</definedName>
    <definedName name="Inverter_Size_Step">Inputs!$C$62</definedName>
    <definedName name="Loaded_Discount_Rate">Inputs!$C$13</definedName>
    <definedName name="NEM_Utility_Name">Inputs!$C$32</definedName>
    <definedName name="Nominal_Real_Switch">Inputs!$E$39</definedName>
    <definedName name="NYISO_Name">ModelFactors!$Z$2:$Z$12</definedName>
    <definedName name="NYISO_Zone">Inputs!$C$45</definedName>
    <definedName name="Plant_Type">Inputs!$C$5</definedName>
    <definedName name="Plant_Type_Table">ModelFactors!$X$5:$X$11</definedName>
    <definedName name="Residential_Share">Inputs!$C$57</definedName>
    <definedName name="Revenue_Model">Inputs!$C$4</definedName>
    <definedName name="StorageDegradation">ModelFactors!$J$23</definedName>
    <definedName name="System_Age">Inputs!$C$10</definedName>
    <definedName name="System_Size">Inputs!$C$6</definedName>
    <definedName name="Tax_Status_Year">Inputs!$C$9</definedName>
    <definedName name="Utility_Loss_Adjustment">Inputs!$C$49</definedName>
    <definedName name="ValGroup">Inputs!$C$44</definedName>
    <definedName name="ValGroup_Table">ModelFactors!$E$1:$F$94</definedName>
    <definedName name="ValGroup_Zone">Inputs!$C$46</definedName>
    <definedName name="VDER_Utility_Name">Inputs!$C$19</definedName>
    <definedName name="Zone_Capacity_Factor">Inputs!$C$47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4" l="1"/>
  <c r="C66" i="4" l="1"/>
  <c r="C68" i="4" l="1"/>
  <c r="C67" i="4"/>
  <c r="C69" i="4"/>
  <c r="J7" i="2" l="1"/>
  <c r="M7" i="2" s="1"/>
  <c r="J4" i="2"/>
  <c r="M4" i="2" s="1"/>
  <c r="C65" i="4"/>
  <c r="E34" i="2" l="1"/>
  <c r="E33" i="2"/>
  <c r="E32" i="2"/>
  <c r="E31" i="2"/>
  <c r="E30" i="2"/>
  <c r="E29" i="2"/>
  <c r="E28" i="2"/>
  <c r="E27" i="2"/>
  <c r="E26" i="2"/>
  <c r="E25" i="2"/>
  <c r="E24" i="2"/>
  <c r="V3" i="2"/>
  <c r="V4" i="2" l="1"/>
  <c r="C27" i="2"/>
  <c r="B30" i="2"/>
  <c r="B25" i="2"/>
  <c r="C33" i="2"/>
  <c r="C28" i="2"/>
  <c r="B31" i="2"/>
  <c r="B26" i="2"/>
  <c r="C34" i="2"/>
  <c r="B24" i="2"/>
  <c r="C29" i="2"/>
  <c r="V5" i="2" l="1"/>
  <c r="B29" i="2"/>
  <c r="B28" i="2"/>
  <c r="C32" i="2"/>
  <c r="C26" i="2"/>
  <c r="C25" i="2"/>
  <c r="B27" i="2"/>
  <c r="B34" i="2"/>
  <c r="B33" i="2"/>
  <c r="C24" i="2"/>
  <c r="C31" i="2"/>
  <c r="C30" i="2"/>
  <c r="B32" i="2"/>
  <c r="V6" i="2" l="1"/>
  <c r="V7" i="2" l="1"/>
  <c r="V8" i="2" l="1"/>
  <c r="B65" i="2"/>
  <c r="C72" i="2"/>
  <c r="B74" i="2"/>
  <c r="B73" i="2"/>
  <c r="B72" i="2"/>
  <c r="C68" i="2"/>
  <c r="C69" i="2"/>
  <c r="B69" i="2"/>
  <c r="C66" i="2"/>
  <c r="B66" i="2"/>
  <c r="C65" i="2"/>
  <c r="C73" i="2"/>
  <c r="C70" i="2"/>
  <c r="B70" i="2"/>
  <c r="V9" i="2" l="1"/>
  <c r="B68" i="2"/>
  <c r="C74" i="2"/>
  <c r="C71" i="2"/>
  <c r="B71" i="2"/>
  <c r="C67" i="2"/>
  <c r="B67" i="2"/>
  <c r="C75" i="2"/>
  <c r="B75" i="2"/>
  <c r="F86" i="2" l="1"/>
  <c r="F85" i="2"/>
  <c r="F84" i="2"/>
  <c r="F83" i="2"/>
  <c r="F82" i="2"/>
  <c r="F80" i="2"/>
  <c r="F79" i="2"/>
  <c r="F78" i="2"/>
  <c r="F77" i="2"/>
  <c r="F76" i="2"/>
  <c r="F81" i="2"/>
  <c r="AA68" i="3" a="1"/>
  <c r="AA68" i="3" s="1"/>
  <c r="Z68" i="3" a="1"/>
  <c r="Z68" i="3" s="1"/>
  <c r="Y68" i="3" a="1"/>
  <c r="Y68" i="3" s="1"/>
  <c r="X68" i="3" a="1"/>
  <c r="X68" i="3" s="1"/>
  <c r="W68" i="3" a="1"/>
  <c r="W68" i="3" s="1"/>
  <c r="V68" i="3" a="1"/>
  <c r="V68" i="3" s="1"/>
  <c r="U68" i="3" a="1"/>
  <c r="U68" i="3" s="1"/>
  <c r="T68" i="3" a="1"/>
  <c r="T68" i="3" s="1"/>
  <c r="S68" i="3" a="1"/>
  <c r="S68" i="3" s="1"/>
  <c r="R68" i="3" a="1"/>
  <c r="R68" i="3" s="1"/>
  <c r="AA67" i="3" a="1"/>
  <c r="AA67" i="3" s="1"/>
  <c r="Z67" i="3" a="1"/>
  <c r="Z67" i="3" s="1"/>
  <c r="Y67" i="3" a="1"/>
  <c r="Y67" i="3" s="1"/>
  <c r="X67" i="3" a="1"/>
  <c r="X67" i="3" s="1"/>
  <c r="W67" i="3" a="1"/>
  <c r="W67" i="3" s="1"/>
  <c r="V67" i="3" a="1"/>
  <c r="V67" i="3" s="1"/>
  <c r="U67" i="3" a="1"/>
  <c r="U67" i="3" s="1"/>
  <c r="T67" i="3" a="1"/>
  <c r="T67" i="3" s="1"/>
  <c r="S67" i="3" a="1"/>
  <c r="S67" i="3" s="1"/>
  <c r="R67" i="3" a="1"/>
  <c r="R67" i="3" s="1"/>
  <c r="AA66" i="3" a="1"/>
  <c r="AA66" i="3" s="1"/>
  <c r="Z66" i="3" a="1"/>
  <c r="Z66" i="3" s="1"/>
  <c r="Y66" i="3" a="1"/>
  <c r="Y66" i="3" s="1"/>
  <c r="X66" i="3" a="1"/>
  <c r="X66" i="3" s="1"/>
  <c r="W66" i="3" a="1"/>
  <c r="W66" i="3" s="1"/>
  <c r="V66" i="3" a="1"/>
  <c r="V66" i="3" s="1"/>
  <c r="U66" i="3" a="1"/>
  <c r="U66" i="3" s="1"/>
  <c r="T66" i="3" a="1"/>
  <c r="T66" i="3" s="1"/>
  <c r="S66" i="3" a="1"/>
  <c r="S66" i="3" s="1"/>
  <c r="R66" i="3" a="1"/>
  <c r="R66" i="3" s="1"/>
  <c r="CA6" i="2"/>
  <c r="CA5" i="2" s="1"/>
  <c r="CA4" i="2" s="1"/>
  <c r="CK6" i="2"/>
  <c r="CJ6" i="2"/>
  <c r="CJ5" i="2" s="1"/>
  <c r="CJ4" i="2" s="1"/>
  <c r="BZ6" i="2"/>
  <c r="BZ5" i="2" s="1"/>
  <c r="BZ4" i="2" s="1"/>
  <c r="BY6" i="2"/>
  <c r="BY5" i="2" s="1"/>
  <c r="BY4" i="2" s="1"/>
  <c r="BX6" i="2"/>
  <c r="BX5" i="2" s="1"/>
  <c r="BX4" i="2" s="1"/>
  <c r="BW6" i="2"/>
  <c r="BW5" i="2" s="1"/>
  <c r="BW4" i="2" s="1"/>
  <c r="BV6" i="2"/>
  <c r="BV5" i="2" s="1"/>
  <c r="BV4" i="2" s="1"/>
  <c r="BU6" i="2"/>
  <c r="BU5" i="2" s="1"/>
  <c r="BU4" i="2" s="1"/>
  <c r="BT6" i="2"/>
  <c r="BT5" i="2" s="1"/>
  <c r="BT4" i="2" s="1"/>
  <c r="BS6" i="2"/>
  <c r="BS5" i="2" s="1"/>
  <c r="BS4" i="2" s="1"/>
  <c r="BR6" i="2"/>
  <c r="BR5" i="2" s="1"/>
  <c r="BR4" i="2" s="1"/>
  <c r="BQ6" i="2"/>
  <c r="BQ5" i="2" s="1"/>
  <c r="BQ4" i="2" s="1"/>
  <c r="BP6" i="2"/>
  <c r="BP5" i="2" s="1"/>
  <c r="BP4" i="2" s="1"/>
  <c r="BO6" i="2"/>
  <c r="BO5" i="2" s="1"/>
  <c r="BO4" i="2" s="1"/>
  <c r="BN6" i="2"/>
  <c r="BN5" i="2" s="1"/>
  <c r="BN4" i="2" s="1"/>
  <c r="BM6" i="2"/>
  <c r="BM5" i="2" s="1"/>
  <c r="BM4" i="2" s="1"/>
  <c r="BL6" i="2"/>
  <c r="BL5" i="2" s="1"/>
  <c r="BL4" i="2" s="1"/>
  <c r="BK6" i="2"/>
  <c r="BK5" i="2" s="1"/>
  <c r="BK4" i="2" s="1"/>
  <c r="BJ6" i="2"/>
  <c r="BJ5" i="2" s="1"/>
  <c r="BJ4" i="2" s="1"/>
  <c r="BI6" i="2"/>
  <c r="BI5" i="2" s="1"/>
  <c r="BI4" i="2" s="1"/>
  <c r="BH6" i="2"/>
  <c r="BH5" i="2" s="1"/>
  <c r="BH4" i="2" s="1"/>
  <c r="BG6" i="2"/>
  <c r="BG5" i="2" s="1"/>
  <c r="BG4" i="2" s="1"/>
  <c r="BF6" i="2"/>
  <c r="BF5" i="2" s="1"/>
  <c r="BF4" i="2" s="1"/>
  <c r="BE6" i="2"/>
  <c r="BE5" i="2" s="1"/>
  <c r="BE4" i="2" s="1"/>
  <c r="BD6" i="2"/>
  <c r="BD5" i="2" s="1"/>
  <c r="BD4" i="2" s="1"/>
  <c r="BC6" i="2"/>
  <c r="BC5" i="2" s="1"/>
  <c r="BC4" i="2" s="1"/>
  <c r="CK5" i="2"/>
  <c r="CK4" i="2" s="1"/>
  <c r="CJ3" i="2"/>
  <c r="BY3" i="2"/>
  <c r="BN3" i="2"/>
  <c r="BC3" i="2"/>
  <c r="AR3" i="2"/>
  <c r="AS6" i="2"/>
  <c r="AS5" i="2" s="1"/>
  <c r="AS4" i="2" s="1"/>
  <c r="AR6" i="2"/>
  <c r="AR5" i="2" s="1"/>
  <c r="AR4" i="2" s="1"/>
  <c r="CB6" i="2" l="1"/>
  <c r="CB5" i="2" s="1"/>
  <c r="CB4" i="2" s="1"/>
  <c r="AU6" i="2"/>
  <c r="AU5" i="2" s="1"/>
  <c r="AU4" i="2" s="1"/>
  <c r="AT6" i="2"/>
  <c r="AT5" i="2" s="1"/>
  <c r="AT4" i="2" s="1"/>
  <c r="AQ6" i="2"/>
  <c r="AQ5" i="2" s="1"/>
  <c r="AQ4" i="2" s="1"/>
  <c r="AP6" i="2"/>
  <c r="AP5" i="2" s="1"/>
  <c r="AP4" i="2" s="1"/>
  <c r="AO6" i="2"/>
  <c r="AO5" i="2" s="1"/>
  <c r="AO4" i="2" s="1"/>
  <c r="AN6" i="2"/>
  <c r="AN5" i="2" s="1"/>
  <c r="AN4" i="2" s="1"/>
  <c r="AM6" i="2"/>
  <c r="AM5" i="2" s="1"/>
  <c r="AM4" i="2" s="1"/>
  <c r="AL6" i="2"/>
  <c r="AL5" i="2" s="1"/>
  <c r="AL4" i="2" s="1"/>
  <c r="AK6" i="2"/>
  <c r="AK5" i="2" s="1"/>
  <c r="AK4" i="2" s="1"/>
  <c r="AJ6" i="2"/>
  <c r="AJ5" i="2" s="1"/>
  <c r="AJ4" i="2" s="1"/>
  <c r="AI6" i="2"/>
  <c r="AI5" i="2" s="1"/>
  <c r="AI4" i="2" s="1"/>
  <c r="AA65" i="3" l="1"/>
  <c r="Z65" i="3"/>
  <c r="Y65" i="3"/>
  <c r="X65" i="3"/>
  <c r="W65" i="3"/>
  <c r="V65" i="3"/>
  <c r="U65" i="3"/>
  <c r="T65" i="3"/>
  <c r="S65" i="3"/>
  <c r="R65" i="3"/>
  <c r="CI6" i="2"/>
  <c r="CI5" i="2" s="1"/>
  <c r="CI4" i="2" s="1"/>
  <c r="CH6" i="2"/>
  <c r="CH5" i="2" s="1"/>
  <c r="CH4" i="2" s="1"/>
  <c r="CG6" i="2"/>
  <c r="CG5" i="2" s="1"/>
  <c r="CG4" i="2" s="1"/>
  <c r="CF6" i="2"/>
  <c r="CF5" i="2" s="1"/>
  <c r="CF4" i="2" s="1"/>
  <c r="CE6" i="2"/>
  <c r="CD6" i="2"/>
  <c r="CD5" i="2" s="1"/>
  <c r="CD4" i="2" s="1"/>
  <c r="CC6" i="2"/>
  <c r="CC5" i="2" s="1"/>
  <c r="CC4" i="2" s="1"/>
  <c r="BB6" i="2"/>
  <c r="BB5" i="2" s="1"/>
  <c r="BB4" i="2" s="1"/>
  <c r="BA6" i="2"/>
  <c r="BA5" i="2" s="1"/>
  <c r="BA4" i="2" s="1"/>
  <c r="AZ6" i="2"/>
  <c r="AZ5" i="2" s="1"/>
  <c r="AZ4" i="2" s="1"/>
  <c r="AY6" i="2"/>
  <c r="AY5" i="2" s="1"/>
  <c r="AY4" i="2" s="1"/>
  <c r="AX6" i="2"/>
  <c r="AX5" i="2" s="1"/>
  <c r="AX4" i="2" s="1"/>
  <c r="AW6" i="2"/>
  <c r="AW5" i="2" s="1"/>
  <c r="AW4" i="2" s="1"/>
  <c r="AV6" i="2"/>
  <c r="AV5" i="2" s="1"/>
  <c r="AV4" i="2" s="1"/>
  <c r="E6" i="4"/>
  <c r="C149" i="3"/>
  <c r="CE5" i="2" l="1"/>
  <c r="B40" i="3"/>
  <c r="CE4" i="2" l="1"/>
  <c r="AD36" i="2"/>
  <c r="AD37" i="2"/>
  <c r="AD38" i="2"/>
  <c r="AD39" i="2"/>
  <c r="AD40" i="2"/>
  <c r="AD41" i="2"/>
  <c r="AD42" i="2"/>
  <c r="AD43" i="2"/>
  <c r="AD44" i="2"/>
  <c r="AD45" i="2"/>
  <c r="AD46" i="2"/>
  <c r="AD47" i="2"/>
  <c r="AD48" i="2"/>
  <c r="AD49" i="2"/>
  <c r="AD50" i="2"/>
  <c r="AD51" i="2"/>
  <c r="AD52" i="2"/>
  <c r="E50" i="2" l="1"/>
  <c r="E51" i="2"/>
  <c r="E52" i="2" l="1"/>
  <c r="C45" i="4" a="1"/>
  <c r="C45" i="4" s="1"/>
  <c r="H63" i="3" l="1"/>
  <c r="M10" i="2"/>
  <c r="C145" i="3"/>
  <c r="E86" i="2" l="1"/>
  <c r="E85" i="2"/>
  <c r="E84" i="2"/>
  <c r="E83" i="2"/>
  <c r="E82" i="2"/>
  <c r="E81" i="2"/>
  <c r="E80" i="2"/>
  <c r="E79" i="2"/>
  <c r="E78" i="2"/>
  <c r="E77" i="2"/>
  <c r="E20" i="2" l="1"/>
  <c r="E7" i="2"/>
  <c r="E10" i="2"/>
  <c r="E14" i="2"/>
  <c r="E3" i="2"/>
  <c r="E76" i="2"/>
  <c r="E64" i="2"/>
  <c r="E63" i="2"/>
  <c r="E62" i="2"/>
  <c r="E61" i="2"/>
  <c r="E60" i="2"/>
  <c r="E59" i="2"/>
  <c r="E58" i="2"/>
  <c r="E57" i="2"/>
  <c r="E56" i="2"/>
  <c r="E55" i="2"/>
  <c r="E54" i="2"/>
  <c r="E53" i="2"/>
  <c r="E49" i="2"/>
  <c r="E48" i="2"/>
  <c r="E47" i="2"/>
  <c r="E46" i="2"/>
  <c r="E45" i="2"/>
  <c r="E44" i="2"/>
  <c r="E43" i="2"/>
  <c r="E42" i="2"/>
  <c r="E41" i="2"/>
  <c r="E40" i="2"/>
  <c r="E39" i="2"/>
  <c r="E38" i="2"/>
  <c r="E37" i="2"/>
  <c r="E36" i="2"/>
  <c r="E35" i="2"/>
  <c r="E23" i="2"/>
  <c r="E22" i="2"/>
  <c r="E21" i="2"/>
  <c r="E19" i="2"/>
  <c r="E18" i="2"/>
  <c r="E17" i="2"/>
  <c r="E16" i="2"/>
  <c r="E15" i="2"/>
  <c r="E13" i="2"/>
  <c r="E12" i="2"/>
  <c r="E11" i="2"/>
  <c r="E9" i="2"/>
  <c r="E8" i="2"/>
  <c r="E6" i="2"/>
  <c r="E5" i="2"/>
  <c r="E4" i="2"/>
  <c r="C3" i="2"/>
  <c r="C12" i="2"/>
  <c r="B12" i="2"/>
  <c r="C11" i="2"/>
  <c r="B11" i="2"/>
  <c r="C10" i="2"/>
  <c r="B10" i="2"/>
  <c r="C9" i="2"/>
  <c r="B9" i="2"/>
  <c r="C8" i="2"/>
  <c r="B8" i="2"/>
  <c r="C7" i="2"/>
  <c r="B7" i="2"/>
  <c r="C6" i="2"/>
  <c r="B6" i="2"/>
  <c r="C5" i="2"/>
  <c r="B5" i="2"/>
  <c r="C4" i="2"/>
  <c r="B4" i="2"/>
  <c r="B3" i="2"/>
  <c r="E2" i="2"/>
  <c r="C2" i="2"/>
  <c r="B2" i="2"/>
  <c r="AA63" i="3"/>
  <c r="Z63" i="3"/>
  <c r="Y63" i="3"/>
  <c r="X63" i="3"/>
  <c r="W63" i="3"/>
  <c r="V63" i="3"/>
  <c r="U63" i="3"/>
  <c r="T63" i="3"/>
  <c r="S63" i="3"/>
  <c r="R63" i="3"/>
  <c r="Q63" i="3"/>
  <c r="P63" i="3"/>
  <c r="O63" i="3"/>
  <c r="N63" i="3"/>
  <c r="M63" i="3"/>
  <c r="L63" i="3"/>
  <c r="K63" i="3"/>
  <c r="J63" i="3"/>
  <c r="I63" i="3"/>
  <c r="G63" i="3"/>
  <c r="F63" i="3"/>
  <c r="E63" i="3"/>
  <c r="D63" i="3"/>
  <c r="C63" i="3"/>
  <c r="AA64" i="3"/>
  <c r="Z64" i="3"/>
  <c r="Y64" i="3"/>
  <c r="X64" i="3"/>
  <c r="W64" i="3"/>
  <c r="V64" i="3"/>
  <c r="U64" i="3"/>
  <c r="T64" i="3"/>
  <c r="S64" i="3"/>
  <c r="R64" i="3"/>
  <c r="C13" i="2" l="1"/>
  <c r="B23" i="2"/>
  <c r="B21" i="2"/>
  <c r="B22" i="2"/>
  <c r="C22" i="2"/>
  <c r="C39" i="2"/>
  <c r="C20" i="2"/>
  <c r="B17" i="2"/>
  <c r="C19" i="2"/>
  <c r="B14" i="2"/>
  <c r="C15" i="2"/>
  <c r="C21" i="2"/>
  <c r="B15" i="2"/>
  <c r="C14" i="2"/>
  <c r="B16" i="2"/>
  <c r="C16" i="2"/>
  <c r="C17" i="2"/>
  <c r="C23" i="2"/>
  <c r="B18" i="2"/>
  <c r="C18" i="2"/>
  <c r="B13" i="2"/>
  <c r="B19" i="2"/>
  <c r="B20" i="2"/>
  <c r="B36" i="2" l="1"/>
  <c r="B38" i="2"/>
  <c r="C35" i="2"/>
  <c r="B41" i="2"/>
  <c r="B40" i="2"/>
  <c r="C41" i="2"/>
  <c r="C38" i="2"/>
  <c r="B39" i="2"/>
  <c r="B42" i="2"/>
  <c r="C36" i="2"/>
  <c r="C37" i="2"/>
  <c r="C40" i="2"/>
  <c r="B35" i="2"/>
  <c r="B37" i="2"/>
  <c r="C42" i="2"/>
  <c r="C51" i="2"/>
  <c r="Q64" i="3"/>
  <c r="P64" i="3"/>
  <c r="O64" i="3"/>
  <c r="N64" i="3"/>
  <c r="M64" i="3"/>
  <c r="L64" i="3"/>
  <c r="K64" i="3"/>
  <c r="J64" i="3"/>
  <c r="I64" i="3"/>
  <c r="H64" i="3"/>
  <c r="G64" i="3"/>
  <c r="F64" i="3"/>
  <c r="E64" i="3"/>
  <c r="D64" i="3"/>
  <c r="C64" i="3"/>
  <c r="C62" i="3"/>
  <c r="C61" i="3"/>
  <c r="C147" i="3"/>
  <c r="C154" i="3" s="1"/>
  <c r="C44" i="2" l="1"/>
  <c r="C52" i="2"/>
  <c r="C49" i="2"/>
  <c r="C50" i="2"/>
  <c r="B44" i="2"/>
  <c r="B52" i="2"/>
  <c r="C43" i="2"/>
  <c r="B48" i="2"/>
  <c r="B45" i="2"/>
  <c r="C57" i="2"/>
  <c r="C48" i="2"/>
  <c r="C46" i="2"/>
  <c r="C53" i="2"/>
  <c r="C47" i="2"/>
  <c r="B53" i="2"/>
  <c r="C45" i="2"/>
  <c r="B43" i="2"/>
  <c r="B47" i="2"/>
  <c r="B49" i="2"/>
  <c r="B46" i="2"/>
  <c r="B50" i="2" l="1"/>
  <c r="B62" i="2"/>
  <c r="B58" i="2"/>
  <c r="B56" i="2"/>
  <c r="B64" i="2"/>
  <c r="C56" i="2"/>
  <c r="B54" i="2"/>
  <c r="B63" i="2"/>
  <c r="C60" i="2"/>
  <c r="B60" i="2"/>
  <c r="C63" i="2"/>
  <c r="C62" i="2"/>
  <c r="C59" i="2"/>
  <c r="C64" i="2"/>
  <c r="B59" i="2"/>
  <c r="C55" i="2"/>
  <c r="B61" i="2"/>
  <c r="C58" i="2"/>
  <c r="C44" i="4" a="1"/>
  <c r="C44" i="4" s="1"/>
  <c r="C54" i="2"/>
  <c r="B57" i="2"/>
  <c r="C61" i="2"/>
  <c r="B55" i="2"/>
  <c r="C63" i="4" l="1"/>
  <c r="C61" i="4"/>
  <c r="C58" i="4"/>
  <c r="C54" i="4"/>
  <c r="C50" i="4"/>
  <c r="C11" i="4"/>
  <c r="C46" i="4"/>
  <c r="B51" i="2"/>
  <c r="C78" i="2"/>
  <c r="C76" i="2"/>
  <c r="B80" i="2"/>
  <c r="C85" i="2"/>
  <c r="C82" i="2"/>
  <c r="B86" i="2"/>
  <c r="B76" i="2"/>
  <c r="B84" i="2"/>
  <c r="B85" i="2"/>
  <c r="B78" i="2"/>
  <c r="C86" i="2"/>
  <c r="B79" i="2"/>
  <c r="B77" i="2"/>
  <c r="C83" i="2"/>
  <c r="C84" i="2"/>
  <c r="B82" i="2"/>
  <c r="C79" i="2"/>
  <c r="B81" i="2"/>
  <c r="C80" i="2"/>
  <c r="C77" i="2"/>
  <c r="C81" i="2"/>
  <c r="B83" i="2"/>
  <c r="C64" i="4"/>
  <c r="J20" i="2" l="1"/>
  <c r="C152" i="3" s="1"/>
  <c r="C146" i="3"/>
  <c r="M5" i="2"/>
  <c r="M6" i="2"/>
  <c r="M8" i="2"/>
  <c r="M9" i="2"/>
  <c r="M3" i="2"/>
  <c r="C151" i="3" l="1" a="1"/>
  <c r="C151" i="3" s="1"/>
  <c r="E39" i="4" l="1"/>
  <c r="C153" i="3" l="1"/>
  <c r="C2" i="3"/>
  <c r="C10" i="4"/>
  <c r="F95" i="3" l="1"/>
  <c r="C95" i="3"/>
  <c r="D95" i="3"/>
  <c r="E95" i="3"/>
  <c r="C60" i="4"/>
  <c r="C73" i="3"/>
  <c r="C130" i="3"/>
  <c r="C82" i="3"/>
  <c r="C139" i="3"/>
  <c r="C150" i="3"/>
  <c r="F164" i="3"/>
  <c r="D164" i="3"/>
  <c r="C47" i="3"/>
  <c r="K5" i="7"/>
  <c r="J5" i="7"/>
  <c r="I5" i="7"/>
  <c r="E5" i="7"/>
  <c r="C5" i="7"/>
  <c r="C85" i="4" l="1"/>
  <c r="C86" i="4" s="1"/>
  <c r="C78" i="4"/>
  <c r="C79" i="4" l="1"/>
  <c r="C92" i="3" l="1"/>
  <c r="AA2" i="3"/>
  <c r="AA95" i="3" s="1"/>
  <c r="Z2" i="3"/>
  <c r="Z95" i="3" s="1"/>
  <c r="Y2" i="3"/>
  <c r="Y95" i="3" s="1"/>
  <c r="X2" i="3"/>
  <c r="X95" i="3" s="1"/>
  <c r="W2" i="3"/>
  <c r="W95" i="3" s="1"/>
  <c r="V2" i="3"/>
  <c r="V95" i="3" s="1"/>
  <c r="U2" i="3"/>
  <c r="U95" i="3" s="1"/>
  <c r="T2" i="3"/>
  <c r="T95" i="3" s="1"/>
  <c r="S2" i="3"/>
  <c r="S95" i="3" s="1"/>
  <c r="R2" i="3"/>
  <c r="R95" i="3" s="1"/>
  <c r="Q2" i="3"/>
  <c r="Q95" i="3" s="1"/>
  <c r="P2" i="3"/>
  <c r="P95" i="3" s="1"/>
  <c r="O2" i="3"/>
  <c r="O95" i="3" s="1"/>
  <c r="N2" i="3"/>
  <c r="N95" i="3" s="1"/>
  <c r="M2" i="3"/>
  <c r="M95" i="3" s="1"/>
  <c r="L2" i="3"/>
  <c r="L95" i="3" s="1"/>
  <c r="K2" i="3"/>
  <c r="K95" i="3" s="1"/>
  <c r="J2" i="3"/>
  <c r="J95" i="3" s="1"/>
  <c r="I2" i="3"/>
  <c r="I95" i="3" s="1"/>
  <c r="H2" i="3"/>
  <c r="H95" i="3" s="1"/>
  <c r="G2" i="3"/>
  <c r="G95" i="3" s="1"/>
  <c r="F2" i="3"/>
  <c r="E2" i="3"/>
  <c r="D2" i="3"/>
  <c r="E130" i="3" l="1"/>
  <c r="E82" i="3"/>
  <c r="E139" i="3"/>
  <c r="E73" i="3"/>
  <c r="D139" i="3"/>
  <c r="D130" i="3"/>
  <c r="D73" i="3"/>
  <c r="D82" i="3"/>
  <c r="U130" i="3"/>
  <c r="U139" i="3"/>
  <c r="U82" i="3"/>
  <c r="U73" i="3"/>
  <c r="N73" i="3"/>
  <c r="N130" i="3"/>
  <c r="N139" i="3"/>
  <c r="N82" i="3"/>
  <c r="G82" i="3"/>
  <c r="G130" i="3"/>
  <c r="G139" i="3"/>
  <c r="G73" i="3"/>
  <c r="W82" i="3"/>
  <c r="W73" i="3"/>
  <c r="W139" i="3"/>
  <c r="W130" i="3"/>
  <c r="X130" i="3"/>
  <c r="X82" i="3"/>
  <c r="X139" i="3"/>
  <c r="X73" i="3"/>
  <c r="Z130" i="3"/>
  <c r="Z73" i="3"/>
  <c r="Z82" i="3"/>
  <c r="Z139" i="3"/>
  <c r="M82" i="3"/>
  <c r="M73" i="3"/>
  <c r="M130" i="3"/>
  <c r="M139" i="3"/>
  <c r="F130" i="3"/>
  <c r="F82" i="3"/>
  <c r="F139" i="3"/>
  <c r="F73" i="3"/>
  <c r="V139" i="3"/>
  <c r="V73" i="3"/>
  <c r="V82" i="3"/>
  <c r="V130" i="3"/>
  <c r="O139" i="3"/>
  <c r="O130" i="3"/>
  <c r="O82" i="3"/>
  <c r="O73" i="3"/>
  <c r="H82" i="3"/>
  <c r="H73" i="3"/>
  <c r="H139" i="3"/>
  <c r="H130" i="3"/>
  <c r="P73" i="3"/>
  <c r="P139" i="3"/>
  <c r="P130" i="3"/>
  <c r="P82" i="3"/>
  <c r="I130" i="3"/>
  <c r="I73" i="3"/>
  <c r="I139" i="3"/>
  <c r="I82" i="3"/>
  <c r="Q73" i="3"/>
  <c r="Q130" i="3"/>
  <c r="Q82" i="3"/>
  <c r="Q139" i="3"/>
  <c r="Y130" i="3"/>
  <c r="Y82" i="3"/>
  <c r="Y139" i="3"/>
  <c r="Y73" i="3"/>
  <c r="J139" i="3"/>
  <c r="J73" i="3"/>
  <c r="J130" i="3"/>
  <c r="J82" i="3"/>
  <c r="R139" i="3"/>
  <c r="R73" i="3"/>
  <c r="R82" i="3"/>
  <c r="R130" i="3"/>
  <c r="K82" i="3"/>
  <c r="K139" i="3"/>
  <c r="K73" i="3"/>
  <c r="K130" i="3"/>
  <c r="S73" i="3"/>
  <c r="S139" i="3"/>
  <c r="S82" i="3"/>
  <c r="S130" i="3"/>
  <c r="AA130" i="3"/>
  <c r="AA82" i="3"/>
  <c r="AA139" i="3"/>
  <c r="AA73" i="3"/>
  <c r="L130" i="3"/>
  <c r="L82" i="3"/>
  <c r="L73" i="3"/>
  <c r="L139" i="3"/>
  <c r="T139" i="3"/>
  <c r="T73" i="3"/>
  <c r="T82" i="3"/>
  <c r="T130" i="3"/>
  <c r="K47" i="3"/>
  <c r="J47" i="3"/>
  <c r="M47" i="3"/>
  <c r="O47" i="3"/>
  <c r="X47" i="3"/>
  <c r="L47" i="3"/>
  <c r="N47" i="3"/>
  <c r="P47" i="3"/>
  <c r="Q47" i="3"/>
  <c r="R47" i="3"/>
  <c r="S47" i="3"/>
  <c r="T47" i="3"/>
  <c r="U47" i="3"/>
  <c r="V47" i="3"/>
  <c r="W47" i="3"/>
  <c r="D47" i="3"/>
  <c r="D165" i="3" s="1"/>
  <c r="E47" i="3"/>
  <c r="Y47" i="3"/>
  <c r="F47" i="3"/>
  <c r="Z47" i="3"/>
  <c r="G47" i="3"/>
  <c r="AA47" i="3"/>
  <c r="H47" i="3"/>
  <c r="I47" i="3"/>
  <c r="AA49" i="3"/>
  <c r="Z49" i="3"/>
  <c r="Y49" i="3"/>
  <c r="X49" i="3"/>
  <c r="W49" i="3"/>
  <c r="V49" i="3"/>
  <c r="U49" i="3"/>
  <c r="T49" i="3"/>
  <c r="S49" i="3"/>
  <c r="R49" i="3"/>
  <c r="Q49" i="3"/>
  <c r="P49" i="3"/>
  <c r="O49" i="3"/>
  <c r="N49" i="3"/>
  <c r="M49" i="3"/>
  <c r="L49" i="3"/>
  <c r="K49" i="3"/>
  <c r="J49" i="3"/>
  <c r="I49" i="3"/>
  <c r="H49" i="3"/>
  <c r="G49" i="3"/>
  <c r="F49" i="3"/>
  <c r="E49" i="3"/>
  <c r="D49" i="3"/>
  <c r="C49" i="3"/>
  <c r="AA50" i="3"/>
  <c r="Z50" i="3"/>
  <c r="Y50" i="3"/>
  <c r="X50" i="3"/>
  <c r="W50" i="3"/>
  <c r="V50" i="3"/>
  <c r="U50" i="3"/>
  <c r="T50" i="3"/>
  <c r="S50" i="3"/>
  <c r="R50" i="3"/>
  <c r="Q50" i="3"/>
  <c r="P50" i="3"/>
  <c r="O50" i="3"/>
  <c r="N50" i="3"/>
  <c r="M50" i="3"/>
  <c r="L50" i="3"/>
  <c r="K50" i="3"/>
  <c r="J50" i="3"/>
  <c r="I50" i="3"/>
  <c r="H50" i="3"/>
  <c r="G50" i="3"/>
  <c r="F50" i="3"/>
  <c r="E50" i="3"/>
  <c r="D50" i="3"/>
  <c r="C50" i="3"/>
  <c r="AA48" i="3"/>
  <c r="AA182" i="3" s="1"/>
  <c r="Z48" i="3"/>
  <c r="Z182" i="3" s="1"/>
  <c r="Y48" i="3"/>
  <c r="Y182" i="3" s="1"/>
  <c r="X48" i="3"/>
  <c r="X182" i="3" s="1"/>
  <c r="W48" i="3"/>
  <c r="W182" i="3" s="1"/>
  <c r="V48" i="3"/>
  <c r="V182" i="3" s="1"/>
  <c r="U48" i="3"/>
  <c r="U182" i="3" s="1"/>
  <c r="T48" i="3"/>
  <c r="T182" i="3" s="1"/>
  <c r="S48" i="3"/>
  <c r="S182" i="3" s="1"/>
  <c r="R48" i="3"/>
  <c r="R182" i="3" s="1"/>
  <c r="Q48" i="3"/>
  <c r="Q182" i="3" s="1"/>
  <c r="P48" i="3"/>
  <c r="P182" i="3" s="1"/>
  <c r="O48" i="3"/>
  <c r="O182" i="3" s="1"/>
  <c r="N48" i="3"/>
  <c r="N182" i="3" s="1"/>
  <c r="M48" i="3"/>
  <c r="M182" i="3" s="1"/>
  <c r="L48" i="3"/>
  <c r="L182" i="3" s="1"/>
  <c r="K48" i="3"/>
  <c r="K182" i="3" s="1"/>
  <c r="J48" i="3"/>
  <c r="J182" i="3" s="1"/>
  <c r="I48" i="3"/>
  <c r="I182" i="3" s="1"/>
  <c r="H48" i="3"/>
  <c r="H182" i="3" s="1"/>
  <c r="G48" i="3"/>
  <c r="G182" i="3" s="1"/>
  <c r="F48" i="3"/>
  <c r="F182" i="3" s="1"/>
  <c r="E48" i="3"/>
  <c r="E182" i="3" s="1"/>
  <c r="D48" i="3"/>
  <c r="D182" i="3" s="1"/>
  <c r="C48" i="3"/>
  <c r="C182" i="3" s="1"/>
  <c r="M156" i="3" l="1"/>
  <c r="U156" i="3"/>
  <c r="N156" i="3"/>
  <c r="V156" i="3"/>
  <c r="O156" i="3"/>
  <c r="W156" i="3"/>
  <c r="P156" i="3"/>
  <c r="X156" i="3"/>
  <c r="Q156" i="3"/>
  <c r="Y156" i="3"/>
  <c r="R156" i="3"/>
  <c r="Z156" i="3"/>
  <c r="C156" i="3"/>
  <c r="S156" i="3"/>
  <c r="AA156" i="3"/>
  <c r="D156" i="3"/>
  <c r="D157" i="3" s="1"/>
  <c r="T156" i="3"/>
  <c r="AA93" i="3"/>
  <c r="Z93" i="3"/>
  <c r="Y93" i="3"/>
  <c r="X93" i="3"/>
  <c r="W93" i="3"/>
  <c r="V93" i="3"/>
  <c r="U93" i="3"/>
  <c r="T93" i="3"/>
  <c r="S93" i="3"/>
  <c r="R93" i="3"/>
  <c r="Q93" i="3"/>
  <c r="P93" i="3"/>
  <c r="O93" i="3"/>
  <c r="N93" i="3"/>
  <c r="M93" i="3"/>
  <c r="L93" i="3"/>
  <c r="K93" i="3"/>
  <c r="J93" i="3"/>
  <c r="I93" i="3"/>
  <c r="H93" i="3"/>
  <c r="G93" i="3"/>
  <c r="F93" i="3"/>
  <c r="E93" i="3"/>
  <c r="D93" i="3"/>
  <c r="C93" i="3"/>
  <c r="B13" i="3"/>
  <c r="B5" i="3"/>
  <c r="B21" i="4" l="1"/>
  <c r="E22" i="4" l="1"/>
  <c r="C21" i="4"/>
  <c r="F36" i="3"/>
  <c r="B17" i="3"/>
  <c r="B13" i="4"/>
  <c r="C48" i="4" l="1"/>
  <c r="F122" i="3"/>
  <c r="C116" i="3"/>
  <c r="B133" i="3"/>
  <c r="B194" i="3"/>
  <c r="B117" i="3"/>
  <c r="B99" i="3"/>
  <c r="B85" i="3"/>
  <c r="B174" i="3"/>
  <c r="B40" i="4"/>
  <c r="B126" i="3"/>
  <c r="B108" i="3"/>
  <c r="B188" i="3"/>
  <c r="B183" i="3"/>
  <c r="B76" i="3"/>
  <c r="B165" i="3"/>
  <c r="AF3" i="2"/>
  <c r="B191" i="3"/>
  <c r="B157" i="3"/>
  <c r="B142" i="3"/>
  <c r="C112" i="3"/>
  <c r="AA116" i="3"/>
  <c r="Z116" i="3"/>
  <c r="R116" i="3"/>
  <c r="J116" i="3"/>
  <c r="X116" i="3"/>
  <c r="F116" i="3"/>
  <c r="U116" i="3"/>
  <c r="K116" i="3"/>
  <c r="Y116" i="3"/>
  <c r="Q116" i="3"/>
  <c r="I116" i="3"/>
  <c r="P116" i="3"/>
  <c r="H116" i="3"/>
  <c r="M116" i="3"/>
  <c r="T116" i="3"/>
  <c r="L116" i="3"/>
  <c r="S116" i="3"/>
  <c r="W116" i="3"/>
  <c r="O116" i="3"/>
  <c r="G116" i="3"/>
  <c r="V116" i="3"/>
  <c r="N116" i="3"/>
  <c r="C171" i="3"/>
  <c r="N173" i="3" s="1"/>
  <c r="U173" i="3" l="1"/>
  <c r="O173" i="3"/>
  <c r="I173" i="3"/>
  <c r="E173" i="3"/>
  <c r="V173" i="3"/>
  <c r="H173" i="3"/>
  <c r="C173" i="3"/>
  <c r="M173" i="3"/>
  <c r="K173" i="3"/>
  <c r="J173" i="3"/>
  <c r="S173" i="3"/>
  <c r="G173" i="3"/>
  <c r="R173" i="3"/>
  <c r="AA173" i="3"/>
  <c r="X173" i="3"/>
  <c r="D173" i="3"/>
  <c r="Y173" i="3"/>
  <c r="Q173" i="3"/>
  <c r="Z173" i="3"/>
  <c r="W173" i="3"/>
  <c r="L173" i="3"/>
  <c r="F173" i="3"/>
  <c r="P173" i="3"/>
  <c r="T173" i="3"/>
  <c r="C90" i="3"/>
  <c r="C113" i="3"/>
  <c r="C104" i="3"/>
  <c r="C137" i="3" l="1"/>
  <c r="C53" i="3"/>
  <c r="C129" i="3"/>
  <c r="C168" i="3"/>
  <c r="C162" i="3"/>
  <c r="C161" i="3"/>
  <c r="C121" i="3"/>
  <c r="F156" i="3" l="1"/>
  <c r="H156" i="3"/>
  <c r="J156" i="3"/>
  <c r="G156" i="3"/>
  <c r="L156" i="3"/>
  <c r="K156" i="3"/>
  <c r="I156" i="3"/>
  <c r="E156" i="3"/>
  <c r="C80" i="3"/>
  <c r="AD35" i="2"/>
  <c r="AD34" i="2"/>
  <c r="AD33" i="2"/>
  <c r="AD32" i="2"/>
  <c r="AD31" i="2"/>
  <c r="AD30" i="2"/>
  <c r="AD29" i="2"/>
  <c r="AD28" i="2"/>
  <c r="AD27" i="2"/>
  <c r="AD26" i="2"/>
  <c r="AD25" i="2"/>
  <c r="AD24" i="2"/>
  <c r="AD23" i="2"/>
  <c r="AD22" i="2"/>
  <c r="AD21" i="2"/>
  <c r="AD20" i="2"/>
  <c r="AD19" i="2"/>
  <c r="AD18" i="2"/>
  <c r="AD17" i="2"/>
  <c r="AD16" i="2"/>
  <c r="AD15" i="2"/>
  <c r="AD14" i="2"/>
  <c r="AD13" i="2"/>
  <c r="AD12" i="2"/>
  <c r="AD11" i="2"/>
  <c r="AD10" i="2"/>
  <c r="AD9" i="2"/>
  <c r="AD8" i="2"/>
  <c r="AD7" i="2"/>
  <c r="AD6" i="2"/>
  <c r="AD5" i="2"/>
  <c r="AD4" i="2"/>
  <c r="AD3" i="2"/>
  <c r="AD2" i="2"/>
  <c r="C89" i="3"/>
  <c r="C49" i="4"/>
  <c r="C20" i="4"/>
  <c r="C91" i="3" s="1"/>
  <c r="C180" i="3" l="1"/>
  <c r="C170" i="3"/>
  <c r="C178" i="3"/>
  <c r="Z123" i="3"/>
  <c r="Z122" i="3"/>
  <c r="T123" i="3"/>
  <c r="T122" i="3"/>
  <c r="AA123" i="3"/>
  <c r="AA122" i="3"/>
  <c r="E123" i="3"/>
  <c r="E122" i="3"/>
  <c r="M123" i="3"/>
  <c r="M122" i="3"/>
  <c r="U123" i="3"/>
  <c r="U122" i="3"/>
  <c r="R123" i="3"/>
  <c r="R122" i="3"/>
  <c r="S123" i="3"/>
  <c r="S122" i="3"/>
  <c r="F123" i="3"/>
  <c r="V122" i="3"/>
  <c r="V123" i="3"/>
  <c r="J123" i="3"/>
  <c r="J122" i="3"/>
  <c r="C123" i="3"/>
  <c r="C122" i="3"/>
  <c r="D123" i="3"/>
  <c r="D122" i="3"/>
  <c r="G122" i="3"/>
  <c r="G123" i="3"/>
  <c r="O123" i="3"/>
  <c r="O122" i="3"/>
  <c r="W122" i="3"/>
  <c r="W123" i="3"/>
  <c r="K123" i="3"/>
  <c r="K122" i="3"/>
  <c r="L123" i="3"/>
  <c r="L122" i="3"/>
  <c r="H123" i="3"/>
  <c r="H122" i="3"/>
  <c r="P122" i="3"/>
  <c r="P123" i="3"/>
  <c r="X122" i="3"/>
  <c r="X123" i="3"/>
  <c r="N122" i="3"/>
  <c r="N123" i="3"/>
  <c r="I123" i="3"/>
  <c r="I122" i="3"/>
  <c r="Q123" i="3"/>
  <c r="Q122" i="3"/>
  <c r="Y123" i="3"/>
  <c r="Y122" i="3"/>
  <c r="C13" i="4"/>
  <c r="C96" i="3"/>
  <c r="C177" i="3"/>
  <c r="J96" i="3"/>
  <c r="G96" i="3"/>
  <c r="O96" i="3"/>
  <c r="S96" i="3"/>
  <c r="W96" i="3"/>
  <c r="AA96" i="3"/>
  <c r="D96" i="3"/>
  <c r="H96" i="3"/>
  <c r="L96" i="3"/>
  <c r="P96" i="3"/>
  <c r="T96" i="3"/>
  <c r="X96" i="3"/>
  <c r="F96" i="3"/>
  <c r="N96" i="3"/>
  <c r="R96" i="3"/>
  <c r="V96" i="3"/>
  <c r="Z96" i="3"/>
  <c r="K96" i="3"/>
  <c r="E96" i="3"/>
  <c r="I96" i="3"/>
  <c r="M96" i="3"/>
  <c r="Q96" i="3"/>
  <c r="U96" i="3"/>
  <c r="Y96" i="3"/>
  <c r="C111" i="3"/>
  <c r="E157" i="3"/>
  <c r="C157" i="3"/>
  <c r="D24" i="3"/>
  <c r="C71" i="3"/>
  <c r="D116" i="3"/>
  <c r="C103" i="3"/>
  <c r="E116" i="3"/>
  <c r="C136" i="3"/>
  <c r="AA164" i="3"/>
  <c r="W164" i="3"/>
  <c r="K164" i="3"/>
  <c r="G164" i="3"/>
  <c r="Z164" i="3"/>
  <c r="V164" i="3"/>
  <c r="R164" i="3"/>
  <c r="N164" i="3"/>
  <c r="J164" i="3"/>
  <c r="E164" i="3"/>
  <c r="C160" i="3"/>
  <c r="C169" i="3"/>
  <c r="T164" i="3"/>
  <c r="P164" i="3"/>
  <c r="H164" i="3"/>
  <c r="O164" i="3"/>
  <c r="Y164" i="3"/>
  <c r="U164" i="3"/>
  <c r="Q164" i="3"/>
  <c r="M164" i="3"/>
  <c r="I164" i="3"/>
  <c r="C148" i="3"/>
  <c r="X164" i="3"/>
  <c r="L164" i="3"/>
  <c r="C164" i="3"/>
  <c r="S164" i="3"/>
  <c r="C102" i="3"/>
  <c r="C120" i="3"/>
  <c r="C88" i="3"/>
  <c r="C72" i="3"/>
  <c r="I57" i="3"/>
  <c r="Q57" i="3"/>
  <c r="Y57" i="3"/>
  <c r="F57" i="3"/>
  <c r="N57" i="3"/>
  <c r="V57" i="3"/>
  <c r="C57" i="3"/>
  <c r="G57" i="3"/>
  <c r="K57" i="3"/>
  <c r="O57" i="3"/>
  <c r="S57" i="3"/>
  <c r="W57" i="3"/>
  <c r="AA57" i="3"/>
  <c r="E57" i="3"/>
  <c r="M57" i="3"/>
  <c r="U57" i="3"/>
  <c r="J57" i="3"/>
  <c r="R57" i="3"/>
  <c r="Z57" i="3"/>
  <c r="D57" i="3"/>
  <c r="H57" i="3"/>
  <c r="L57" i="3"/>
  <c r="P57" i="3"/>
  <c r="T57" i="3"/>
  <c r="X57" i="3"/>
  <c r="C79" i="3"/>
  <c r="E45" i="3" l="1"/>
  <c r="D45" i="3"/>
  <c r="N56" i="3"/>
  <c r="N65" i="3" s="1"/>
  <c r="M56" i="3"/>
  <c r="L56" i="3"/>
  <c r="L65" i="3" s="1"/>
  <c r="K56" i="3"/>
  <c r="K65" i="3" s="1"/>
  <c r="J56" i="3"/>
  <c r="J65" i="3" s="1"/>
  <c r="I56" i="3"/>
  <c r="I65" i="3" s="1"/>
  <c r="H56" i="3"/>
  <c r="H65" i="3" s="1"/>
  <c r="AA56" i="3"/>
  <c r="G56" i="3"/>
  <c r="G65" i="3" s="1"/>
  <c r="Z56" i="3"/>
  <c r="F56" i="3"/>
  <c r="Y56" i="3"/>
  <c r="E56" i="3"/>
  <c r="X56" i="3"/>
  <c r="D56" i="3"/>
  <c r="W56" i="3"/>
  <c r="C56" i="3"/>
  <c r="V56" i="3"/>
  <c r="U56" i="3"/>
  <c r="T56" i="3"/>
  <c r="S56" i="3"/>
  <c r="R56" i="3"/>
  <c r="Q56" i="3"/>
  <c r="Q65" i="3" s="1"/>
  <c r="P56" i="3"/>
  <c r="P65" i="3" s="1"/>
  <c r="O56" i="3"/>
  <c r="O65" i="3" s="1"/>
  <c r="C55" i="3"/>
  <c r="F46" i="3"/>
  <c r="F45" i="3"/>
  <c r="G45" i="3"/>
  <c r="K46" i="3"/>
  <c r="V46" i="3"/>
  <c r="R45" i="3"/>
  <c r="P46" i="3"/>
  <c r="L45" i="3"/>
  <c r="Q46" i="3"/>
  <c r="Y45" i="3"/>
  <c r="I46" i="3"/>
  <c r="Q45" i="3"/>
  <c r="L46" i="3"/>
  <c r="W46" i="3"/>
  <c r="H45" i="3"/>
  <c r="S45" i="3"/>
  <c r="X45" i="3"/>
  <c r="C45" i="3"/>
  <c r="AA45" i="3"/>
  <c r="M46" i="3"/>
  <c r="X46" i="3"/>
  <c r="I45" i="3"/>
  <c r="T45" i="3"/>
  <c r="E46" i="3"/>
  <c r="M45" i="3"/>
  <c r="R46" i="3"/>
  <c r="S46" i="3"/>
  <c r="P45" i="3"/>
  <c r="J46" i="3"/>
  <c r="N46" i="3"/>
  <c r="Y46" i="3"/>
  <c r="J45" i="3"/>
  <c r="U45" i="3"/>
  <c r="W45" i="3"/>
  <c r="C46" i="3"/>
  <c r="G46" i="3"/>
  <c r="Z45" i="3"/>
  <c r="U46" i="3"/>
  <c r="D46" i="3"/>
  <c r="O46" i="3"/>
  <c r="Z46" i="3"/>
  <c r="K45" i="3"/>
  <c r="V45" i="3"/>
  <c r="AA46" i="3"/>
  <c r="N45" i="3"/>
  <c r="H46" i="3"/>
  <c r="O45" i="3"/>
  <c r="T46" i="3"/>
  <c r="S165" i="3"/>
  <c r="S25" i="3" s="1"/>
  <c r="P117" i="3"/>
  <c r="P10" i="3" s="1"/>
  <c r="P157" i="3"/>
  <c r="V117" i="3"/>
  <c r="V10" i="3" s="1"/>
  <c r="V157" i="3"/>
  <c r="X117" i="3"/>
  <c r="X10" i="3" s="1"/>
  <c r="X157" i="3"/>
  <c r="I117" i="3"/>
  <c r="I10" i="3" s="1"/>
  <c r="I157" i="3"/>
  <c r="Z117" i="3"/>
  <c r="Z10" i="3" s="1"/>
  <c r="Z157" i="3"/>
  <c r="H117" i="3"/>
  <c r="H10" i="3" s="1"/>
  <c r="H157" i="3"/>
  <c r="M117" i="3"/>
  <c r="M10" i="3" s="1"/>
  <c r="M157" i="3"/>
  <c r="U117" i="3"/>
  <c r="U10" i="3" s="1"/>
  <c r="U157" i="3"/>
  <c r="L117" i="3"/>
  <c r="L10" i="3" s="1"/>
  <c r="L157" i="3"/>
  <c r="Q117" i="3"/>
  <c r="Q10" i="3" s="1"/>
  <c r="Q157" i="3"/>
  <c r="T117" i="3"/>
  <c r="T10" i="3" s="1"/>
  <c r="T157" i="3"/>
  <c r="K117" i="3"/>
  <c r="K10" i="3" s="1"/>
  <c r="K157" i="3"/>
  <c r="Y117" i="3"/>
  <c r="Y10" i="3" s="1"/>
  <c r="Y157" i="3"/>
  <c r="R117" i="3"/>
  <c r="R10" i="3" s="1"/>
  <c r="R157" i="3"/>
  <c r="G117" i="3"/>
  <c r="G10" i="3" s="1"/>
  <c r="G157" i="3"/>
  <c r="S117" i="3"/>
  <c r="S10" i="3" s="1"/>
  <c r="S157" i="3"/>
  <c r="F117" i="3"/>
  <c r="F10" i="3" s="1"/>
  <c r="F157" i="3"/>
  <c r="W117" i="3"/>
  <c r="W10" i="3" s="1"/>
  <c r="W157" i="3"/>
  <c r="N117" i="3"/>
  <c r="N10" i="3" s="1"/>
  <c r="N157" i="3"/>
  <c r="O117" i="3"/>
  <c r="O10" i="3" s="1"/>
  <c r="O157" i="3"/>
  <c r="AA117" i="3"/>
  <c r="AA10" i="3" s="1"/>
  <c r="AA157" i="3"/>
  <c r="J117" i="3"/>
  <c r="J10" i="3" s="1"/>
  <c r="J157" i="3"/>
  <c r="W138" i="3"/>
  <c r="W141" i="3" s="1"/>
  <c r="O138" i="3"/>
  <c r="G138" i="3"/>
  <c r="X94" i="3"/>
  <c r="X98" i="3" s="1"/>
  <c r="P94" i="3"/>
  <c r="H94" i="3"/>
  <c r="Z81" i="3"/>
  <c r="Z84" i="3" s="1"/>
  <c r="R81" i="3"/>
  <c r="R84" i="3" s="1"/>
  <c r="J81" i="3"/>
  <c r="Z138" i="3"/>
  <c r="Z141" i="3" s="1"/>
  <c r="R138" i="3"/>
  <c r="R141" i="3" s="1"/>
  <c r="J138" i="3"/>
  <c r="K94" i="3"/>
  <c r="C94" i="3"/>
  <c r="E81" i="3"/>
  <c r="Y138" i="3"/>
  <c r="Y141" i="3" s="1"/>
  <c r="I138" i="3"/>
  <c r="D81" i="3"/>
  <c r="H138" i="3"/>
  <c r="S81" i="3"/>
  <c r="S84" i="3" s="1"/>
  <c r="V138" i="3"/>
  <c r="V141" i="3" s="1"/>
  <c r="N138" i="3"/>
  <c r="F138" i="3"/>
  <c r="W94" i="3"/>
  <c r="W98" i="3" s="1"/>
  <c r="O94" i="3"/>
  <c r="G94" i="3"/>
  <c r="Y81" i="3"/>
  <c r="Y84" i="3" s="1"/>
  <c r="Q81" i="3"/>
  <c r="I81" i="3"/>
  <c r="J94" i="3"/>
  <c r="P138" i="3"/>
  <c r="I94" i="3"/>
  <c r="U138" i="3"/>
  <c r="U141" i="3" s="1"/>
  <c r="M138" i="3"/>
  <c r="E138" i="3"/>
  <c r="V94" i="3"/>
  <c r="V98" i="3" s="1"/>
  <c r="N94" i="3"/>
  <c r="F94" i="3"/>
  <c r="X81" i="3"/>
  <c r="X84" i="3" s="1"/>
  <c r="P81" i="3"/>
  <c r="H81" i="3"/>
  <c r="R94" i="3"/>
  <c r="R98" i="3" s="1"/>
  <c r="X138" i="3"/>
  <c r="X141" i="3" s="1"/>
  <c r="Y94" i="3"/>
  <c r="Y98" i="3" s="1"/>
  <c r="K81" i="3"/>
  <c r="T138" i="3"/>
  <c r="T141" i="3" s="1"/>
  <c r="L138" i="3"/>
  <c r="D138" i="3"/>
  <c r="U94" i="3"/>
  <c r="U98" i="3" s="1"/>
  <c r="M94" i="3"/>
  <c r="E94" i="3"/>
  <c r="W81" i="3"/>
  <c r="W84" i="3" s="1"/>
  <c r="O81" i="3"/>
  <c r="G81" i="3"/>
  <c r="AA94" i="3"/>
  <c r="AA98" i="3" s="1"/>
  <c r="M81" i="3"/>
  <c r="Q138" i="3"/>
  <c r="T81" i="3"/>
  <c r="T84" i="3" s="1"/>
  <c r="Q94" i="3"/>
  <c r="C81" i="3"/>
  <c r="AA138" i="3"/>
  <c r="AA141" i="3" s="1"/>
  <c r="S138" i="3"/>
  <c r="S141" i="3" s="1"/>
  <c r="K138" i="3"/>
  <c r="C138" i="3"/>
  <c r="T94" i="3"/>
  <c r="T98" i="3" s="1"/>
  <c r="L94" i="3"/>
  <c r="D94" i="3"/>
  <c r="V81" i="3"/>
  <c r="V84" i="3" s="1"/>
  <c r="N81" i="3"/>
  <c r="F81" i="3"/>
  <c r="S94" i="3"/>
  <c r="S98" i="3" s="1"/>
  <c r="U81" i="3"/>
  <c r="U84" i="3" s="1"/>
  <c r="Z94" i="3"/>
  <c r="Z98" i="3" s="1"/>
  <c r="L81" i="3"/>
  <c r="AA81" i="3"/>
  <c r="AA84" i="3" s="1"/>
  <c r="J165" i="3"/>
  <c r="J25" i="3" s="1"/>
  <c r="M165" i="3"/>
  <c r="M25" i="3" s="1"/>
  <c r="C183" i="3"/>
  <c r="Y183" i="3"/>
  <c r="I183" i="3"/>
  <c r="V183" i="3"/>
  <c r="X183" i="3"/>
  <c r="H183" i="3"/>
  <c r="S183" i="3"/>
  <c r="C179" i="3"/>
  <c r="Q183" i="3"/>
  <c r="K183" i="3"/>
  <c r="N183" i="3"/>
  <c r="P183" i="3"/>
  <c r="AA183" i="3"/>
  <c r="G183" i="3"/>
  <c r="M183" i="3"/>
  <c r="Z183" i="3"/>
  <c r="F183" i="3"/>
  <c r="L183" i="3"/>
  <c r="L27" i="3" s="1"/>
  <c r="W183" i="3"/>
  <c r="J183" i="3"/>
  <c r="U183" i="3"/>
  <c r="E183" i="3"/>
  <c r="R183" i="3"/>
  <c r="T183" i="3"/>
  <c r="D183" i="3"/>
  <c r="O183" i="3"/>
  <c r="R165" i="3"/>
  <c r="R25" i="3" s="1"/>
  <c r="T165" i="3"/>
  <c r="T25" i="3" s="1"/>
  <c r="Z165" i="3"/>
  <c r="Z25" i="3" s="1"/>
  <c r="G165" i="3"/>
  <c r="G25" i="3" s="1"/>
  <c r="L165" i="3"/>
  <c r="L25" i="3" s="1"/>
  <c r="U165" i="3"/>
  <c r="U25" i="3" s="1"/>
  <c r="C165" i="3"/>
  <c r="C25" i="3" s="1"/>
  <c r="Q165" i="3"/>
  <c r="Q25" i="3" s="1"/>
  <c r="Y165" i="3"/>
  <c r="Y25" i="3" s="1"/>
  <c r="K165" i="3"/>
  <c r="K25" i="3" s="1"/>
  <c r="H165" i="3"/>
  <c r="H25" i="3" s="1"/>
  <c r="X165" i="3"/>
  <c r="X25" i="3" s="1"/>
  <c r="E165" i="3"/>
  <c r="E25" i="3" s="1"/>
  <c r="O165" i="3"/>
  <c r="O25" i="3" s="1"/>
  <c r="N165" i="3"/>
  <c r="N25" i="3" s="1"/>
  <c r="AA165" i="3"/>
  <c r="AA25" i="3" s="1"/>
  <c r="W165" i="3"/>
  <c r="W25" i="3" s="1"/>
  <c r="D25" i="3"/>
  <c r="F165" i="3"/>
  <c r="F25" i="3" s="1"/>
  <c r="I165" i="3"/>
  <c r="I25" i="3" s="1"/>
  <c r="P165" i="3"/>
  <c r="P25" i="3" s="1"/>
  <c r="V165" i="3"/>
  <c r="V25" i="3" s="1"/>
  <c r="E117" i="3"/>
  <c r="E10" i="3" s="1"/>
  <c r="C117" i="3"/>
  <c r="C10" i="3" s="1"/>
  <c r="D117" i="3"/>
  <c r="D10" i="3" s="1"/>
  <c r="V174" i="3"/>
  <c r="N174" i="3"/>
  <c r="X174" i="3"/>
  <c r="Y174" i="3"/>
  <c r="K174" i="3"/>
  <c r="L174" i="3"/>
  <c r="U174" i="3"/>
  <c r="Z174" i="3"/>
  <c r="AA174" i="3"/>
  <c r="S174" i="3"/>
  <c r="I174" i="3"/>
  <c r="O174" i="3"/>
  <c r="J174" i="3"/>
  <c r="W174" i="3"/>
  <c r="M174" i="3"/>
  <c r="T174" i="3"/>
  <c r="H174" i="3"/>
  <c r="Q174" i="3"/>
  <c r="G174" i="3"/>
  <c r="P174" i="3"/>
  <c r="R174" i="3"/>
  <c r="C47" i="4"/>
  <c r="D65" i="3" l="1"/>
  <c r="E65" i="3"/>
  <c r="F65" i="3"/>
  <c r="M65" i="3"/>
  <c r="C65" i="3"/>
  <c r="C68" i="3" s="1" a="1"/>
  <c r="C68" i="3" s="1"/>
  <c r="U99" i="3"/>
  <c r="U8" i="3" s="1"/>
  <c r="T85" i="3"/>
  <c r="E58" i="3"/>
  <c r="D58" i="3"/>
  <c r="C58" i="3"/>
  <c r="D33" i="3"/>
  <c r="V85" i="3"/>
  <c r="V7" i="3" s="1"/>
  <c r="U142" i="3"/>
  <c r="U19" i="3" s="1"/>
  <c r="R142" i="3"/>
  <c r="R19" i="3" s="1"/>
  <c r="Z85" i="3"/>
  <c r="Z7" i="3" s="1"/>
  <c r="T142" i="3"/>
  <c r="T19" i="3" s="1"/>
  <c r="Z142" i="3"/>
  <c r="Z19" i="3" s="1"/>
  <c r="R85" i="3"/>
  <c r="R7" i="3" s="1"/>
  <c r="X85" i="3"/>
  <c r="X7" i="3" s="1"/>
  <c r="Y142" i="3"/>
  <c r="Y19" i="3" s="1"/>
  <c r="W85" i="3"/>
  <c r="W7" i="3" s="1"/>
  <c r="U85" i="3"/>
  <c r="U7" i="3" s="1"/>
  <c r="AA85" i="3"/>
  <c r="AA7" i="3" s="1"/>
  <c r="X142" i="3"/>
  <c r="X19" i="3" s="1"/>
  <c r="V142" i="3"/>
  <c r="V19" i="3" s="1"/>
  <c r="S142" i="3"/>
  <c r="S19" i="3" s="1"/>
  <c r="AA142" i="3"/>
  <c r="AA19" i="3" s="1"/>
  <c r="Y85" i="3"/>
  <c r="Y7" i="3" s="1"/>
  <c r="S85" i="3"/>
  <c r="S7" i="3" s="1"/>
  <c r="W142" i="3"/>
  <c r="W19" i="3" s="1"/>
  <c r="X99" i="3"/>
  <c r="X8" i="3" s="1"/>
  <c r="V99" i="3"/>
  <c r="V8" i="3" s="1"/>
  <c r="Z99" i="3"/>
  <c r="Z8" i="3" s="1"/>
  <c r="Y99" i="3"/>
  <c r="Y8" i="3" s="1"/>
  <c r="T99" i="3"/>
  <c r="T8" i="3" s="1"/>
  <c r="R99" i="3"/>
  <c r="R8" i="3" s="1"/>
  <c r="W99" i="3"/>
  <c r="W8" i="3" s="1"/>
  <c r="AA99" i="3"/>
  <c r="AA8" i="3" s="1"/>
  <c r="S99" i="3"/>
  <c r="S8" i="3" s="1"/>
  <c r="P58" i="3"/>
  <c r="J58" i="3"/>
  <c r="T58" i="3"/>
  <c r="M58" i="3"/>
  <c r="Z58" i="3"/>
  <c r="AA58" i="3"/>
  <c r="X58" i="3"/>
  <c r="L58" i="3"/>
  <c r="S58" i="3"/>
  <c r="U58" i="3"/>
  <c r="V58" i="3"/>
  <c r="H58" i="3"/>
  <c r="Y58" i="3"/>
  <c r="K58" i="3"/>
  <c r="R58" i="3"/>
  <c r="N58" i="3"/>
  <c r="O58" i="3"/>
  <c r="W58" i="3"/>
  <c r="I58" i="3"/>
  <c r="F58" i="3"/>
  <c r="Q58" i="3"/>
  <c r="G58" i="3"/>
  <c r="F174" i="3"/>
  <c r="F26" i="3" s="1"/>
  <c r="E174" i="3"/>
  <c r="E26" i="3" s="1"/>
  <c r="C174" i="3"/>
  <c r="C26" i="3" s="1"/>
  <c r="D174" i="3"/>
  <c r="D26" i="3" s="1"/>
  <c r="U33" i="3"/>
  <c r="H33" i="3"/>
  <c r="Y33" i="3"/>
  <c r="N33" i="3"/>
  <c r="V33" i="3"/>
  <c r="C33" i="3"/>
  <c r="K33" i="3"/>
  <c r="AA33" i="3"/>
  <c r="P33" i="3"/>
  <c r="L33" i="3"/>
  <c r="J33" i="3"/>
  <c r="O33" i="3"/>
  <c r="E33" i="3"/>
  <c r="X33" i="3"/>
  <c r="I33" i="3"/>
  <c r="T33" i="3"/>
  <c r="F33" i="3"/>
  <c r="R33" i="3"/>
  <c r="S33" i="3"/>
  <c r="M33" i="3"/>
  <c r="Q33" i="3"/>
  <c r="Z33" i="3"/>
  <c r="G33" i="3"/>
  <c r="W33" i="3"/>
  <c r="S27" i="3"/>
  <c r="N27" i="3"/>
  <c r="L26" i="3"/>
  <c r="O26" i="3"/>
  <c r="P26" i="3"/>
  <c r="P27" i="3"/>
  <c r="J27" i="3"/>
  <c r="AA27" i="3"/>
  <c r="V26" i="3"/>
  <c r="K26" i="3"/>
  <c r="X27" i="3"/>
  <c r="O27" i="3"/>
  <c r="Q27" i="3"/>
  <c r="H27" i="3"/>
  <c r="J26" i="3"/>
  <c r="X26" i="3"/>
  <c r="R26" i="3"/>
  <c r="M26" i="3"/>
  <c r="G26" i="3"/>
  <c r="D27" i="3"/>
  <c r="K27" i="3"/>
  <c r="U27" i="3"/>
  <c r="R27" i="3"/>
  <c r="E27" i="3"/>
  <c r="I26" i="3"/>
  <c r="AA26" i="3"/>
  <c r="Z26" i="3"/>
  <c r="V27" i="3"/>
  <c r="I27" i="3"/>
  <c r="F27" i="3"/>
  <c r="U26" i="3"/>
  <c r="Q26" i="3"/>
  <c r="W26" i="3"/>
  <c r="M27" i="3"/>
  <c r="G27" i="3"/>
  <c r="T27" i="3"/>
  <c r="Y27" i="3"/>
  <c r="W27" i="3"/>
  <c r="S26" i="3"/>
  <c r="H26" i="3"/>
  <c r="T26" i="3"/>
  <c r="N26" i="3"/>
  <c r="Y26" i="3"/>
  <c r="C54" i="3"/>
  <c r="C67" i="3" l="1" a="1"/>
  <c r="C67" i="3" s="1"/>
  <c r="C66" i="3" a="1"/>
  <c r="C66" i="3" s="1"/>
  <c r="T132" i="3"/>
  <c r="T133" i="3" s="1"/>
  <c r="T75" i="3"/>
  <c r="T76" i="3" s="1"/>
  <c r="W75" i="3"/>
  <c r="W76" i="3" s="1"/>
  <c r="W132" i="3"/>
  <c r="W133" i="3" s="1"/>
  <c r="U132" i="3"/>
  <c r="U133" i="3" s="1"/>
  <c r="U75" i="3"/>
  <c r="U76" i="3" s="1"/>
  <c r="S75" i="3"/>
  <c r="S76" i="3" s="1"/>
  <c r="S132" i="3"/>
  <c r="S133" i="3" s="1"/>
  <c r="R132" i="3"/>
  <c r="R133" i="3" s="1"/>
  <c r="R75" i="3"/>
  <c r="R76" i="3" s="1"/>
  <c r="V132" i="3"/>
  <c r="V133" i="3" s="1"/>
  <c r="V75" i="3"/>
  <c r="V76" i="3" s="1"/>
  <c r="X75" i="3"/>
  <c r="X76" i="3" s="1"/>
  <c r="X132" i="3"/>
  <c r="X133" i="3" s="1"/>
  <c r="AA75" i="3"/>
  <c r="AA76" i="3" s="1"/>
  <c r="AA132" i="3"/>
  <c r="AA133" i="3" s="1"/>
  <c r="Y75" i="3"/>
  <c r="Y76" i="3" s="1"/>
  <c r="Y132" i="3"/>
  <c r="Y133" i="3" s="1"/>
  <c r="Z132" i="3"/>
  <c r="Z133" i="3" s="1"/>
  <c r="Z75" i="3"/>
  <c r="Z76" i="3" s="1"/>
  <c r="E107" i="3"/>
  <c r="E108" i="3" s="1"/>
  <c r="T7" i="3"/>
  <c r="W125" i="3"/>
  <c r="W126" i="3" s="1"/>
  <c r="M125" i="3"/>
  <c r="M126" i="3" s="1"/>
  <c r="C125" i="3"/>
  <c r="C126" i="3" s="1"/>
  <c r="G125" i="3"/>
  <c r="G126" i="3" s="1"/>
  <c r="L125" i="3"/>
  <c r="L126" i="3" s="1"/>
  <c r="K125" i="3"/>
  <c r="K126" i="3" s="1"/>
  <c r="X125" i="3"/>
  <c r="X126" i="3" s="1"/>
  <c r="F125" i="3"/>
  <c r="F126" i="3" s="1"/>
  <c r="Y125" i="3"/>
  <c r="Y126" i="3" s="1"/>
  <c r="AA125" i="3"/>
  <c r="AA126" i="3" s="1"/>
  <c r="S125" i="3"/>
  <c r="S126" i="3" s="1"/>
  <c r="R125" i="3"/>
  <c r="R126" i="3" s="1"/>
  <c r="P125" i="3"/>
  <c r="P126" i="3" s="1"/>
  <c r="Q125" i="3"/>
  <c r="Q126" i="3" s="1"/>
  <c r="I125" i="3"/>
  <c r="I126" i="3" s="1"/>
  <c r="H125" i="3"/>
  <c r="H126" i="3" s="1"/>
  <c r="Z125" i="3"/>
  <c r="Z126" i="3" s="1"/>
  <c r="D125" i="3"/>
  <c r="D126" i="3" s="1"/>
  <c r="E125" i="3"/>
  <c r="E126" i="3" s="1"/>
  <c r="V125" i="3"/>
  <c r="V126" i="3" s="1"/>
  <c r="T125" i="3"/>
  <c r="T126" i="3" s="1"/>
  <c r="O125" i="3"/>
  <c r="O126" i="3" s="1"/>
  <c r="U125" i="3"/>
  <c r="U126" i="3" s="1"/>
  <c r="J125" i="3"/>
  <c r="J126" i="3" s="1"/>
  <c r="N125" i="3"/>
  <c r="N126" i="3" s="1"/>
  <c r="N4" i="3"/>
  <c r="S4" i="3"/>
  <c r="C4" i="3"/>
  <c r="U4" i="3"/>
  <c r="G4" i="3"/>
  <c r="R4" i="3"/>
  <c r="L4" i="3"/>
  <c r="P4" i="3"/>
  <c r="Q4" i="3"/>
  <c r="K4" i="3"/>
  <c r="X4" i="3"/>
  <c r="J4" i="3"/>
  <c r="F4" i="3"/>
  <c r="Y4" i="3"/>
  <c r="AA4" i="3"/>
  <c r="H4" i="3"/>
  <c r="Z4" i="3"/>
  <c r="I4" i="3"/>
  <c r="W4" i="3"/>
  <c r="D4" i="3"/>
  <c r="M4" i="3"/>
  <c r="O4" i="3"/>
  <c r="E4" i="3"/>
  <c r="V4" i="3"/>
  <c r="T4" i="3"/>
  <c r="Q107" i="3"/>
  <c r="Q108" i="3" s="1"/>
  <c r="Q9" i="3" s="1"/>
  <c r="K107" i="3"/>
  <c r="K108" i="3" s="1"/>
  <c r="K9" i="3" s="1"/>
  <c r="F107" i="3"/>
  <c r="F108" i="3" s="1"/>
  <c r="F9" i="3" s="1"/>
  <c r="Y107" i="3"/>
  <c r="Y108" i="3" s="1"/>
  <c r="Y9" i="3" s="1"/>
  <c r="AA107" i="3"/>
  <c r="X107" i="3"/>
  <c r="X108" i="3" s="1"/>
  <c r="I107" i="3"/>
  <c r="I108" i="3" s="1"/>
  <c r="H107" i="3"/>
  <c r="H108" i="3" s="1"/>
  <c r="Z107" i="3"/>
  <c r="W107" i="3"/>
  <c r="W108" i="3" s="1"/>
  <c r="W9" i="3" s="1"/>
  <c r="D107" i="3"/>
  <c r="D108" i="3" s="1"/>
  <c r="D9" i="3" s="1"/>
  <c r="M107" i="3"/>
  <c r="M108" i="3" s="1"/>
  <c r="V107" i="3"/>
  <c r="V108" i="3" s="1"/>
  <c r="V9" i="3" s="1"/>
  <c r="T107" i="3"/>
  <c r="T108" i="3" s="1"/>
  <c r="T9" i="3" s="1"/>
  <c r="O107" i="3"/>
  <c r="O108" i="3" s="1"/>
  <c r="O9" i="3" s="1"/>
  <c r="U107" i="3"/>
  <c r="U108" i="3" s="1"/>
  <c r="U9" i="3" s="1"/>
  <c r="J107" i="3"/>
  <c r="J108" i="3" s="1"/>
  <c r="N107" i="3"/>
  <c r="N108" i="3" s="1"/>
  <c r="S107" i="3"/>
  <c r="S108" i="3" s="1"/>
  <c r="S9" i="3" s="1"/>
  <c r="C107" i="3"/>
  <c r="G107" i="3"/>
  <c r="G108" i="3" s="1"/>
  <c r="R107" i="3"/>
  <c r="R108" i="3" s="1"/>
  <c r="R9" i="3" s="1"/>
  <c r="L107" i="3"/>
  <c r="L108" i="3" s="1"/>
  <c r="L9" i="3" s="1"/>
  <c r="P107" i="3"/>
  <c r="P108" i="3" s="1"/>
  <c r="Z27" i="3"/>
  <c r="C27" i="3"/>
  <c r="E9" i="3" l="1"/>
  <c r="N24" i="3"/>
  <c r="N29" i="3" s="1"/>
  <c r="Z190" i="3"/>
  <c r="H24" i="3"/>
  <c r="H29" i="3" s="1"/>
  <c r="Z193" i="3"/>
  <c r="M191" i="3"/>
  <c r="C24" i="3"/>
  <c r="C29" i="3" s="1"/>
  <c r="L190" i="3"/>
  <c r="U190" i="3"/>
  <c r="U193" i="3"/>
  <c r="I24" i="3"/>
  <c r="I29" i="3" s="1"/>
  <c r="I190" i="3"/>
  <c r="D29" i="3"/>
  <c r="X24" i="3"/>
  <c r="X29" i="3" s="1"/>
  <c r="Y193" i="3"/>
  <c r="S24" i="3"/>
  <c r="S29" i="3" s="1"/>
  <c r="W190" i="3"/>
  <c r="R190" i="3"/>
  <c r="R193" i="3"/>
  <c r="O190" i="3"/>
  <c r="T193" i="3"/>
  <c r="K24" i="3"/>
  <c r="K29" i="3" s="1"/>
  <c r="G191" i="3"/>
  <c r="W193" i="3"/>
  <c r="S193" i="3"/>
  <c r="Q24" i="3"/>
  <c r="Q29" i="3" s="1"/>
  <c r="F24" i="3"/>
  <c r="F29" i="3" s="1"/>
  <c r="J190" i="3"/>
  <c r="M24" i="3"/>
  <c r="M29" i="3" s="1"/>
  <c r="E24" i="3"/>
  <c r="E29" i="3" s="1"/>
  <c r="V193" i="3"/>
  <c r="H190" i="3"/>
  <c r="V24" i="3"/>
  <c r="V29" i="3" s="1"/>
  <c r="AA190" i="3"/>
  <c r="P24" i="3"/>
  <c r="P29" i="3" s="1"/>
  <c r="J24" i="3"/>
  <c r="J29" i="3" s="1"/>
  <c r="P190" i="3"/>
  <c r="T194" i="3"/>
  <c r="G9" i="3"/>
  <c r="H9" i="3"/>
  <c r="X9" i="3"/>
  <c r="I9" i="3"/>
  <c r="N9" i="3"/>
  <c r="P9" i="3"/>
  <c r="J9" i="3"/>
  <c r="M9" i="3"/>
  <c r="L191" i="3"/>
  <c r="G190" i="3"/>
  <c r="P191" i="3"/>
  <c r="U191" i="3"/>
  <c r="J191" i="3"/>
  <c r="R191" i="3"/>
  <c r="M190" i="3"/>
  <c r="I191" i="3"/>
  <c r="W191" i="3"/>
  <c r="AA191" i="3"/>
  <c r="Z194" i="3"/>
  <c r="AA24" i="3"/>
  <c r="AA29" i="3" s="1"/>
  <c r="Z24" i="3"/>
  <c r="Z29" i="3" s="1"/>
  <c r="T24" i="3"/>
  <c r="T29" i="3" s="1"/>
  <c r="R24" i="3"/>
  <c r="R29" i="3" s="1"/>
  <c r="H191" i="3"/>
  <c r="Y194" i="3"/>
  <c r="O24" i="3"/>
  <c r="O29" i="3" s="1"/>
  <c r="L24" i="3"/>
  <c r="L29" i="3" s="1"/>
  <c r="Y24" i="3"/>
  <c r="Y29" i="3" s="1"/>
  <c r="W24" i="3"/>
  <c r="W29" i="3" s="1"/>
  <c r="U24" i="3"/>
  <c r="U29" i="3" s="1"/>
  <c r="O191" i="3"/>
  <c r="Z191" i="3"/>
  <c r="N190" i="3"/>
  <c r="N191" i="3"/>
  <c r="C190" i="3"/>
  <c r="C191" i="3"/>
  <c r="X190" i="3"/>
  <c r="X191" i="3"/>
  <c r="Q190" i="3"/>
  <c r="Q191" i="3"/>
  <c r="F190" i="3"/>
  <c r="F191" i="3"/>
  <c r="D190" i="3"/>
  <c r="D191" i="3"/>
  <c r="AA193" i="3"/>
  <c r="AA194" i="3"/>
  <c r="V194" i="3"/>
  <c r="V190" i="3"/>
  <c r="V191" i="3"/>
  <c r="T190" i="3"/>
  <c r="T191" i="3"/>
  <c r="W194" i="3"/>
  <c r="U194" i="3"/>
  <c r="Y190" i="3"/>
  <c r="Y191" i="3"/>
  <c r="S194" i="3"/>
  <c r="R194" i="3"/>
  <c r="K190" i="3"/>
  <c r="K191" i="3"/>
  <c r="E190" i="3"/>
  <c r="E191" i="3"/>
  <c r="X193" i="3"/>
  <c r="X194" i="3"/>
  <c r="S190" i="3"/>
  <c r="S191" i="3"/>
  <c r="C108" i="3"/>
  <c r="AA108" i="3"/>
  <c r="Z108" i="3"/>
  <c r="G24" i="3"/>
  <c r="Z9" i="3" l="1"/>
  <c r="C9" i="3"/>
  <c r="AA9" i="3"/>
  <c r="C14" i="3"/>
  <c r="C15" i="3" s="1"/>
  <c r="M14" i="3"/>
  <c r="M15" i="3" s="1"/>
  <c r="O14" i="3"/>
  <c r="O15" i="3" s="1"/>
  <c r="H14" i="3"/>
  <c r="H15" i="3" s="1"/>
  <c r="V14" i="3"/>
  <c r="V15" i="3" s="1"/>
  <c r="L14" i="3"/>
  <c r="L15" i="3" s="1"/>
  <c r="E14" i="3"/>
  <c r="E15" i="3" s="1"/>
  <c r="S18" i="3"/>
  <c r="S20" i="3" s="1"/>
  <c r="W18" i="3"/>
  <c r="W20" i="3" s="1"/>
  <c r="U14" i="3"/>
  <c r="U15" i="3" s="1"/>
  <c r="AA14" i="3"/>
  <c r="AA15" i="3" s="1"/>
  <c r="Z18" i="3"/>
  <c r="Z20" i="3" s="1"/>
  <c r="T18" i="3"/>
  <c r="T20" i="3" s="1"/>
  <c r="P14" i="3"/>
  <c r="P15" i="3" s="1"/>
  <c r="K14" i="3"/>
  <c r="K15" i="3" s="1"/>
  <c r="T14" i="3"/>
  <c r="T15" i="3" s="1"/>
  <c r="X14" i="3"/>
  <c r="X15" i="3" s="1"/>
  <c r="D14" i="3"/>
  <c r="D15" i="3" s="1"/>
  <c r="R18" i="3"/>
  <c r="R20" i="3" s="1"/>
  <c r="U18" i="3"/>
  <c r="U20" i="3" s="1"/>
  <c r="Y18" i="3"/>
  <c r="Y20" i="3" s="1"/>
  <c r="J14" i="3"/>
  <c r="J15" i="3" s="1"/>
  <c r="N14" i="3"/>
  <c r="N15" i="3" s="1"/>
  <c r="Q14" i="3"/>
  <c r="Q15" i="3" s="1"/>
  <c r="W14" i="3"/>
  <c r="W15" i="3" s="1"/>
  <c r="G14" i="3"/>
  <c r="G15" i="3" s="1"/>
  <c r="F14" i="3"/>
  <c r="F15" i="3" s="1"/>
  <c r="AA18" i="3"/>
  <c r="AA20" i="3" s="1"/>
  <c r="V18" i="3"/>
  <c r="V20" i="3" s="1"/>
  <c r="Z14" i="3"/>
  <c r="Z15" i="3" s="1"/>
  <c r="G29" i="3"/>
  <c r="R14" i="3"/>
  <c r="R15" i="3" s="1"/>
  <c r="Y14" i="3"/>
  <c r="Y15" i="3" s="1"/>
  <c r="X18" i="3"/>
  <c r="X20" i="3" s="1"/>
  <c r="S14" i="3"/>
  <c r="S15" i="3" s="1"/>
  <c r="I14" i="3" l="1"/>
  <c r="I15" i="3" s="1"/>
  <c r="W187" i="3" l="1"/>
  <c r="T187" i="3"/>
  <c r="Y187" i="3"/>
  <c r="W6" i="3"/>
  <c r="W11" i="3" s="1"/>
  <c r="W22" i="3" s="1"/>
  <c r="V187" i="3"/>
  <c r="R187" i="3"/>
  <c r="T188" i="3"/>
  <c r="AA187" i="3"/>
  <c r="S6" i="3"/>
  <c r="S11" i="3" s="1"/>
  <c r="S22" i="3" s="1"/>
  <c r="X187" i="3"/>
  <c r="Z187" i="3"/>
  <c r="AA188" i="3"/>
  <c r="V188" i="3"/>
  <c r="V6" i="3"/>
  <c r="V11" i="3" s="1"/>
  <c r="V22" i="3" s="1"/>
  <c r="R6" i="3"/>
  <c r="R11" i="3" s="1"/>
  <c r="R22" i="3" s="1"/>
  <c r="R188" i="3"/>
  <c r="S187" i="3"/>
  <c r="X6" i="3"/>
  <c r="X11" i="3" s="1"/>
  <c r="X22" i="3" s="1"/>
  <c r="X188" i="3"/>
  <c r="U187" i="3"/>
  <c r="Z6" i="3"/>
  <c r="Z11" i="3" s="1"/>
  <c r="Z22" i="3" s="1"/>
  <c r="Z188" i="3"/>
  <c r="U188" i="3"/>
  <c r="Y6" i="3"/>
  <c r="Y11" i="3" s="1"/>
  <c r="Y22" i="3" s="1"/>
  <c r="Y188" i="3"/>
  <c r="T6" i="3"/>
  <c r="T11" i="3" s="1"/>
  <c r="T22" i="3" s="1"/>
  <c r="W188" i="3"/>
  <c r="S188" i="3"/>
  <c r="T31" i="3" l="1"/>
  <c r="T34" i="3" s="1"/>
  <c r="S31" i="3"/>
  <c r="S34" i="3" s="1"/>
  <c r="Y31" i="3"/>
  <c r="Y34" i="3" s="1"/>
  <c r="W31" i="3"/>
  <c r="W34" i="3" s="1"/>
  <c r="R31" i="3"/>
  <c r="R34" i="3" s="1"/>
  <c r="V31" i="3"/>
  <c r="V34" i="3" s="1"/>
  <c r="Z31" i="3"/>
  <c r="Z34" i="3" s="1"/>
  <c r="X31" i="3"/>
  <c r="X34" i="3" s="1"/>
  <c r="U6" i="3"/>
  <c r="U11" i="3" s="1"/>
  <c r="U22" i="3" s="1"/>
  <c r="AA6" i="3"/>
  <c r="AA11" i="3" s="1"/>
  <c r="AA22" i="3" s="1"/>
  <c r="AA31" i="3" l="1"/>
  <c r="AA34" i="3" s="1"/>
  <c r="U31" i="3"/>
  <c r="U34" i="3" s="1"/>
  <c r="C22" i="3" l="1"/>
  <c r="C132" i="3"/>
  <c r="C133" i="3" s="1"/>
  <c r="C75" i="3"/>
  <c r="C76" i="3" s="1"/>
  <c r="D66" i="3" a="1"/>
  <c r="D66" i="3" s="1"/>
  <c r="C31" i="3" l="1"/>
  <c r="C34" i="3" s="1"/>
  <c r="C6" i="3"/>
  <c r="C18" i="3"/>
  <c r="E66" i="3" a="1"/>
  <c r="E66" i="3" s="1"/>
  <c r="D132" i="3"/>
  <c r="D75" i="3"/>
  <c r="D76" i="3" l="1"/>
  <c r="D6" i="3"/>
  <c r="D133" i="3"/>
  <c r="D18" i="3"/>
  <c r="E75" i="3"/>
  <c r="E132" i="3"/>
  <c r="F66" i="3" a="1"/>
  <c r="F66" i="3" s="1"/>
  <c r="G66" i="3" s="1" a="1"/>
  <c r="G66" i="3" s="1"/>
  <c r="G75" i="3" l="1"/>
  <c r="G132" i="3"/>
  <c r="E76" i="3"/>
  <c r="E6" i="3"/>
  <c r="F75" i="3"/>
  <c r="F132" i="3"/>
  <c r="E133" i="3"/>
  <c r="E18" i="3"/>
  <c r="H66" i="3" a="1"/>
  <c r="H66" i="3" s="1"/>
  <c r="I66" i="3" l="1" a="1"/>
  <c r="I66" i="3" s="1"/>
  <c r="H75" i="3"/>
  <c r="H132" i="3"/>
  <c r="F18" i="3"/>
  <c r="F133" i="3"/>
  <c r="F76" i="3"/>
  <c r="F6" i="3"/>
  <c r="G133" i="3"/>
  <c r="G18" i="3"/>
  <c r="G6" i="3"/>
  <c r="G76" i="3"/>
  <c r="H18" i="3" l="1"/>
  <c r="H133" i="3"/>
  <c r="H76" i="3"/>
  <c r="H6" i="3"/>
  <c r="I132" i="3"/>
  <c r="I75" i="3"/>
  <c r="J66" i="3" a="1"/>
  <c r="J66" i="3" s="1"/>
  <c r="I76" i="3" l="1"/>
  <c r="I6" i="3"/>
  <c r="J132" i="3"/>
  <c r="J75" i="3"/>
  <c r="K66" i="3" a="1"/>
  <c r="K66" i="3" s="1"/>
  <c r="I18" i="3"/>
  <c r="I133" i="3"/>
  <c r="K75" i="3" l="1"/>
  <c r="K132" i="3"/>
  <c r="L66" i="3" a="1"/>
  <c r="L66" i="3" s="1"/>
  <c r="J6" i="3"/>
  <c r="J76" i="3"/>
  <c r="J133" i="3"/>
  <c r="J18" i="3"/>
  <c r="L75" i="3" l="1"/>
  <c r="L132" i="3"/>
  <c r="M66" i="3" a="1"/>
  <c r="M66" i="3" s="1"/>
  <c r="K18" i="3"/>
  <c r="K133" i="3"/>
  <c r="K76" i="3"/>
  <c r="K6" i="3"/>
  <c r="M75" i="3" l="1"/>
  <c r="M132" i="3"/>
  <c r="N66" i="3" a="1"/>
  <c r="N66" i="3" s="1"/>
  <c r="L133" i="3"/>
  <c r="L18" i="3"/>
  <c r="L76" i="3"/>
  <c r="L6" i="3"/>
  <c r="N75" i="3" l="1"/>
  <c r="N132" i="3"/>
  <c r="O66" i="3" a="1"/>
  <c r="O66" i="3" s="1"/>
  <c r="M133" i="3"/>
  <c r="M18" i="3"/>
  <c r="M6" i="3"/>
  <c r="M76" i="3"/>
  <c r="O75" i="3" l="1"/>
  <c r="O132" i="3"/>
  <c r="P66" i="3" a="1"/>
  <c r="P66" i="3" s="1"/>
  <c r="N133" i="3"/>
  <c r="N18" i="3"/>
  <c r="N6" i="3"/>
  <c r="N76" i="3"/>
  <c r="P132" i="3" l="1"/>
  <c r="P75" i="3"/>
  <c r="Q66" i="3" a="1"/>
  <c r="Q66" i="3" s="1"/>
  <c r="O18" i="3"/>
  <c r="O133" i="3"/>
  <c r="O76" i="3"/>
  <c r="O6" i="3"/>
  <c r="Q132" i="3" l="1"/>
  <c r="Q75" i="3"/>
  <c r="P76" i="3"/>
  <c r="P6" i="3"/>
  <c r="P18" i="3"/>
  <c r="P133" i="3"/>
  <c r="Q76" i="3" l="1"/>
  <c r="Q6" i="3"/>
  <c r="Q18" i="3"/>
  <c r="Q133" i="3"/>
  <c r="C141" i="3"/>
  <c r="C193" i="3" s="1"/>
  <c r="C84" i="3"/>
  <c r="D67" i="3" a="1"/>
  <c r="D67" i="3" s="1"/>
  <c r="C85" i="3" l="1"/>
  <c r="C7" i="3"/>
  <c r="C142" i="3"/>
  <c r="C194" i="3" s="1"/>
  <c r="C19" i="3"/>
  <c r="C20" i="3" s="1"/>
  <c r="E67" i="3" a="1"/>
  <c r="E67" i="3" s="1"/>
  <c r="D84" i="3"/>
  <c r="D141" i="3"/>
  <c r="E141" i="3" l="1"/>
  <c r="E84" i="3"/>
  <c r="D19" i="3"/>
  <c r="D20" i="3" s="1"/>
  <c r="D22" i="3" s="1"/>
  <c r="D193" i="3"/>
  <c r="D142" i="3"/>
  <c r="D194" i="3" s="1"/>
  <c r="D7" i="3"/>
  <c r="D85" i="3"/>
  <c r="F67" i="3" a="1"/>
  <c r="F67" i="3" s="1"/>
  <c r="D31" i="3" l="1"/>
  <c r="D34" i="3" s="1"/>
  <c r="F84" i="3"/>
  <c r="F141" i="3"/>
  <c r="G67" i="3" a="1"/>
  <c r="G67" i="3" s="1"/>
  <c r="E7" i="3"/>
  <c r="E85" i="3"/>
  <c r="E193" i="3"/>
  <c r="E19" i="3"/>
  <c r="E20" i="3" s="1"/>
  <c r="E142" i="3"/>
  <c r="E194" i="3" s="1"/>
  <c r="G84" i="3" l="1"/>
  <c r="G141" i="3"/>
  <c r="H67" i="3" a="1"/>
  <c r="H67" i="3" s="1"/>
  <c r="F19" i="3"/>
  <c r="F20" i="3" s="1"/>
  <c r="F142" i="3"/>
  <c r="F194" i="3" s="1"/>
  <c r="F193" i="3"/>
  <c r="F7" i="3"/>
  <c r="F85" i="3"/>
  <c r="H84" i="3" l="1"/>
  <c r="H141" i="3"/>
  <c r="I67" i="3" a="1"/>
  <c r="I67" i="3" s="1"/>
  <c r="G142" i="3"/>
  <c r="G194" i="3" s="1"/>
  <c r="G19" i="3"/>
  <c r="G20" i="3" s="1"/>
  <c r="G193" i="3"/>
  <c r="G7" i="3"/>
  <c r="G85" i="3"/>
  <c r="I141" i="3" l="1"/>
  <c r="I84" i="3"/>
  <c r="J67" i="3" a="1"/>
  <c r="J67" i="3" s="1"/>
  <c r="H142" i="3"/>
  <c r="H194" i="3" s="1"/>
  <c r="H19" i="3"/>
  <c r="H20" i="3" s="1"/>
  <c r="H193" i="3"/>
  <c r="H85" i="3"/>
  <c r="H7" i="3"/>
  <c r="J84" i="3" l="1"/>
  <c r="J141" i="3"/>
  <c r="K67" i="3" a="1"/>
  <c r="K67" i="3" s="1"/>
  <c r="I7" i="3"/>
  <c r="I85" i="3"/>
  <c r="I19" i="3"/>
  <c r="I20" i="3" s="1"/>
  <c r="I193" i="3"/>
  <c r="I142" i="3"/>
  <c r="I194" i="3" s="1"/>
  <c r="K141" i="3" l="1"/>
  <c r="K84" i="3"/>
  <c r="L67" i="3" a="1"/>
  <c r="L67" i="3" s="1"/>
  <c r="J19" i="3"/>
  <c r="J20" i="3" s="1"/>
  <c r="J142" i="3"/>
  <c r="J194" i="3" s="1"/>
  <c r="J193" i="3"/>
  <c r="J85" i="3"/>
  <c r="J7" i="3"/>
  <c r="L141" i="3" l="1"/>
  <c r="L84" i="3"/>
  <c r="M67" i="3" a="1"/>
  <c r="M67" i="3" s="1"/>
  <c r="K7" i="3"/>
  <c r="K85" i="3"/>
  <c r="K193" i="3"/>
  <c r="K142" i="3"/>
  <c r="K194" i="3" s="1"/>
  <c r="K19" i="3"/>
  <c r="K20" i="3" s="1"/>
  <c r="L7" i="3" l="1"/>
  <c r="L85" i="3"/>
  <c r="M84" i="3"/>
  <c r="M141" i="3"/>
  <c r="N67" i="3" a="1"/>
  <c r="N67" i="3" s="1"/>
  <c r="L19" i="3"/>
  <c r="L20" i="3" s="1"/>
  <c r="L193" i="3"/>
  <c r="L142" i="3"/>
  <c r="L194" i="3" s="1"/>
  <c r="M19" i="3" l="1"/>
  <c r="M20" i="3" s="1"/>
  <c r="M193" i="3"/>
  <c r="M142" i="3"/>
  <c r="M194" i="3" s="1"/>
  <c r="N84" i="3"/>
  <c r="N141" i="3"/>
  <c r="O67" i="3" a="1"/>
  <c r="O67" i="3" s="1"/>
  <c r="M85" i="3"/>
  <c r="M7" i="3"/>
  <c r="O141" i="3" l="1"/>
  <c r="O84" i="3"/>
  <c r="P67" i="3" a="1"/>
  <c r="P67" i="3" s="1"/>
  <c r="N142" i="3"/>
  <c r="N194" i="3" s="1"/>
  <c r="N193" i="3"/>
  <c r="N19" i="3"/>
  <c r="N20" i="3" s="1"/>
  <c r="N85" i="3"/>
  <c r="N7" i="3"/>
  <c r="O7" i="3" l="1"/>
  <c r="O85" i="3"/>
  <c r="O142" i="3"/>
  <c r="O194" i="3" s="1"/>
  <c r="O193" i="3"/>
  <c r="O19" i="3"/>
  <c r="O20" i="3" s="1"/>
  <c r="P84" i="3"/>
  <c r="P141" i="3"/>
  <c r="Q67" i="3" a="1"/>
  <c r="Q67" i="3" s="1"/>
  <c r="P85" i="3" l="1"/>
  <c r="P7" i="3"/>
  <c r="Q141" i="3"/>
  <c r="Q84" i="3"/>
  <c r="P193" i="3"/>
  <c r="P19" i="3"/>
  <c r="P20" i="3" s="1"/>
  <c r="P142" i="3"/>
  <c r="P194" i="3" s="1"/>
  <c r="Q85" i="3" l="1"/>
  <c r="Q7" i="3"/>
  <c r="Q142" i="3"/>
  <c r="Q194" i="3" s="1"/>
  <c r="Q193" i="3"/>
  <c r="Q19" i="3"/>
  <c r="Q20" i="3" s="1"/>
  <c r="C98" i="3"/>
  <c r="C187" i="3" s="1"/>
  <c r="D68" i="3" a="1"/>
  <c r="D68" i="3" s="1"/>
  <c r="E68" i="3" s="1" a="1"/>
  <c r="E68" i="3" s="1"/>
  <c r="C8" i="3" l="1"/>
  <c r="C11" i="3" s="1"/>
  <c r="C99" i="3"/>
  <c r="C188" i="3" s="1"/>
  <c r="E98" i="3"/>
  <c r="F68" i="3" a="1"/>
  <c r="F68" i="3" s="1"/>
  <c r="D98" i="3"/>
  <c r="D99" i="3" l="1"/>
  <c r="D188" i="3" s="1"/>
  <c r="D187" i="3"/>
  <c r="D8" i="3"/>
  <c r="D11" i="3" s="1"/>
  <c r="F98" i="3"/>
  <c r="G68" i="3" a="1"/>
  <c r="G68" i="3" s="1"/>
  <c r="E99" i="3"/>
  <c r="E188" i="3" s="1"/>
  <c r="E187" i="3"/>
  <c r="E8" i="3"/>
  <c r="E11" i="3" s="1"/>
  <c r="E22" i="3" s="1"/>
  <c r="E31" i="3" s="1"/>
  <c r="E34" i="3" s="1"/>
  <c r="G98" i="3" l="1"/>
  <c r="H68" i="3" a="1"/>
  <c r="H68" i="3" s="1"/>
  <c r="F99" i="3"/>
  <c r="F188" i="3" s="1"/>
  <c r="F187" i="3"/>
  <c r="F8" i="3"/>
  <c r="F11" i="3" s="1"/>
  <c r="F22" i="3" s="1"/>
  <c r="F31" i="3" l="1"/>
  <c r="F34" i="3" s="1"/>
  <c r="I68" i="3" a="1"/>
  <c r="I68" i="3" s="1"/>
  <c r="H98" i="3"/>
  <c r="G8" i="3"/>
  <c r="G11" i="3" s="1"/>
  <c r="G22" i="3" s="1"/>
  <c r="G31" i="3" s="1"/>
  <c r="G34" i="3" s="1"/>
  <c r="G187" i="3"/>
  <c r="G99" i="3"/>
  <c r="G188" i="3" s="1"/>
  <c r="H8" i="3" l="1"/>
  <c r="H11" i="3" s="1"/>
  <c r="H22" i="3" s="1"/>
  <c r="H31" i="3" s="1"/>
  <c r="H34" i="3" s="1"/>
  <c r="H99" i="3"/>
  <c r="H188" i="3" s="1"/>
  <c r="H187" i="3"/>
  <c r="I98" i="3"/>
  <c r="J68" i="3" a="1"/>
  <c r="J68" i="3" s="1"/>
  <c r="J98" i="3" l="1"/>
  <c r="K68" i="3" a="1"/>
  <c r="K68" i="3" s="1"/>
  <c r="I99" i="3"/>
  <c r="I188" i="3" s="1"/>
  <c r="I187" i="3"/>
  <c r="I8" i="3"/>
  <c r="I11" i="3" s="1"/>
  <c r="I22" i="3" s="1"/>
  <c r="I31" i="3" s="1"/>
  <c r="I34" i="3" s="1"/>
  <c r="K98" i="3" l="1"/>
  <c r="L68" i="3" a="1"/>
  <c r="L68" i="3" s="1"/>
  <c r="J187" i="3"/>
  <c r="J99" i="3"/>
  <c r="J188" i="3" s="1"/>
  <c r="J8" i="3"/>
  <c r="J11" i="3" s="1"/>
  <c r="J22" i="3" s="1"/>
  <c r="J31" i="3" s="1"/>
  <c r="J34" i="3" s="1"/>
  <c r="L98" i="3" l="1"/>
  <c r="M68" i="3" a="1"/>
  <c r="M68" i="3" s="1"/>
  <c r="K99" i="3"/>
  <c r="K188" i="3" s="1"/>
  <c r="K187" i="3"/>
  <c r="K8" i="3"/>
  <c r="K11" i="3" s="1"/>
  <c r="K22" i="3" s="1"/>
  <c r="K31" i="3" s="1"/>
  <c r="K34" i="3" s="1"/>
  <c r="M98" i="3" l="1"/>
  <c r="N68" i="3" a="1"/>
  <c r="N68" i="3" s="1"/>
  <c r="L187" i="3"/>
  <c r="L99" i="3"/>
  <c r="L188" i="3" s="1"/>
  <c r="L8" i="3"/>
  <c r="L11" i="3" s="1"/>
  <c r="L22" i="3" s="1"/>
  <c r="L31" i="3" s="1"/>
  <c r="L34" i="3" s="1"/>
  <c r="N98" i="3" l="1"/>
  <c r="O68" i="3" a="1"/>
  <c r="O68" i="3" s="1"/>
  <c r="M99" i="3"/>
  <c r="M188" i="3" s="1"/>
  <c r="M187" i="3"/>
  <c r="M8" i="3"/>
  <c r="M11" i="3" s="1"/>
  <c r="M22" i="3" s="1"/>
  <c r="M31" i="3" s="1"/>
  <c r="M34" i="3" s="1"/>
  <c r="O98" i="3" l="1"/>
  <c r="P68" i="3" a="1"/>
  <c r="P68" i="3" s="1"/>
  <c r="N99" i="3"/>
  <c r="N188" i="3" s="1"/>
  <c r="N8" i="3"/>
  <c r="N11" i="3" s="1"/>
  <c r="N22" i="3" s="1"/>
  <c r="N31" i="3" s="1"/>
  <c r="N34" i="3" s="1"/>
  <c r="N187" i="3"/>
  <c r="P98" i="3" l="1"/>
  <c r="Q68" i="3" a="1"/>
  <c r="Q68" i="3" s="1"/>
  <c r="Q98" i="3" s="1"/>
  <c r="O99" i="3"/>
  <c r="O188" i="3" s="1"/>
  <c r="O187" i="3"/>
  <c r="O8" i="3"/>
  <c r="O11" i="3" s="1"/>
  <c r="O22" i="3" s="1"/>
  <c r="O31" i="3" s="1"/>
  <c r="O34" i="3" s="1"/>
  <c r="Q99" i="3" l="1"/>
  <c r="Q188" i="3" s="1"/>
  <c r="Q8" i="3"/>
  <c r="Q11" i="3" s="1"/>
  <c r="Q22" i="3" s="1"/>
  <c r="Q187" i="3"/>
  <c r="P187" i="3"/>
  <c r="P99" i="3"/>
  <c r="P188" i="3" s="1"/>
  <c r="P8" i="3"/>
  <c r="P11" i="3" s="1"/>
  <c r="P22" i="3" s="1"/>
  <c r="P31" i="3" s="1"/>
  <c r="P34" i="3" s="1"/>
  <c r="Q31" i="3" l="1"/>
  <c r="Q34" i="3" s="1"/>
  <c r="D36" i="3" s="1"/>
  <c r="D3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<sst xmlns="http://schemas.openxmlformats.org/spreadsheetml/2006/main" count="1629" uniqueCount="412">
  <si>
    <t>2026 Solar and Wind Appraisal Model</t>
  </si>
  <si>
    <t>Blue cells require user input</t>
  </si>
  <si>
    <t>Inputs for All Project Revenue Types</t>
  </si>
  <si>
    <t>Project Revenue Type</t>
  </si>
  <si>
    <t>NEM - Net Energy Metering</t>
  </si>
  <si>
    <t>Plant Type</t>
  </si>
  <si>
    <t>Solar</t>
  </si>
  <si>
    <t>Solar/Wind System Size</t>
  </si>
  <si>
    <t>BESS Size (kW)</t>
  </si>
  <si>
    <t>Start Date of Plant Operation</t>
  </si>
  <si>
    <t>Taxable Status Year</t>
  </si>
  <si>
    <t>System Age at Taxable Status Date</t>
  </si>
  <si>
    <t>Year(s)</t>
  </si>
  <si>
    <t>Before Tax Discount Rate  - Real WACC</t>
  </si>
  <si>
    <t>Tax Load</t>
  </si>
  <si>
    <t>Annual Ground Lease Payment (if applicable)</t>
  </si>
  <si>
    <t>Annual Ground Lease Escalator (if applicable)</t>
  </si>
  <si>
    <t>Additional Required Inputs for VDER Projects</t>
  </si>
  <si>
    <t>NYISO Zone</t>
  </si>
  <si>
    <t>A - West</t>
  </si>
  <si>
    <t>Utility Company</t>
  </si>
  <si>
    <t>NYSEG</t>
  </si>
  <si>
    <t>DRV Rate</t>
  </si>
  <si>
    <t>$/kWh</t>
  </si>
  <si>
    <t>Additional Optional Inputs for VDER Projects</t>
  </si>
  <si>
    <t>Actual Market Transition or Community Credit</t>
  </si>
  <si>
    <t>or Community Adder/ICSA</t>
  </si>
  <si>
    <t>$</t>
  </si>
  <si>
    <r>
      <t xml:space="preserve">Note: The model assumes that VDER projects receive the maximum possible Market Transition Credit (MTC) by default, but allows a lower MTC or Community Credit (CC) or a Community Adder (CA) to be entered to override the default assumption. </t>
    </r>
    <r>
      <rPr>
        <sz val="11"/>
        <rFont val="Aptos Narrow"/>
        <family val="2"/>
        <scheme val="minor"/>
      </rPr>
      <t xml:space="preserve">VDER projects may receive either a MTC, a CC or a CA. No VDER project can receive more than one of these credits, and some VDER projects receive none of them. VDER projects may also receive the Inclusive Community Solar Adder (ICSA). If applicable, the ICSA should be added to the CA (if any) and the combined CA and ICSA value should be entered into cell C24. </t>
    </r>
  </si>
  <si>
    <t>Additional Input for NEM Projects</t>
  </si>
  <si>
    <t>Utility for Retail Rate</t>
  </si>
  <si>
    <t>National Grid</t>
  </si>
  <si>
    <t>Additional Input for Tier 1 Projects</t>
  </si>
  <si>
    <t>E - Mohawk Valley</t>
  </si>
  <si>
    <t>Accelerated Renewable Energy Growth and Community Benefit Act Payment</t>
  </si>
  <si>
    <t>(1 = Yes, 0 = No)</t>
  </si>
  <si>
    <t>Model Cash Flow Viewing Option</t>
  </si>
  <si>
    <t>Cash Flow Type</t>
  </si>
  <si>
    <t>Nominal Dollars</t>
  </si>
  <si>
    <t>Data for Model Operation</t>
  </si>
  <si>
    <t>ValGroup Number</t>
  </si>
  <si>
    <t>Zone / Utility</t>
  </si>
  <si>
    <t>ValGroup-Zone</t>
  </si>
  <si>
    <t>Capacity Factor for Plant Type</t>
  </si>
  <si>
    <t>Scaled OpEx Rate (Including VDER Subscriber Management Costs)</t>
  </si>
  <si>
    <t>$/kW-year</t>
  </si>
  <si>
    <t>Utility Loss Adjustment Factor</t>
  </si>
  <si>
    <t>Decommissioning Cost Rate</t>
  </si>
  <si>
    <t>Economic Life</t>
  </si>
  <si>
    <t>BESS Asset Life</t>
  </si>
  <si>
    <t>Long-term Annual Inflation</t>
  </si>
  <si>
    <t>Degradation Rate (Linear)</t>
  </si>
  <si>
    <t>DRV Renewal Rate</t>
  </si>
  <si>
    <t>Owner Share of NEM/VDER Offtaker Credits</t>
  </si>
  <si>
    <t>Residential Share of Bill Credits for NEM</t>
  </si>
  <si>
    <t>Inverter Size</t>
  </si>
  <si>
    <t>kW AC</t>
  </si>
  <si>
    <t>DC/AC Ratio - Tier 1 Solar</t>
  </si>
  <si>
    <t>Inverter Age</t>
  </si>
  <si>
    <t>Inverter Replacement Cycle</t>
  </si>
  <si>
    <t>Inverter Size Step</t>
  </si>
  <si>
    <t>kW</t>
  </si>
  <si>
    <t xml:space="preserve">Inverter Replacement Cost New </t>
  </si>
  <si>
    <t>$/kW</t>
  </si>
  <si>
    <t>VDER project</t>
  </si>
  <si>
    <t>1 = VDER project</t>
  </si>
  <si>
    <t>Base Year for Cost Data</t>
  </si>
  <si>
    <t>Base Rate for DRV Rate</t>
  </si>
  <si>
    <t>Base Year for Market Data</t>
  </si>
  <si>
    <t>Base Year for PV and Cash Flows</t>
  </si>
  <si>
    <t>Financial Data</t>
  </si>
  <si>
    <t>Combined Federal and State Tax Rate</t>
  </si>
  <si>
    <t>Land-based Wind</t>
  </si>
  <si>
    <t>Cost of Debt (Nominal, pre-tax)</t>
  </si>
  <si>
    <t>Debt Fraction</t>
  </si>
  <si>
    <t>Cost of Equity (Nominal, after-tax)</t>
  </si>
  <si>
    <t>Nominal WACC (pre-tax) </t>
  </si>
  <si>
    <t>Real WACC (pre-tax) </t>
  </si>
  <si>
    <t>Cost of Debt (nominal, pre-tax)</t>
  </si>
  <si>
    <t>Calendar/Tax Year</t>
  </si>
  <si>
    <t>Year of Plant Operation</t>
  </si>
  <si>
    <t>Energy Production (kWh)</t>
  </si>
  <si>
    <t>Energy</t>
  </si>
  <si>
    <t>Capacity</t>
  </si>
  <si>
    <t>MTC or CC</t>
  </si>
  <si>
    <t>Community Adder/ICSA</t>
  </si>
  <si>
    <t>VDER Revenues Total</t>
  </si>
  <si>
    <t>Net Metering Credits</t>
  </si>
  <si>
    <t>NEM Revenues Total</t>
  </si>
  <si>
    <t>Tier 1 Revenues Total</t>
  </si>
  <si>
    <t>Income</t>
  </si>
  <si>
    <t>Expense*</t>
  </si>
  <si>
    <t>Lease</t>
  </si>
  <si>
    <t>Decomissioning</t>
  </si>
  <si>
    <t>Inverter (Solar Only)</t>
  </si>
  <si>
    <t>Expenses</t>
  </si>
  <si>
    <t>EBITDA</t>
  </si>
  <si>
    <t>Discount Factor</t>
  </si>
  <si>
    <t>Discounted Cash Flow</t>
  </si>
  <si>
    <t>Present Value of Cash Flows:</t>
  </si>
  <si>
    <t>/ kW AC</t>
  </si>
  <si>
    <t>*Expense includes O&amp;M, Insurance, Management.</t>
  </si>
  <si>
    <t>Detailed Calculations</t>
  </si>
  <si>
    <t>Model Factors</t>
  </si>
  <si>
    <t>Discount Factor (Nominal)</t>
  </si>
  <si>
    <t>Discount Factor (Real)</t>
  </si>
  <si>
    <t>Cash Flow Deflation Factor</t>
  </si>
  <si>
    <t>Cost Data Inflation Factor</t>
  </si>
  <si>
    <t>DRV Rate Inflation Factor</t>
  </si>
  <si>
    <t>Market Data Inflation Factor</t>
  </si>
  <si>
    <t>Production Calculations (Generation)</t>
  </si>
  <si>
    <t>System Size (kW AC)</t>
  </si>
  <si>
    <t>Zone Capacity Factor</t>
  </si>
  <si>
    <t>Degradation Rate</t>
  </si>
  <si>
    <t>Degradation Factor</t>
  </si>
  <si>
    <t>Days per year</t>
  </si>
  <si>
    <t>Production Calculations (Storage)</t>
  </si>
  <si>
    <t>System Size (kW)</t>
  </si>
  <si>
    <t>Energy Production (kW)</t>
  </si>
  <si>
    <t>Storage:Solar Ratio</t>
  </si>
  <si>
    <t>Energy Revenue Adjustor</t>
  </si>
  <si>
    <t>Capacity Revenue Adjustor</t>
  </si>
  <si>
    <t>DRV Revenue Adjustor</t>
  </si>
  <si>
    <t>VDER Energy Revenue Calculations</t>
  </si>
  <si>
    <t>Utility Loss Adjustment</t>
  </si>
  <si>
    <t>Fraction of Credits</t>
  </si>
  <si>
    <t>Gen-Wtd Price ($/MWh)</t>
  </si>
  <si>
    <t>Annual VDER Energy Revenue</t>
  </si>
  <si>
    <t>Nominal $</t>
  </si>
  <si>
    <t>VDER Capacity Revenue Calculations</t>
  </si>
  <si>
    <t>ICAP</t>
  </si>
  <si>
    <t>UCAP-Adjusted Price</t>
  </si>
  <si>
    <t>Annual VDER Capacity Revenue</t>
  </si>
  <si>
    <t>VDER Demand Reduction Value Calculations</t>
  </si>
  <si>
    <t>Utility Name</t>
  </si>
  <si>
    <t>DRV Rate (Years 1-10)</t>
  </si>
  <si>
    <t>DRV Renew Rate (Years &gt;10)</t>
  </si>
  <si>
    <t>System Year</t>
  </si>
  <si>
    <t>DRV kWh/yr/kW</t>
  </si>
  <si>
    <t>DRV Rate, $/kWh</t>
  </si>
  <si>
    <t>Annual VDER Demand Reduction Value Revenue</t>
  </si>
  <si>
    <t>VDER MTC/CC Revenue Calculations</t>
  </si>
  <si>
    <t>System Age</t>
  </si>
  <si>
    <t>MTC/CC Rate, $/kWh</t>
  </si>
  <si>
    <t>MTC/CC Term</t>
  </si>
  <si>
    <t>Annual VDER MTC/CC Revenue</t>
  </si>
  <si>
    <t>VDER Community Adder/Inclusive Community Solar Adder Revenue Calculations</t>
  </si>
  <si>
    <t>Community Adder Payment</t>
  </si>
  <si>
    <t>CA Payment Fractions</t>
  </si>
  <si>
    <t>Annual VDER Community Adder Revenue</t>
  </si>
  <si>
    <t>NEM Net Metering Credit Revenue Calculations</t>
  </si>
  <si>
    <t>Residential Share</t>
  </si>
  <si>
    <t>Residential Credit Rate</t>
  </si>
  <si>
    <t>Commercial Credit Rate</t>
  </si>
  <si>
    <t>Annual NEM Net Metering Credit Revenue</t>
  </si>
  <si>
    <t>Tier 1 Energy Revenue Calculations</t>
  </si>
  <si>
    <t>Annual Tier 1 Energy Revenue</t>
  </si>
  <si>
    <t>Tier 1 Capacity Revenue Calculation</t>
  </si>
  <si>
    <t>Annual Tier 1 Capacity Revenue</t>
  </si>
  <si>
    <t>Operating Expense Calculations</t>
  </si>
  <si>
    <t>Revenue Type</t>
  </si>
  <si>
    <t>BESS System Size (kW AC)</t>
  </si>
  <si>
    <t>BESS System Age</t>
  </si>
  <si>
    <t>NY Adjusted Base OpEx Rate</t>
  </si>
  <si>
    <t xml:space="preserve"> $2022/kW-year</t>
  </si>
  <si>
    <t>Final OpEx Rate</t>
  </si>
  <si>
    <t>Mandatory Host Community Benefit Act Payment</t>
  </si>
  <si>
    <t>/kW-year for first 10 years of operation</t>
  </si>
  <si>
    <t>Annual Operating Expense</t>
  </si>
  <si>
    <t>Ground Lease Expense Calculations</t>
  </si>
  <si>
    <t>Annual Ground Lease</t>
  </si>
  <si>
    <t>Ground Lease Escalation</t>
  </si>
  <si>
    <t>Annual Ground Lease Expense</t>
  </si>
  <si>
    <t>Decommissioning Expense Calculations</t>
  </si>
  <si>
    <t>Decom Cost per kW/yr</t>
  </si>
  <si>
    <t>COD Inflation Adjustment</t>
  </si>
  <si>
    <t>Annual Decommissioning Expense</t>
  </si>
  <si>
    <t>Inverter Replacement Expense Calculations</t>
  </si>
  <si>
    <t>Inverter Size (kW)</t>
  </si>
  <si>
    <t>Replacement Cycle</t>
  </si>
  <si>
    <t>Replacement Cost ($/kW)</t>
  </si>
  <si>
    <t>Annual Inverter Replacement Expense</t>
  </si>
  <si>
    <t>Total Cash Flows</t>
  </si>
  <si>
    <t>VDER Total Cash Flow</t>
  </si>
  <si>
    <t>NEM Total Cash Flow</t>
  </si>
  <si>
    <t>Tier 1 Total Cash Flow</t>
  </si>
  <si>
    <t>Valuation Group</t>
  </si>
  <si>
    <t>Group-Zone</t>
  </si>
  <si>
    <t>CapFactor</t>
  </si>
  <si>
    <t>U.S. Base OpEx Rate 
($2022/kWac)</t>
  </si>
  <si>
    <t>Labor Cost Fraction 
(%)</t>
  </si>
  <si>
    <t>Labor Cost Multiplier 
(%)</t>
  </si>
  <si>
    <t>NY Adjusted Base OpEx Rate 
($2022/kWac)</t>
  </si>
  <si>
    <t>Utility</t>
  </si>
  <si>
    <t>Loss Adjustment Factor</t>
  </si>
  <si>
    <t>DRV Rate ($2022/kWh) Phase 2</t>
  </si>
  <si>
    <t>Maximum MTC/CC Rate ($2022/kWh)</t>
  </si>
  <si>
    <t>ValGroup #</t>
  </si>
  <si>
    <t>NYISO Name</t>
  </si>
  <si>
    <t>NYISO Letter</t>
  </si>
  <si>
    <t>Year</t>
  </si>
  <si>
    <t>Days</t>
  </si>
  <si>
    <t>Cash Flow Types</t>
  </si>
  <si>
    <t>Hybrid Revenue Multipliers</t>
  </si>
  <si>
    <t>Tier 1</t>
  </si>
  <si>
    <t>VDER - Value of Distributed Energy Resources</t>
  </si>
  <si>
    <t>A</t>
  </si>
  <si>
    <t>Central Hudson</t>
  </si>
  <si>
    <t>B</t>
  </si>
  <si>
    <t>ConEd (11am-3pm)</t>
  </si>
  <si>
    <t>Hybrid Solar Plus Storage</t>
  </si>
  <si>
    <t>B - Genesee</t>
  </si>
  <si>
    <t>C</t>
  </si>
  <si>
    <t>ConEd (2pm-6pm)</t>
  </si>
  <si>
    <t>C - Central</t>
  </si>
  <si>
    <t>D</t>
  </si>
  <si>
    <t>ConEd (4pm-8pm)</t>
  </si>
  <si>
    <t>D - North</t>
  </si>
  <si>
    <t>E</t>
  </si>
  <si>
    <t>Land-Based Wind</t>
  </si>
  <si>
    <t>ConEd (7pm-11pm)</t>
  </si>
  <si>
    <t>F</t>
  </si>
  <si>
    <t>F - Capital</t>
  </si>
  <si>
    <t>G</t>
  </si>
  <si>
    <t>G - Hudson Valley</t>
  </si>
  <si>
    <t>H</t>
  </si>
  <si>
    <t>Orange &amp; Rockland</t>
  </si>
  <si>
    <t>H - Millwood</t>
  </si>
  <si>
    <t>I</t>
  </si>
  <si>
    <t>Inputs for Tier 1 Projects Only:</t>
  </si>
  <si>
    <t>PSEG Long Island</t>
  </si>
  <si>
    <t xml:space="preserve">I - Dunwoodie </t>
  </si>
  <si>
    <t>J</t>
  </si>
  <si>
    <t>Technology</t>
  </si>
  <si>
    <t xml:space="preserve"> Required Project Size 
(MW)</t>
  </si>
  <si>
    <t xml:space="preserve"> Required # of Contribution Years</t>
  </si>
  <si>
    <t xml:space="preserve"> Host Community Benefit Payment 
($2022/MW-yr)</t>
  </si>
  <si>
    <t>RGE</t>
  </si>
  <si>
    <t xml:space="preserve">J - N.Y.C. </t>
  </si>
  <si>
    <t>K</t>
  </si>
  <si>
    <t>K - Long Island</t>
  </si>
  <si>
    <t>Subscriber Management Cost ($2022/Wac)</t>
  </si>
  <si>
    <t>Inputs for Projects with Storage:</t>
  </si>
  <si>
    <t>Annual Degradation Rate</t>
  </si>
  <si>
    <t xml:space="preserve">ConEd NYC </t>
  </si>
  <si>
    <t>ConEd West</t>
  </si>
  <si>
    <t>Summary Chart - for Informational Purposes Only</t>
  </si>
  <si>
    <t>Class 1</t>
  </si>
  <si>
    <t>Class 2</t>
  </si>
  <si>
    <t>Class 3</t>
  </si>
  <si>
    <t>Class 4</t>
  </si>
  <si>
    <t>Class 5</t>
  </si>
  <si>
    <t>Class 6</t>
  </si>
  <si>
    <t>Class 7</t>
  </si>
  <si>
    <t>Class 8</t>
  </si>
  <si>
    <t>Class 9</t>
  </si>
  <si>
    <t>Class 10</t>
  </si>
  <si>
    <t>Pre-2015</t>
  </si>
  <si>
    <t>NREL Wind Class</t>
  </si>
  <si>
    <t>Revenue</t>
  </si>
  <si>
    <t>ValFactor</t>
  </si>
  <si>
    <t>Type-Zone</t>
  </si>
  <si>
    <t>Type</t>
  </si>
  <si>
    <t>Zone</t>
  </si>
  <si>
    <t>VDER</t>
  </si>
  <si>
    <t>Hourly</t>
  </si>
  <si>
    <t>Tier 1/VDER</t>
  </si>
  <si>
    <t>UCAP</t>
  </si>
  <si>
    <t>Rate-Type</t>
  </si>
  <si>
    <t>Rate</t>
  </si>
  <si>
    <t>DRV</t>
  </si>
  <si>
    <t>Default</t>
  </si>
  <si>
    <t>*With current generation profiles, there is no expected generation during NYSEG January DRV window. Therefore, no adjustment is made for NYSEG DRV.</t>
  </si>
  <si>
    <t>Utility-Zone</t>
  </si>
  <si>
    <t>NEM</t>
  </si>
  <si>
    <t>RES</t>
  </si>
  <si>
    <t>Central Hudson-F</t>
  </si>
  <si>
    <t>ConEd NYC -J</t>
  </si>
  <si>
    <t>ConEd West-I</t>
  </si>
  <si>
    <t>National Grid-A</t>
  </si>
  <si>
    <t>NYSEG-D</t>
  </si>
  <si>
    <t>Orange &amp; Rockland-G</t>
  </si>
  <si>
    <t>PSEG Long Island-K</t>
  </si>
  <si>
    <t>RGE-C</t>
  </si>
  <si>
    <t>COM</t>
  </si>
  <si>
    <t>Solar - Tracking</t>
  </si>
  <si>
    <t>Solar - Fixed - A</t>
  </si>
  <si>
    <t>Solar - Fixed</t>
  </si>
  <si>
    <t>Solar - Fixed - B</t>
  </si>
  <si>
    <t>Solar - Fixed - C</t>
  </si>
  <si>
    <t>Solar - Fixed - D</t>
  </si>
  <si>
    <t>Solar - Fixed - E</t>
  </si>
  <si>
    <t>Solar - Fixed - F</t>
  </si>
  <si>
    <t>Solar - Fixed - G</t>
  </si>
  <si>
    <t>Solar - Fixed - H</t>
  </si>
  <si>
    <t>Solar - Fixed - I</t>
  </si>
  <si>
    <t>Solar - Fixed - J</t>
  </si>
  <si>
    <t>Solar - Fixed - K</t>
  </si>
  <si>
    <t>Solar - Tracking - A</t>
  </si>
  <si>
    <t>Solar - Tracking - B</t>
  </si>
  <si>
    <t>Solar - Tracking - C</t>
  </si>
  <si>
    <t>Solar - Tracking - D</t>
  </si>
  <si>
    <t>Solar - Tracking - E</t>
  </si>
  <si>
    <t>Solar - Tracking - F</t>
  </si>
  <si>
    <t>Solar - Tracking - G</t>
  </si>
  <si>
    <t>Solar - Tracking - H</t>
  </si>
  <si>
    <t>Solar - Tracking - I</t>
  </si>
  <si>
    <t>Solar - Tracking - J</t>
  </si>
  <si>
    <t>Solar - Tracking - K</t>
  </si>
  <si>
    <t>Default - Solar - Fixed - A</t>
  </si>
  <si>
    <t>Default - Solar - Fixed - B</t>
  </si>
  <si>
    <t>Default - Solar - Fixed - C</t>
  </si>
  <si>
    <t>Default - Solar - Fixed - D</t>
  </si>
  <si>
    <t>Default - Solar - Fixed - E</t>
  </si>
  <si>
    <t>Default - Solar - Fixed - F</t>
  </si>
  <si>
    <t>Default - Solar - Fixed - G</t>
  </si>
  <si>
    <t>ConEd (11am-3pm) - Solar - Fixed - H</t>
  </si>
  <si>
    <t>ConEd (2pm-6pm) - Solar - Fixed - H</t>
  </si>
  <si>
    <t>ConEd (4pm-8pm) - Solar - Fixed - H</t>
  </si>
  <si>
    <t>ConEd (7pm-11pm) - Solar - Fixed - H</t>
  </si>
  <si>
    <t>Default - Solar - Fixed - H</t>
  </si>
  <si>
    <t>ConEd (11am-3pm) - Solar - Fixed - I</t>
  </si>
  <si>
    <t>ConEd (2pm-6pm) - Solar - Fixed - I</t>
  </si>
  <si>
    <t>ConEd (4pm-8pm) - Solar - Fixed - I</t>
  </si>
  <si>
    <t>ConEd (7pm-11pm) - Solar - Fixed - I</t>
  </si>
  <si>
    <t>Default - Solar - Fixed - I</t>
  </si>
  <si>
    <t>ConEd (11am-3pm) - Solar - Fixed - J</t>
  </si>
  <si>
    <t>ConEd (2pm-6pm) - Solar - Fixed - J</t>
  </si>
  <si>
    <t>ConEd (4pm-8pm) - Solar - Fixed - J</t>
  </si>
  <si>
    <t>ConEd (7pm-11pm) - Solar - Fixed - J</t>
  </si>
  <si>
    <t>Default - Solar - Fixed - K</t>
  </si>
  <si>
    <t>Inputs for VDER and NEM Projects Only:</t>
  </si>
  <si>
    <t>NEM project</t>
  </si>
  <si>
    <t>1 = NEM project</t>
  </si>
  <si>
    <t>Subscriber Management Costs (VDER and NEM Only)</t>
  </si>
  <si>
    <t>Hybrid Solar Plus Storage - A</t>
  </si>
  <si>
    <t>Hybrid Solar Plus Storage - B</t>
  </si>
  <si>
    <t>Hybrid Solar Plus Storage - C</t>
  </si>
  <si>
    <t>Hybrid Solar Plus Storage - D</t>
  </si>
  <si>
    <t>Hybrid Solar Plus Storage - E</t>
  </si>
  <si>
    <t>Hybrid Solar Plus Storage - F</t>
  </si>
  <si>
    <t>Hybrid Solar Plus Storage - G</t>
  </si>
  <si>
    <t>Hybrid Solar Plus Storage - H</t>
  </si>
  <si>
    <t>Hybrid Solar Plus Storage - I</t>
  </si>
  <si>
    <t>Hybrid Solar Plus Storage - J</t>
  </si>
  <si>
    <t>Hybrid Solar Plus Storage - K</t>
  </si>
  <si>
    <t>Default - Solar - Tracking - A</t>
  </si>
  <si>
    <t>Default - Solar - Tracking - B</t>
  </si>
  <si>
    <t>Default - Solar - Tracking - C</t>
  </si>
  <si>
    <t>Default - Solar - Tracking - D</t>
  </si>
  <si>
    <t>Default - Solar - Tracking - E</t>
  </si>
  <si>
    <t>Default - Solar - Tracking - F</t>
  </si>
  <si>
    <t>Default - Solar - Tracking - G</t>
  </si>
  <si>
    <t>ConEd (11am-3pm) - Solar - Tracking - H</t>
  </si>
  <si>
    <t>ConEd (2pm-6pm) - Solar - Tracking - H</t>
  </si>
  <si>
    <t>ConEd (4pm-8pm) - Solar - Tracking - H</t>
  </si>
  <si>
    <t>ConEd (7pm-11pm) - Solar - Tracking - H</t>
  </si>
  <si>
    <t>Default - Solar - Tracking - H</t>
  </si>
  <si>
    <t>ConEd (11am-3pm) - Solar - Tracking - I</t>
  </si>
  <si>
    <t>ConEd (2pm-6pm) - Solar - Tracking - I</t>
  </si>
  <si>
    <t>ConEd (4pm-8pm) - Solar - Tracking - I</t>
  </si>
  <si>
    <t>ConEd (7pm-11pm) - Solar - Tracking - I</t>
  </si>
  <si>
    <t>Default - Solar - Tracking - I</t>
  </si>
  <si>
    <t>ConEd (11am-3pm) - Solar - Tracking - J</t>
  </si>
  <si>
    <t>ConEd (2pm-6pm) - Solar - Tracking - J</t>
  </si>
  <si>
    <t>ConEd (4pm-8pm) - Solar - Tracking - J</t>
  </si>
  <si>
    <t>ConEd (7pm-11pm) - Solar - Tracking - J</t>
  </si>
  <si>
    <t>Default - Solar - Tracking - K</t>
  </si>
  <si>
    <t>Default - Hybrid Solar Plus Storage - A</t>
  </si>
  <si>
    <t>Default - Hybrid Solar Plus Storage - B</t>
  </si>
  <si>
    <t>Default - Hybrid Solar Plus Storage - C</t>
  </si>
  <si>
    <t>Default - Hybrid Solar Plus Storage - D</t>
  </si>
  <si>
    <t>Default - Hybrid Solar Plus Storage - E</t>
  </si>
  <si>
    <t>Default - Hybrid Solar Plus Storage - F</t>
  </si>
  <si>
    <t>Default - Hybrid Solar Plus Storage - G</t>
  </si>
  <si>
    <t>ConEd (11am-3pm) - Hybrid Solar Plus Storage - H</t>
  </si>
  <si>
    <t>ConEd (2pm-6pm) - Hybrid Solar Plus Storage - H</t>
  </si>
  <si>
    <t>ConEd (4pm-8pm) - Hybrid Solar Plus Storage - H</t>
  </si>
  <si>
    <t>ConEd (7pm-11pm) - Hybrid Solar Plus Storage - H</t>
  </si>
  <si>
    <t>Default - Hybrid Solar Plus Storage - H</t>
  </si>
  <si>
    <t>ConEd (11am-3pm) - Hybrid Solar Plus Storage - I</t>
  </si>
  <si>
    <t>ConEd (2pm-6pm) - Hybrid Solar Plus Storage - I</t>
  </si>
  <si>
    <t>ConEd (4pm-8pm) - Hybrid Solar Plus Storage - I</t>
  </si>
  <si>
    <t>ConEd (7pm-11pm) - Hybrid Solar Plus Storage - I</t>
  </si>
  <si>
    <t>Default - Hybrid Solar Plus Storage - I</t>
  </si>
  <si>
    <t>ConEd (11am-3pm) - Hybrid Solar Plus Storage - J</t>
  </si>
  <si>
    <t>ConEd (2pm-6pm) - Hybrid Solar Plus Storage - J</t>
  </si>
  <si>
    <t>ConEd (4pm-8pm) - Hybrid Solar Plus Storage - J</t>
  </si>
  <si>
    <t>ConEd (7pm-11pm) - Hybrid Solar Plus Storage - J</t>
  </si>
  <si>
    <t>Default - Hybrid Solar Plus Storage - K</t>
  </si>
  <si>
    <t>Land-Based Wind - A</t>
  </si>
  <si>
    <t>Land-Based Wind - B</t>
  </si>
  <si>
    <t>Land-Based Wind - C</t>
  </si>
  <si>
    <t>Land-Based Wind - D</t>
  </si>
  <si>
    <t>Land-Based Wind - E</t>
  </si>
  <si>
    <t>Land-Based Wind - F</t>
  </si>
  <si>
    <t>Land-Based Wind - G</t>
  </si>
  <si>
    <t>Land-Based Wind - H</t>
  </si>
  <si>
    <t>Land-Based Wind - I</t>
  </si>
  <si>
    <t>Land-Based Wind - J</t>
  </si>
  <si>
    <t>Land-Based Wind - K</t>
  </si>
  <si>
    <t>7 - A</t>
  </si>
  <si>
    <t>7 - B</t>
  </si>
  <si>
    <t>7 - C</t>
  </si>
  <si>
    <t>7 - D</t>
  </si>
  <si>
    <t>7 - E</t>
  </si>
  <si>
    <t>7 - F</t>
  </si>
  <si>
    <t>7 - G</t>
  </si>
  <si>
    <t>7 - H</t>
  </si>
  <si>
    <t>7 - I</t>
  </si>
  <si>
    <t>7 - J</t>
  </si>
  <si>
    <t>7 - 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</si>
</sst>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5" formatCode="&quot;$&quot;#,##0_);\(&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0.000"/>
    <numFmt numFmtId="166" formatCode="_(&quot;$&quot;* #,##0.000_);_(&quot;$&quot;* \(#,##0.000\);_(&quot;$&quot;* &quot;-&quot;??_);_(@_)"/>
    <numFmt numFmtId="167" formatCode="_(* #,##0.0000_);_(* \(#,##0.0000\);_(* &quot;-&quot;??_);_(@_)"/>
    <numFmt numFmtId="168" formatCode="_(* #,##0_);_(* \(#,##0\);_(* &quot;-&quot;??_);_(@_)"/>
    <numFmt numFmtId="169" formatCode="_(&quot;$&quot;* #,##0_);_(&quot;$&quot;* \(#,##0\);_(&quot;$&quot;* &quot;-&quot;??_);_(@_)"/>
    <numFmt numFmtId="170" formatCode="&quot;$&quot;#,##0"/>
    <numFmt numFmtId="171" formatCode="&quot;$&quot;#,##0.0000_);\(&quot;$&quot;#,##0.0000\)"/>
    <numFmt numFmtId="172" formatCode="[$-409]mmmm\ d\,\ yyyy;@"/>
    <numFmt numFmtId="173" formatCode="#,##0;[Red]#,##0"/>
    <numFmt numFmtId="174" formatCode="#,##0.000_);\(#,##0.000\)"/>
    <numFmt numFmtId="175" formatCode="#,##0.0000_);\(#,##0.0000\)"/>
    <numFmt numFmtId="176" formatCode="0.0000_);\(0.0000\)"/>
    <numFmt numFmtId="177" formatCode="0.000_);\(0.000\)"/>
    <numFmt numFmtId="178" formatCode="_(&quot;$&quot;* #,##0.000_);_(&quot;$&quot;* \(#,##0.000\);_(&quot;$&quot;* &quot;-&quot;???_);_(@_)"/>
    <numFmt numFmtId="179" formatCode="0.0%"/>
    <numFmt numFmtId="180" formatCode="0.0"/>
    <numFmt numFmtId="181" formatCode="&quot;$&quot;#,##0.00"/>
    <numFmt numFmtId="182" formatCode="#,##0.00;[Red]#,##0.00"/>
    <numFmt numFmtId="183" formatCode="&quot;$&quot;#,##0.000_);\(&quot;$&quot;#,##0.000\)"/>
    <numFmt numFmtId="184" formatCode="#,##0.00000;[Red]#,##0.00000"/>
  </numFmts>
  <fonts count="26" x14ac:knownFonts="1">
    <font>
      <sz val="11"/>
      <color theme="1"/>
      <name val="Aptos Narrow"/>
      <family val="2"/>
      <scheme val="minor"/>
    </font>
    <font>
      <sz val="11"/>
      <color theme="1"/>
      <name val="Aptos Narrow"/>
      <family val="2"/>
      <scheme val="minor"/>
    </font>
    <font>
      <b/>
      <sz val="11"/>
      <color theme="1"/>
      <name val="Aptos Narrow"/>
      <family val="2"/>
      <scheme val="minor"/>
    </font>
    <font>
      <sz val="11"/>
      <name val="Aptos Narrow"/>
      <family val="2"/>
      <scheme val="minor"/>
    </font>
    <font>
      <b/>
      <sz val="11"/>
      <name val="Aptos Narrow"/>
      <family val="2"/>
      <scheme val="minor"/>
    </font>
    <font>
      <sz val="11"/>
      <name val="Calibri"/>
      <family val="2"/>
    </font>
    <font>
      <b/>
      <sz val="14"/>
      <name val="Aptos Narrow"/>
      <family val="2"/>
      <scheme val="minor"/>
    </font>
    <font>
      <sz val="10"/>
      <name val="Wingdings 3"/>
      <family val="1"/>
      <charset val="2"/>
    </font>
    <font>
      <b/>
      <u/>
      <sz val="11"/>
      <color theme="1"/>
      <name val="Aptos Narrow"/>
      <family val="2"/>
      <scheme val="minor"/>
    </font>
    <font>
      <i/>
      <sz val="11"/>
      <name val="Aptos Narrow"/>
      <family val="2"/>
      <scheme val="minor"/>
    </font>
    <font>
      <b/>
      <sz val="9"/>
      <color theme="0"/>
      <name val="Arial"/>
      <family val="2"/>
    </font>
    <font>
      <b/>
      <sz val="9"/>
      <color theme="1"/>
      <name val="Arial"/>
      <family val="2"/>
    </font>
    <font>
      <sz val="11"/>
      <color rgb="FFFF0000"/>
      <name val="Aptos Narrow"/>
      <family val="2"/>
      <scheme val="minor"/>
    </font>
    <font>
      <b/>
      <sz val="10"/>
      <color theme="0"/>
      <name val="Aptos Display"/>
      <family val="2"/>
      <scheme val="major"/>
    </font>
    <font>
      <sz val="9"/>
      <name val="Aptos Narrow"/>
      <family val="2"/>
      <scheme val="minor"/>
    </font>
    <font>
      <sz val="9"/>
      <name val="Aptos Narrow"/>
      <family val="2"/>
      <scheme val="minor"/>
    </font>
    <font>
      <i/>
      <sz val="9"/>
      <name val="Aptos Narrow"/>
      <family val="2"/>
      <scheme val="minor"/>
    </font>
    <font>
      <sz val="9"/>
      <color theme="1"/>
      <name val="Aptos Display"/>
      <family val="2"/>
      <scheme val="major"/>
    </font>
    <font>
      <sz val="9"/>
      <color theme="1"/>
      <name val="Aptos Narrow"/>
      <family val="2"/>
      <scheme val="minor"/>
    </font>
    <font>
      <sz val="8"/>
      <name val="Aptos Narrow"/>
      <family val="2"/>
      <scheme val="minor"/>
    </font>
    <font>
      <sz val="9"/>
      <color theme="1"/>
      <name val="Arial"/>
      <family val="2"/>
    </font>
    <font>
      <sz val="11"/>
      <color rgb="FF000000"/>
      <name val="Calibri"/>
      <family val="2"/>
    </font>
    <font>
      <sz val="11"/>
      <color rgb="FF0000FF"/>
      <name val="Aptos Narrow"/>
      <family val="2"/>
      <scheme val="minor"/>
    </font>
    <font>
      <b/>
      <sz val="9"/>
      <name val="Arial"/>
      <family val="2"/>
    </font>
    <font>
      <sz val="11"/>
      <color rgb="FFED0000"/>
      <name val="Aptos Narrow"/>
      <family val="2"/>
      <scheme val="minor"/>
    </font>
    <font>
      <b/>
      <i/>
      <sz val="11"/>
      <color rgb="FFED0000"/>
      <name val="Aptos Narrow"/>
      <family val="2"/>
      <scheme val="minor"/>
    </font>
  </fonts>
  <fills count="11">
    <fill>
      <patternFill patternType="none"/>
    </fill>
    <fill>
      <patternFill patternType="gray125"/>
    </fill>
    <fill>
      <patternFill patternType="solid">
        <fgColor theme="0"/>
        <bgColor indexed="64"/>
      </patternFill>
    </fill>
    <fill>
      <patternFill patternType="solid">
        <fgColor theme="0" tint="-0.14996795556505021"/>
        <bgColor indexed="64"/>
      </patternFill>
    </fill>
    <fill>
      <patternFill patternType="solid">
        <fgColor theme="3"/>
        <bgColor indexed="64"/>
      </patternFill>
    </fill>
    <fill>
      <patternFill patternType="solid">
        <fgColor theme="8" tint="0.59999389629810485"/>
        <bgColor indexed="64"/>
      </patternFill>
    </fill>
    <fill>
      <patternFill patternType="solid">
        <fgColor theme="0" tint="-0.24994659260841701"/>
        <bgColor indexed="64"/>
      </patternFill>
    </fill>
    <fill>
      <patternFill patternType="solid">
        <fgColor theme="2"/>
        <bgColor indexed="64"/>
      </patternFill>
    </fill>
    <fill>
      <patternFill patternType="solid">
        <fgColor theme="4" tint="0.59996337778862885"/>
        <bgColor indexed="64"/>
      </patternFill>
    </fill>
    <fill>
      <patternFill patternType="solid">
        <fgColor rgb="FFFFFFFF"/>
        <bgColor rgb="FF000000"/>
      </patternFill>
    </fill>
    <fill>
      <patternFill patternType="solid">
        <fgColor theme="9" tint="0.79998168889431442"/>
        <bgColor indexed="64"/>
      </patternFill>
    </fill>
  </fills>
  <borders count="38">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dotted">
        <color auto="1"/>
      </left>
      <right style="dotted">
        <color auto="1"/>
      </right>
      <top/>
      <bottom/>
      <diagonal/>
    </border>
    <border>
      <left style="dotted">
        <color auto="1"/>
      </left>
      <right style="dotted">
        <color auto="1"/>
      </right>
      <top style="thin">
        <color auto="1"/>
      </top>
      <bottom/>
      <diagonal/>
    </border>
    <border>
      <left style="dotted">
        <color auto="1"/>
      </left>
      <right style="thin">
        <color auto="1"/>
      </right>
      <top/>
      <bottom/>
      <diagonal/>
    </border>
    <border>
      <left style="dotted">
        <color auto="1"/>
      </left>
      <right style="thin">
        <color auto="1"/>
      </right>
      <top style="thin">
        <color auto="1"/>
      </top>
      <bottom/>
      <diagonal/>
    </border>
    <border>
      <left style="thin">
        <color auto="1"/>
      </left>
      <right style="thin">
        <color auto="1"/>
      </right>
      <top style="thin">
        <color auto="1"/>
      </top>
      <bottom style="thin">
        <color auto="1"/>
      </bottom>
      <diagonal/>
    </border>
    <border>
      <left style="dotted">
        <color auto="1"/>
      </left>
      <right style="dotted">
        <color auto="1"/>
      </right>
      <top/>
      <bottom style="thin">
        <color auto="1"/>
      </bottom>
      <diagonal/>
    </border>
    <border>
      <left style="dotted">
        <color auto="1"/>
      </left>
      <right style="thin">
        <color auto="1"/>
      </right>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right style="dotted">
        <color auto="1"/>
      </right>
      <top style="thin">
        <color auto="1"/>
      </top>
      <bottom/>
      <diagonal/>
    </border>
    <border>
      <left/>
      <right style="dotted">
        <color auto="1"/>
      </right>
      <top/>
      <bottom style="thin">
        <color auto="1"/>
      </bottom>
      <diagonal/>
    </border>
    <border>
      <left/>
      <right style="dotted">
        <color auto="1"/>
      </right>
      <top/>
      <bottom/>
      <diagonal/>
    </border>
    <border>
      <left/>
      <right style="dotted">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3"/>
      </left>
      <right style="thin">
        <color theme="3"/>
      </right>
      <top style="thin">
        <color theme="3"/>
      </top>
      <bottom style="thin">
        <color theme="3"/>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5" fillId="0" borderId="0"/>
    <xf numFmtId="0" fontId="13" fillId="4" borderId="36" applyNumberFormat="0">
      <alignment vertical="center"/>
    </xf>
    <xf numFmtId="0" fontId="14" fillId="0" borderId="37" applyNumberFormat="0">
      <alignment vertical="center"/>
    </xf>
    <xf numFmtId="0" fontId="15" fillId="5" borderId="37" applyNumberFormat="0">
      <alignment vertical="center"/>
    </xf>
    <xf numFmtId="0" fontId="16" fillId="6" borderId="37" applyNumberFormat="0">
      <alignment vertical="center"/>
    </xf>
    <xf numFmtId="0" fontId="17" fillId="7" borderId="37" applyAlignment="0">
      <alignment horizontal="left"/>
    </xf>
    <xf numFmtId="0" fontId="18" fillId="8" borderId="37" applyNumberFormat="0">
      <alignment vertical="center"/>
    </xf>
    <xf numFmtId="0" fontId="20" fillId="8" borderId="37" applyNumberFormat="0">
      <alignment vertical="center"/>
    </xf>
  </cellStyleXfs>
  <cellXfs count="302">
    <xf numFmtId="0" fontId="0" fillId="0" borderId="0" xfId="0"/>
    <xf numFmtId="0" fontId="3" fillId="2" borderId="0" xfId="0" applyFont="1" applyFill="1" applyAlignment="1" applyProtection="1">
      <alignment horizontal="right"/>
      <protection locked="0"/>
    </xf>
    <xf numFmtId="9" fontId="3" fillId="2" borderId="2" xfId="3" applyFont="1" applyFill="1" applyBorder="1" applyProtection="1"/>
    <xf numFmtId="44" fontId="3" fillId="2" borderId="0" xfId="2" applyFont="1" applyFill="1" applyBorder="1" applyAlignment="1" applyProtection="1">
      <alignment horizontal="right"/>
      <protection locked="0"/>
    </xf>
    <xf numFmtId="171" fontId="3" fillId="2" borderId="0" xfId="2" applyNumberFormat="1" applyFont="1" applyFill="1" applyBorder="1" applyProtection="1"/>
    <xf numFmtId="171" fontId="3" fillId="2" borderId="0" xfId="2" applyNumberFormat="1" applyFont="1" applyFill="1" applyBorder="1" applyProtection="1">
      <protection locked="0"/>
    </xf>
    <xf numFmtId="5" fontId="3" fillId="2" borderId="0" xfId="2" applyNumberFormat="1" applyFont="1" applyFill="1" applyBorder="1" applyProtection="1">
      <protection locked="0"/>
    </xf>
    <xf numFmtId="0" fontId="3" fillId="2" borderId="11" xfId="0" applyFont="1" applyFill="1" applyBorder="1" applyAlignment="1" applyProtection="1">
      <alignment horizontal="right"/>
      <protection locked="0"/>
    </xf>
    <xf numFmtId="9" fontId="3" fillId="2" borderId="0" xfId="3" applyFont="1" applyFill="1" applyProtection="1"/>
    <xf numFmtId="10" fontId="3" fillId="3" borderId="2" xfId="3" applyNumberFormat="1" applyFont="1" applyFill="1" applyBorder="1" applyProtection="1"/>
    <xf numFmtId="10" fontId="3" fillId="3" borderId="0" xfId="3" applyNumberFormat="1" applyFont="1" applyFill="1" applyBorder="1" applyProtection="1"/>
    <xf numFmtId="7" fontId="3" fillId="3" borderId="0" xfId="2" applyNumberFormat="1" applyFont="1" applyFill="1" applyBorder="1" applyProtection="1"/>
    <xf numFmtId="9" fontId="3" fillId="3" borderId="0" xfId="3" applyFont="1" applyFill="1" applyBorder="1" applyProtection="1"/>
    <xf numFmtId="0" fontId="3" fillId="3" borderId="0" xfId="2" applyNumberFormat="1" applyFont="1" applyFill="1" applyBorder="1" applyProtection="1"/>
    <xf numFmtId="9" fontId="3" fillId="3" borderId="0" xfId="2" applyNumberFormat="1" applyFont="1" applyFill="1" applyBorder="1" applyProtection="1"/>
    <xf numFmtId="0" fontId="3" fillId="3" borderId="0" xfId="2" applyNumberFormat="1" applyFont="1" applyFill="1" applyBorder="1" applyAlignment="1" applyProtection="1">
      <alignment horizontal="right"/>
    </xf>
    <xf numFmtId="3" fontId="3" fillId="3" borderId="0" xfId="2" applyNumberFormat="1" applyFont="1" applyFill="1" applyBorder="1" applyAlignment="1" applyProtection="1">
      <alignment horizontal="right"/>
    </xf>
    <xf numFmtId="168" fontId="3" fillId="2" borderId="0" xfId="1" applyNumberFormat="1" applyFont="1" applyFill="1" applyBorder="1" applyProtection="1"/>
    <xf numFmtId="7" fontId="3" fillId="2" borderId="0" xfId="1" applyNumberFormat="1" applyFont="1" applyFill="1" applyBorder="1" applyProtection="1"/>
    <xf numFmtId="171" fontId="3" fillId="2" borderId="0" xfId="1" applyNumberFormat="1" applyFont="1" applyFill="1" applyBorder="1" applyProtection="1"/>
    <xf numFmtId="168" fontId="0" fillId="2" borderId="12" xfId="1" applyNumberFormat="1" applyFont="1" applyFill="1" applyBorder="1" applyProtection="1"/>
    <xf numFmtId="168" fontId="0" fillId="2" borderId="14" xfId="1" applyNumberFormat="1" applyFont="1" applyFill="1" applyBorder="1" applyProtection="1"/>
    <xf numFmtId="168" fontId="0" fillId="2" borderId="13" xfId="1" applyNumberFormat="1" applyFont="1" applyFill="1" applyBorder="1" applyProtection="1"/>
    <xf numFmtId="168" fontId="0" fillId="2" borderId="15" xfId="1" applyNumberFormat="1" applyFont="1" applyFill="1" applyBorder="1" applyProtection="1"/>
    <xf numFmtId="1" fontId="0" fillId="2" borderId="13" xfId="2" applyNumberFormat="1" applyFont="1" applyFill="1" applyBorder="1" applyProtection="1"/>
    <xf numFmtId="1" fontId="0" fillId="2" borderId="15" xfId="2" applyNumberFormat="1" applyFont="1" applyFill="1" applyBorder="1" applyProtection="1"/>
    <xf numFmtId="169" fontId="2" fillId="3" borderId="19" xfId="2" applyNumberFormat="1" applyFont="1" applyFill="1" applyBorder="1" applyProtection="1"/>
    <xf numFmtId="169" fontId="2" fillId="3" borderId="20" xfId="2" applyNumberFormat="1" applyFont="1" applyFill="1" applyBorder="1" applyProtection="1"/>
    <xf numFmtId="169" fontId="0" fillId="2" borderId="12" xfId="2" applyNumberFormat="1" applyFont="1" applyFill="1" applyBorder="1" applyProtection="1"/>
    <xf numFmtId="169" fontId="0" fillId="2" borderId="14" xfId="2" applyNumberFormat="1" applyFont="1" applyFill="1" applyBorder="1" applyProtection="1"/>
    <xf numFmtId="169" fontId="0" fillId="2" borderId="13" xfId="2" applyNumberFormat="1" applyFont="1" applyFill="1" applyBorder="1" applyProtection="1"/>
    <xf numFmtId="169" fontId="0" fillId="2" borderId="15" xfId="2" applyNumberFormat="1" applyFont="1" applyFill="1" applyBorder="1" applyProtection="1"/>
    <xf numFmtId="169" fontId="2" fillId="2" borderId="12" xfId="2" applyNumberFormat="1" applyFont="1" applyFill="1" applyBorder="1" applyProtection="1"/>
    <xf numFmtId="169" fontId="2" fillId="2" borderId="14" xfId="2" applyNumberFormat="1" applyFont="1" applyFill="1" applyBorder="1" applyProtection="1"/>
    <xf numFmtId="1" fontId="0" fillId="2" borderId="21" xfId="2" applyNumberFormat="1" applyFont="1" applyFill="1" applyBorder="1" applyProtection="1"/>
    <xf numFmtId="168" fontId="0" fillId="2" borderId="23" xfId="1" applyNumberFormat="1" applyFont="1" applyFill="1" applyBorder="1" applyProtection="1"/>
    <xf numFmtId="168" fontId="0" fillId="2" borderId="21" xfId="1" applyNumberFormat="1" applyFont="1" applyFill="1" applyBorder="1" applyProtection="1"/>
    <xf numFmtId="169" fontId="2" fillId="3" borderId="24" xfId="2" applyNumberFormat="1" applyFont="1" applyFill="1" applyBorder="1" applyProtection="1"/>
    <xf numFmtId="169" fontId="0" fillId="2" borderId="23" xfId="2" applyNumberFormat="1" applyFont="1" applyFill="1" applyBorder="1" applyProtection="1"/>
    <xf numFmtId="169" fontId="0" fillId="2" borderId="21" xfId="2" applyNumberFormat="1" applyFont="1" applyFill="1" applyBorder="1" applyProtection="1"/>
    <xf numFmtId="169" fontId="2" fillId="2" borderId="23" xfId="2" applyNumberFormat="1" applyFont="1" applyFill="1" applyBorder="1" applyProtection="1"/>
    <xf numFmtId="168" fontId="0" fillId="2" borderId="24" xfId="1" applyNumberFormat="1" applyFont="1" applyFill="1" applyBorder="1" applyProtection="1"/>
    <xf numFmtId="168" fontId="0" fillId="2" borderId="19" xfId="1" applyNumberFormat="1" applyFont="1" applyFill="1" applyBorder="1" applyProtection="1"/>
    <xf numFmtId="168" fontId="0" fillId="2" borderId="20" xfId="1" applyNumberFormat="1" applyFont="1" applyFill="1" applyBorder="1" applyProtection="1"/>
    <xf numFmtId="169" fontId="0" fillId="2" borderId="22" xfId="2" applyNumberFormat="1" applyFont="1" applyFill="1" applyBorder="1" applyProtection="1"/>
    <xf numFmtId="169" fontId="0" fillId="2" borderId="17" xfId="2" applyNumberFormat="1" applyFont="1" applyFill="1" applyBorder="1" applyProtection="1"/>
    <xf numFmtId="169" fontId="0" fillId="2" borderId="18" xfId="2" applyNumberFormat="1" applyFont="1" applyFill="1" applyBorder="1" applyProtection="1"/>
    <xf numFmtId="10" fontId="3" fillId="2" borderId="0" xfId="3" applyNumberFormat="1" applyFont="1" applyFill="1" applyBorder="1" applyProtection="1"/>
    <xf numFmtId="177" fontId="3" fillId="2" borderId="0" xfId="3" applyNumberFormat="1" applyFont="1" applyFill="1" applyBorder="1" applyProtection="1"/>
    <xf numFmtId="169" fontId="4" fillId="2" borderId="0" xfId="2" applyNumberFormat="1" applyFont="1" applyFill="1" applyBorder="1" applyProtection="1"/>
    <xf numFmtId="0" fontId="3" fillId="3" borderId="11" xfId="2" applyNumberFormat="1" applyFont="1" applyFill="1" applyBorder="1" applyProtection="1"/>
    <xf numFmtId="179" fontId="3" fillId="3" borderId="0" xfId="3" applyNumberFormat="1" applyFont="1" applyFill="1" applyBorder="1" applyProtection="1"/>
    <xf numFmtId="9" fontId="3" fillId="3" borderId="29" xfId="3" applyFont="1" applyFill="1" applyBorder="1" applyProtection="1"/>
    <xf numFmtId="9" fontId="3" fillId="3" borderId="30" xfId="3" applyFont="1" applyFill="1" applyBorder="1" applyProtection="1"/>
    <xf numFmtId="9" fontId="3" fillId="3" borderId="31" xfId="3" applyFont="1" applyFill="1" applyBorder="1" applyProtection="1"/>
    <xf numFmtId="9" fontId="3" fillId="3" borderId="32" xfId="3" applyFont="1" applyFill="1" applyBorder="1" applyProtection="1"/>
    <xf numFmtId="9" fontId="3" fillId="3" borderId="31" xfId="3" applyFont="1" applyFill="1" applyBorder="1" applyAlignment="1" applyProtection="1">
      <alignment horizontal="right"/>
    </xf>
    <xf numFmtId="9" fontId="3" fillId="3" borderId="33" xfId="3" applyFont="1" applyFill="1" applyBorder="1" applyAlignment="1" applyProtection="1">
      <alignment horizontal="right"/>
    </xf>
    <xf numFmtId="9" fontId="3" fillId="3" borderId="34" xfId="3" applyFont="1" applyFill="1" applyBorder="1" applyProtection="1"/>
    <xf numFmtId="9" fontId="3" fillId="3" borderId="35" xfId="3" applyFont="1" applyFill="1" applyBorder="1" applyProtection="1"/>
    <xf numFmtId="10" fontId="3" fillId="3" borderId="34" xfId="3" applyNumberFormat="1" applyFont="1" applyFill="1" applyBorder="1" applyProtection="1"/>
    <xf numFmtId="9" fontId="2" fillId="3" borderId="28" xfId="3" applyFont="1" applyFill="1" applyBorder="1" applyProtection="1"/>
    <xf numFmtId="166" fontId="3" fillId="2" borderId="6" xfId="2" applyNumberFormat="1" applyFont="1" applyFill="1" applyBorder="1" applyAlignment="1" applyProtection="1">
      <alignment horizontal="right"/>
    </xf>
    <xf numFmtId="178" fontId="22" fillId="2" borderId="8" xfId="2" applyNumberFormat="1" applyFont="1" applyFill="1" applyBorder="1" applyProtection="1"/>
    <xf numFmtId="178" fontId="22" fillId="2" borderId="10" xfId="2" applyNumberFormat="1" applyFont="1" applyFill="1" applyBorder="1" applyProtection="1"/>
    <xf numFmtId="9" fontId="2" fillId="3" borderId="31" xfId="3" applyFont="1" applyFill="1" applyBorder="1" applyProtection="1"/>
    <xf numFmtId="4" fontId="1" fillId="3" borderId="0" xfId="2" applyNumberFormat="1" applyFont="1" applyFill="1" applyBorder="1" applyAlignment="1" applyProtection="1">
      <alignment horizontal="right"/>
    </xf>
    <xf numFmtId="0" fontId="3" fillId="10" borderId="0" xfId="0" applyFont="1" applyFill="1" applyAlignment="1" applyProtection="1">
      <alignment horizontal="right"/>
      <protection locked="0"/>
    </xf>
    <xf numFmtId="3" fontId="3" fillId="10" borderId="0" xfId="1" applyNumberFormat="1" applyFont="1" applyFill="1" applyBorder="1" applyProtection="1">
      <protection locked="0"/>
    </xf>
    <xf numFmtId="3" fontId="3" fillId="10" borderId="0" xfId="0" applyNumberFormat="1" applyFont="1" applyFill="1" applyAlignment="1" applyProtection="1">
      <alignment horizontal="right"/>
      <protection locked="0"/>
    </xf>
    <xf numFmtId="14" fontId="3" fillId="10" borderId="0" xfId="0" applyNumberFormat="1" applyFont="1" applyFill="1" applyProtection="1">
      <protection locked="0"/>
    </xf>
    <xf numFmtId="10" fontId="3" fillId="10" borderId="0" xfId="0" applyNumberFormat="1" applyFont="1" applyFill="1" applyProtection="1">
      <protection locked="0"/>
    </xf>
    <xf numFmtId="170" fontId="3" fillId="10" borderId="0" xfId="1" applyNumberFormat="1" applyFont="1" applyFill="1" applyBorder="1" applyProtection="1">
      <protection locked="0"/>
    </xf>
    <xf numFmtId="10" fontId="3" fillId="10" borderId="11" xfId="3" applyNumberFormat="1" applyFont="1" applyFill="1" applyBorder="1" applyProtection="1">
      <protection locked="0"/>
    </xf>
    <xf numFmtId="0" fontId="3" fillId="0" borderId="0" xfId="0" applyFont="1" applyFill="1" applyAlignment="1" applyProtection="1">
      <alignment horizontal="right"/>
      <protection locked="0"/>
    </xf>
    <xf numFmtId="0" fontId="3" fillId="0" borderId="11" xfId="3" applyNumberFormat="1" applyFont="1" applyFill="1" applyBorder="1" applyProtection="1">
      <protection locked="0"/>
    </xf>
    <xf numFmtId="0" fontId="3" fillId="10" borderId="0" xfId="3" applyNumberFormat="1" applyFont="1" applyFill="1" applyBorder="1" applyAlignment="1" applyProtection="1">
      <alignment horizontal="right"/>
      <protection locked="0"/>
    </xf>
    <xf numFmtId="0" fontId="0" fillId="2" borderId="0" xfId="0" applyFill="1" applyProtection="1"/>
    <xf numFmtId="4" fontId="0" fillId="2" borderId="0" xfId="0" applyNumberFormat="1" applyFill="1" applyProtection="1"/>
    <xf numFmtId="0" fontId="0" fillId="2" borderId="0" xfId="0" applyFill="1" applyAlignment="1" applyProtection="1">
      <alignment horizontal="center"/>
    </xf>
    <xf numFmtId="4" fontId="22" fillId="2" borderId="0" xfId="0" applyNumberFormat="1" applyFont="1" applyFill="1" applyAlignment="1" applyProtection="1">
      <alignment horizontal="center"/>
    </xf>
    <xf numFmtId="2" fontId="22" fillId="2" borderId="0" xfId="0" applyNumberFormat="1" applyFont="1" applyFill="1" applyAlignment="1" applyProtection="1">
      <alignment horizontal="center"/>
    </xf>
    <xf numFmtId="4" fontId="0" fillId="2" borderId="0" xfId="0" applyNumberFormat="1" applyFill="1" applyAlignment="1" applyProtection="1">
      <alignment horizontal="center"/>
    </xf>
    <xf numFmtId="0" fontId="3" fillId="2" borderId="0" xfId="0" applyFont="1" applyFill="1" applyAlignment="1" applyProtection="1">
      <alignment horizontal="center"/>
    </xf>
    <xf numFmtId="180" fontId="0" fillId="2" borderId="0" xfId="0" applyNumberFormat="1" applyFill="1" applyProtection="1"/>
    <xf numFmtId="180" fontId="22" fillId="2" borderId="0" xfId="0" applyNumberFormat="1" applyFont="1" applyFill="1" applyAlignment="1" applyProtection="1">
      <alignment horizontal="center"/>
    </xf>
    <xf numFmtId="165" fontId="22" fillId="2" borderId="0" xfId="0" applyNumberFormat="1" applyFont="1" applyFill="1" applyAlignment="1" applyProtection="1">
      <alignment horizontal="center"/>
    </xf>
    <xf numFmtId="0" fontId="25" fillId="2" borderId="0" xfId="0" applyFont="1" applyFill="1" applyProtection="1"/>
    <xf numFmtId="0" fontId="0" fillId="2" borderId="16" xfId="0" applyFill="1" applyBorder="1" applyProtection="1"/>
    <xf numFmtId="0" fontId="0" fillId="2" borderId="5" xfId="0" applyFill="1" applyBorder="1" applyProtection="1"/>
    <xf numFmtId="0" fontId="0" fillId="2" borderId="6" xfId="0" applyFill="1" applyBorder="1" applyProtection="1"/>
    <xf numFmtId="0" fontId="0" fillId="2" borderId="27" xfId="0" applyFill="1" applyBorder="1" applyAlignment="1" applyProtection="1">
      <alignment horizontal="right"/>
    </xf>
    <xf numFmtId="9" fontId="22" fillId="2" borderId="0" xfId="3" applyFont="1" applyFill="1" applyBorder="1" applyProtection="1"/>
    <xf numFmtId="0" fontId="0" fillId="2" borderId="8" xfId="0" applyFill="1" applyBorder="1" applyProtection="1"/>
    <xf numFmtId="0" fontId="0" fillId="2" borderId="27" xfId="0" applyFill="1" applyBorder="1" applyProtection="1"/>
    <xf numFmtId="9" fontId="24" fillId="2" borderId="0" xfId="0" applyNumberFormat="1" applyFont="1" applyFill="1" applyProtection="1"/>
    <xf numFmtId="9" fontId="24" fillId="2" borderId="0" xfId="3" applyFont="1" applyFill="1" applyBorder="1" applyProtection="1"/>
    <xf numFmtId="9" fontId="24" fillId="2" borderId="8" xfId="3" applyFont="1" applyFill="1" applyBorder="1" applyProtection="1"/>
    <xf numFmtId="0" fontId="0" fillId="2" borderId="25" xfId="0" applyFill="1" applyBorder="1" applyProtection="1"/>
    <xf numFmtId="9" fontId="22" fillId="2" borderId="8" xfId="3" applyFont="1" applyFill="1" applyBorder="1" applyProtection="1"/>
    <xf numFmtId="0" fontId="3" fillId="2" borderId="25" xfId="0" applyFont="1" applyFill="1" applyBorder="1" applyAlignment="1" applyProtection="1">
      <alignment horizontal="center"/>
    </xf>
    <xf numFmtId="0" fontId="21" fillId="9" borderId="27" xfId="0" applyFont="1" applyFill="1" applyBorder="1" applyProtection="1"/>
    <xf numFmtId="0" fontId="3" fillId="2" borderId="27" xfId="0" applyFont="1" applyFill="1" applyBorder="1" applyAlignment="1" applyProtection="1">
      <alignment horizontal="center"/>
    </xf>
    <xf numFmtId="0" fontId="3" fillId="2" borderId="26" xfId="0" applyFont="1" applyFill="1" applyBorder="1" applyAlignment="1" applyProtection="1">
      <alignment horizontal="center"/>
    </xf>
    <xf numFmtId="0" fontId="21" fillId="9" borderId="26" xfId="0" applyFont="1" applyFill="1" applyBorder="1" applyProtection="1"/>
    <xf numFmtId="0" fontId="0" fillId="2" borderId="26" xfId="0" applyFill="1" applyBorder="1" applyProtection="1"/>
    <xf numFmtId="9" fontId="22" fillId="2" borderId="11" xfId="3" applyFont="1" applyFill="1" applyBorder="1" applyProtection="1"/>
    <xf numFmtId="9" fontId="22" fillId="2" borderId="10" xfId="3" applyFont="1" applyFill="1" applyBorder="1" applyProtection="1"/>
    <xf numFmtId="0" fontId="3" fillId="2" borderId="1" xfId="0" applyFont="1" applyFill="1" applyBorder="1" applyAlignment="1" applyProtection="1">
      <alignment horizontal="center"/>
    </xf>
    <xf numFmtId="0" fontId="3" fillId="2" borderId="2" xfId="0" applyFont="1" applyFill="1" applyBorder="1" applyAlignment="1" applyProtection="1">
      <alignment horizontal="center"/>
    </xf>
    <xf numFmtId="164" fontId="3" fillId="2" borderId="3" xfId="0" applyNumberFormat="1" applyFont="1" applyFill="1" applyBorder="1" applyAlignment="1" applyProtection="1">
      <alignment horizontal="center"/>
    </xf>
    <xf numFmtId="0" fontId="3" fillId="2" borderId="0" xfId="0" applyFont="1" applyFill="1" applyProtection="1"/>
    <xf numFmtId="0" fontId="3" fillId="2" borderId="0" xfId="0" applyFont="1" applyFill="1" applyAlignment="1" applyProtection="1">
      <alignment vertical="center"/>
    </xf>
    <xf numFmtId="0" fontId="3" fillId="2" borderId="4" xfId="0" applyFont="1" applyFill="1" applyBorder="1" applyProtection="1"/>
    <xf numFmtId="165" fontId="3" fillId="2" borderId="5" xfId="0" applyNumberFormat="1" applyFont="1" applyFill="1" applyBorder="1" applyAlignment="1" applyProtection="1">
      <alignment horizontal="right"/>
    </xf>
    <xf numFmtId="0" fontId="3" fillId="2" borderId="1" xfId="0" applyFont="1" applyFill="1" applyBorder="1" applyAlignment="1" applyProtection="1">
      <alignment horizontal="right"/>
    </xf>
    <xf numFmtId="0" fontId="3" fillId="2" borderId="3" xfId="0" applyFont="1" applyFill="1" applyBorder="1" applyProtection="1"/>
    <xf numFmtId="0" fontId="3" fillId="2" borderId="6" xfId="0" applyFont="1" applyFill="1" applyBorder="1" applyAlignment="1" applyProtection="1">
      <alignment horizontal="center"/>
    </xf>
    <xf numFmtId="0" fontId="3" fillId="2" borderId="4" xfId="0" applyFont="1" applyFill="1" applyBorder="1" applyAlignment="1" applyProtection="1">
      <alignment horizontal="center"/>
    </xf>
    <xf numFmtId="0" fontId="3" fillId="2" borderId="16" xfId="0" applyFont="1" applyFill="1" applyBorder="1" applyProtection="1"/>
    <xf numFmtId="0" fontId="3" fillId="2" borderId="0" xfId="0" applyFont="1" applyFill="1" applyAlignment="1" applyProtection="1">
      <alignment horizontal="left" vertical="center"/>
    </xf>
    <xf numFmtId="164" fontId="22" fillId="2" borderId="3" xfId="0" applyNumberFormat="1" applyFont="1" applyFill="1" applyBorder="1" applyAlignment="1" applyProtection="1">
      <alignment horizontal="center"/>
    </xf>
    <xf numFmtId="0" fontId="3" fillId="2" borderId="7" xfId="0" applyFont="1" applyFill="1" applyBorder="1" applyProtection="1"/>
    <xf numFmtId="165" fontId="22" fillId="2" borderId="0" xfId="0" applyNumberFormat="1" applyFont="1" applyFill="1" applyProtection="1"/>
    <xf numFmtId="178" fontId="22" fillId="2" borderId="0" xfId="0" applyNumberFormat="1" applyFont="1" applyFill="1" applyProtection="1"/>
    <xf numFmtId="0" fontId="3" fillId="2" borderId="8" xfId="0" applyFont="1" applyFill="1" applyBorder="1" applyAlignment="1" applyProtection="1">
      <alignment horizontal="center"/>
    </xf>
    <xf numFmtId="0" fontId="3" fillId="2" borderId="7" xfId="0" applyFont="1" applyFill="1" applyBorder="1" applyAlignment="1" applyProtection="1">
      <alignment horizontal="center"/>
    </xf>
    <xf numFmtId="0" fontId="3" fillId="2" borderId="27" xfId="0" applyFont="1" applyFill="1" applyBorder="1" applyProtection="1"/>
    <xf numFmtId="0" fontId="3" fillId="2" borderId="0" xfId="0" applyFont="1" applyFill="1" applyAlignment="1" applyProtection="1">
      <alignment horizontal="right" vertical="center"/>
    </xf>
    <xf numFmtId="164" fontId="22" fillId="2" borderId="8" xfId="0" applyNumberFormat="1" applyFont="1" applyFill="1" applyBorder="1" applyAlignment="1" applyProtection="1">
      <alignment horizontal="center"/>
    </xf>
    <xf numFmtId="181" fontId="22" fillId="2" borderId="1" xfId="2" applyNumberFormat="1" applyFont="1" applyFill="1" applyBorder="1" applyAlignment="1" applyProtection="1">
      <alignment horizontal="center" vertical="center"/>
    </xf>
    <xf numFmtId="9" fontId="22" fillId="2" borderId="2" xfId="3" applyFont="1" applyFill="1" applyBorder="1" applyAlignment="1" applyProtection="1">
      <alignment horizontal="center" vertical="center"/>
    </xf>
    <xf numFmtId="181" fontId="3" fillId="2" borderId="25" xfId="2" applyNumberFormat="1" applyFont="1" applyFill="1" applyBorder="1" applyAlignment="1" applyProtection="1">
      <alignment horizontal="center" vertical="center"/>
    </xf>
    <xf numFmtId="0" fontId="3" fillId="2" borderId="7" xfId="0" applyFont="1" applyFill="1" applyBorder="1" applyAlignment="1" applyProtection="1">
      <alignment horizontal="right"/>
    </xf>
    <xf numFmtId="0" fontId="3" fillId="2" borderId="8" xfId="0" applyFont="1" applyFill="1" applyBorder="1" applyProtection="1"/>
    <xf numFmtId="0" fontId="3" fillId="2" borderId="26" xfId="0" applyFont="1" applyFill="1" applyBorder="1" applyProtection="1"/>
    <xf numFmtId="0" fontId="3" fillId="2" borderId="0" xfId="0" applyFont="1" applyFill="1" applyAlignment="1" applyProtection="1">
      <alignment horizontal="center" vertical="center"/>
    </xf>
    <xf numFmtId="0" fontId="23" fillId="2" borderId="0" xfId="9" applyFont="1" applyFill="1" applyBorder="1" applyAlignment="1" applyProtection="1">
      <alignment horizontal="right" vertical="center"/>
    </xf>
    <xf numFmtId="181" fontId="22" fillId="2" borderId="7" xfId="2" applyNumberFormat="1" applyFont="1" applyFill="1" applyBorder="1" applyAlignment="1" applyProtection="1">
      <alignment horizontal="center" vertical="center"/>
    </xf>
    <xf numFmtId="9" fontId="22" fillId="2" borderId="0" xfId="3" applyFont="1" applyFill="1" applyBorder="1" applyAlignment="1" applyProtection="1">
      <alignment horizontal="center" vertical="center"/>
    </xf>
    <xf numFmtId="181" fontId="3" fillId="2" borderId="27" xfId="2" applyNumberFormat="1" applyFont="1" applyFill="1" applyBorder="1" applyAlignment="1" applyProtection="1">
      <alignment horizontal="center" vertical="center"/>
    </xf>
    <xf numFmtId="0" fontId="3" fillId="2" borderId="1" xfId="0" applyFont="1" applyFill="1" applyBorder="1" applyAlignment="1" applyProtection="1">
      <alignment horizontal="center" vertical="center"/>
    </xf>
    <xf numFmtId="2" fontId="3" fillId="2" borderId="1" xfId="3" applyNumberFormat="1" applyFont="1" applyFill="1" applyBorder="1" applyAlignment="1" applyProtection="1">
      <alignment vertical="center"/>
    </xf>
    <xf numFmtId="2" fontId="3" fillId="2" borderId="2" xfId="3" applyNumberFormat="1" applyFont="1" applyFill="1" applyBorder="1" applyAlignment="1" applyProtection="1">
      <alignment vertical="center"/>
    </xf>
    <xf numFmtId="2" fontId="3" fillId="2" borderId="3" xfId="3" applyNumberFormat="1" applyFont="1" applyFill="1" applyBorder="1" applyAlignment="1" applyProtection="1">
      <alignment vertical="center"/>
    </xf>
    <xf numFmtId="2" fontId="3" fillId="2" borderId="0" xfId="3" applyNumberFormat="1" applyFont="1" applyFill="1" applyBorder="1" applyAlignment="1" applyProtection="1">
      <alignment vertical="center"/>
    </xf>
    <xf numFmtId="0" fontId="3" fillId="2" borderId="7" xfId="0" applyFont="1" applyFill="1" applyBorder="1" applyAlignment="1" applyProtection="1">
      <alignment horizontal="center" vertical="center"/>
    </xf>
    <xf numFmtId="2" fontId="3" fillId="2" borderId="7" xfId="3" applyNumberFormat="1" applyFont="1" applyFill="1" applyBorder="1" applyAlignment="1" applyProtection="1">
      <alignment vertical="center"/>
    </xf>
    <xf numFmtId="2" fontId="3" fillId="2" borderId="8" xfId="3" applyNumberFormat="1" applyFont="1" applyFill="1" applyBorder="1" applyAlignment="1" applyProtection="1">
      <alignment vertical="center"/>
    </xf>
    <xf numFmtId="2" fontId="22" fillId="2" borderId="7" xfId="3" applyNumberFormat="1" applyFont="1" applyFill="1" applyBorder="1" applyAlignment="1" applyProtection="1">
      <alignment vertical="center"/>
    </xf>
    <xf numFmtId="2" fontId="22" fillId="2" borderId="0" xfId="3" applyNumberFormat="1" applyFont="1" applyFill="1" applyBorder="1" applyAlignment="1" applyProtection="1">
      <alignment vertical="center"/>
    </xf>
    <xf numFmtId="2" fontId="22" fillId="2" borderId="8" xfId="3" applyNumberFormat="1" applyFont="1" applyFill="1" applyBorder="1" applyAlignment="1" applyProtection="1">
      <alignment vertical="center"/>
    </xf>
    <xf numFmtId="0" fontId="3" fillId="2" borderId="9" xfId="0" applyFont="1" applyFill="1" applyBorder="1" applyAlignment="1" applyProtection="1">
      <alignment horizontal="right"/>
    </xf>
    <xf numFmtId="0" fontId="3" fillId="2" borderId="11" xfId="0" applyFont="1" applyFill="1" applyBorder="1" applyAlignment="1" applyProtection="1">
      <alignment horizontal="center"/>
    </xf>
    <xf numFmtId="0" fontId="3" fillId="2" borderId="10" xfId="0" applyFont="1" applyFill="1" applyBorder="1" applyProtection="1"/>
    <xf numFmtId="181" fontId="22" fillId="2" borderId="9" xfId="2" applyNumberFormat="1" applyFont="1" applyFill="1" applyBorder="1" applyAlignment="1" applyProtection="1">
      <alignment horizontal="center" vertical="center"/>
    </xf>
    <xf numFmtId="9" fontId="22" fillId="2" borderId="11" xfId="3" applyFont="1" applyFill="1" applyBorder="1" applyAlignment="1" applyProtection="1">
      <alignment horizontal="center" vertical="center"/>
    </xf>
    <xf numFmtId="181" fontId="3" fillId="2" borderId="26" xfId="2" applyNumberFormat="1" applyFont="1" applyFill="1" applyBorder="1" applyAlignment="1" applyProtection="1">
      <alignment horizontal="center" vertical="center"/>
    </xf>
    <xf numFmtId="8" fontId="3" fillId="2" borderId="0" xfId="0" applyNumberFormat="1" applyFont="1" applyFill="1" applyProtection="1"/>
    <xf numFmtId="0" fontId="3" fillId="2" borderId="9" xfId="0" applyFont="1" applyFill="1" applyBorder="1" applyProtection="1"/>
    <xf numFmtId="165" fontId="22" fillId="2" borderId="11" xfId="0" applyNumberFormat="1" applyFont="1" applyFill="1" applyBorder="1" applyProtection="1"/>
    <xf numFmtId="178" fontId="22" fillId="2" borderId="11" xfId="0" applyNumberFormat="1" applyFont="1" applyFill="1" applyBorder="1" applyProtection="1"/>
    <xf numFmtId="0" fontId="3" fillId="2" borderId="9" xfId="0" applyFont="1" applyFill="1" applyBorder="1" applyAlignment="1" applyProtection="1">
      <alignment horizontal="center"/>
    </xf>
    <xf numFmtId="164" fontId="22" fillId="2" borderId="10" xfId="0" applyNumberFormat="1" applyFont="1" applyFill="1" applyBorder="1" applyAlignment="1" applyProtection="1">
      <alignment horizontal="center"/>
    </xf>
    <xf numFmtId="0" fontId="4" fillId="2" borderId="0" xfId="0" applyFont="1" applyFill="1" applyProtection="1"/>
    <xf numFmtId="165" fontId="3" fillId="2" borderId="0" xfId="0" applyNumberFormat="1" applyFont="1" applyFill="1" applyProtection="1"/>
    <xf numFmtId="0" fontId="3" fillId="2" borderId="10" xfId="0" applyFont="1" applyFill="1" applyBorder="1" applyAlignment="1" applyProtection="1">
      <alignment horizontal="center"/>
    </xf>
    <xf numFmtId="0" fontId="22" fillId="2" borderId="25" xfId="0" applyFont="1" applyFill="1" applyBorder="1" applyAlignment="1" applyProtection="1">
      <alignment horizontal="center" vertical="center"/>
    </xf>
    <xf numFmtId="0" fontId="22" fillId="2" borderId="3" xfId="0" applyFont="1" applyFill="1" applyBorder="1" applyAlignment="1" applyProtection="1">
      <alignment horizontal="center" vertical="center"/>
    </xf>
    <xf numFmtId="5" fontId="22" fillId="2" borderId="25" xfId="0" applyNumberFormat="1" applyFont="1" applyFill="1" applyBorder="1" applyAlignment="1" applyProtection="1">
      <alignment horizontal="center"/>
    </xf>
    <xf numFmtId="0" fontId="22" fillId="2" borderId="27" xfId="0" applyFont="1" applyFill="1" applyBorder="1" applyAlignment="1" applyProtection="1">
      <alignment horizontal="center" vertical="center"/>
    </xf>
    <xf numFmtId="0" fontId="22" fillId="2" borderId="8" xfId="0" applyFont="1" applyFill="1" applyBorder="1" applyAlignment="1" applyProtection="1">
      <alignment horizontal="center" vertical="center"/>
    </xf>
    <xf numFmtId="5" fontId="22" fillId="2" borderId="27" xfId="0" applyNumberFormat="1" applyFont="1" applyFill="1" applyBorder="1" applyAlignment="1" applyProtection="1">
      <alignment horizontal="center"/>
    </xf>
    <xf numFmtId="0" fontId="22" fillId="2" borderId="26" xfId="0" applyFont="1" applyFill="1" applyBorder="1" applyAlignment="1" applyProtection="1">
      <alignment horizontal="center" vertical="center"/>
    </xf>
    <xf numFmtId="0" fontId="22" fillId="2" borderId="10" xfId="0" applyFont="1" applyFill="1" applyBorder="1" applyAlignment="1" applyProtection="1">
      <alignment horizontal="center" vertical="center"/>
    </xf>
    <xf numFmtId="5" fontId="22" fillId="2" borderId="26" xfId="0" applyNumberFormat="1" applyFont="1" applyFill="1" applyBorder="1" applyAlignment="1" applyProtection="1">
      <alignment horizontal="center"/>
    </xf>
    <xf numFmtId="7" fontId="0" fillId="2" borderId="0" xfId="0" applyNumberFormat="1" applyFill="1" applyAlignment="1" applyProtection="1">
      <alignment horizontal="center" vertical="center"/>
    </xf>
    <xf numFmtId="9" fontId="3" fillId="2" borderId="0" xfId="0" applyNumberFormat="1" applyFont="1" applyFill="1" applyProtection="1"/>
    <xf numFmtId="183" fontId="22" fillId="2" borderId="16" xfId="0" applyNumberFormat="1" applyFont="1" applyFill="1" applyBorder="1" applyAlignment="1" applyProtection="1">
      <alignment horizontal="center" vertical="center"/>
    </xf>
    <xf numFmtId="9" fontId="9" fillId="2" borderId="0" xfId="0" applyNumberFormat="1" applyFont="1" applyFill="1" applyProtection="1"/>
    <xf numFmtId="10" fontId="22" fillId="2" borderId="16" xfId="0" applyNumberFormat="1" applyFont="1" applyFill="1" applyBorder="1" applyAlignment="1" applyProtection="1">
      <alignment horizontal="center" vertical="center"/>
    </xf>
    <xf numFmtId="0" fontId="3" fillId="2" borderId="9" xfId="0" applyFont="1" applyFill="1" applyBorder="1" applyAlignment="1" applyProtection="1">
      <alignment horizontal="center" vertical="center"/>
    </xf>
    <xf numFmtId="2" fontId="22" fillId="2" borderId="9" xfId="3" applyNumberFormat="1" applyFont="1" applyFill="1" applyBorder="1" applyAlignment="1" applyProtection="1">
      <alignment vertical="center"/>
    </xf>
    <xf numFmtId="2" fontId="22" fillId="2" borderId="11" xfId="3" applyNumberFormat="1" applyFont="1" applyFill="1" applyBorder="1" applyAlignment="1" applyProtection="1">
      <alignment vertical="center"/>
    </xf>
    <xf numFmtId="2" fontId="22" fillId="2" borderId="10" xfId="3" applyNumberFormat="1" applyFont="1" applyFill="1" applyBorder="1" applyAlignment="1" applyProtection="1">
      <alignment vertical="center"/>
    </xf>
    <xf numFmtId="10" fontId="3" fillId="2" borderId="0" xfId="3" applyNumberFormat="1" applyFont="1" applyFill="1" applyProtection="1"/>
    <xf numFmtId="164" fontId="24" fillId="2" borderId="3" xfId="0" quotePrefix="1" applyNumberFormat="1" applyFont="1" applyFill="1" applyBorder="1" applyAlignment="1" applyProtection="1">
      <alignment horizontal="center"/>
    </xf>
    <xf numFmtId="164" fontId="24" fillId="2" borderId="8" xfId="0" applyNumberFormat="1" applyFont="1" applyFill="1" applyBorder="1" applyAlignment="1" applyProtection="1">
      <alignment horizontal="center"/>
    </xf>
    <xf numFmtId="164" fontId="24" fillId="2" borderId="10" xfId="0" applyNumberFormat="1" applyFont="1" applyFill="1" applyBorder="1" applyAlignment="1" applyProtection="1">
      <alignment horizontal="center"/>
    </xf>
    <xf numFmtId="164" fontId="22" fillId="2" borderId="2" xfId="0" applyNumberFormat="1" applyFont="1" applyFill="1" applyBorder="1" applyAlignment="1" applyProtection="1">
      <alignment horizontal="center"/>
    </xf>
    <xf numFmtId="0" fontId="3" fillId="2" borderId="0" xfId="0" applyFont="1" applyFill="1" applyBorder="1" applyProtection="1"/>
    <xf numFmtId="165" fontId="3" fillId="2" borderId="0" xfId="0" applyNumberFormat="1" applyFont="1" applyFill="1" applyBorder="1" applyProtection="1"/>
    <xf numFmtId="0" fontId="3" fillId="2" borderId="0" xfId="0" applyFont="1" applyFill="1" applyBorder="1" applyAlignment="1" applyProtection="1">
      <alignment horizontal="center"/>
    </xf>
    <xf numFmtId="164" fontId="22" fillId="2" borderId="0" xfId="0" applyNumberFormat="1" applyFont="1" applyFill="1" applyBorder="1" applyAlignment="1" applyProtection="1">
      <alignment horizontal="center"/>
    </xf>
    <xf numFmtId="164" fontId="12" fillId="2" borderId="0" xfId="0" applyNumberFormat="1" applyFont="1" applyFill="1" applyBorder="1" applyAlignment="1" applyProtection="1">
      <alignment horizontal="center"/>
    </xf>
    <xf numFmtId="164" fontId="3" fillId="2" borderId="0" xfId="0" applyNumberFormat="1" applyFont="1" applyFill="1" applyBorder="1" applyProtection="1"/>
    <xf numFmtId="164" fontId="3" fillId="2" borderId="0" xfId="0" applyNumberFormat="1" applyFont="1" applyFill="1" applyProtection="1"/>
    <xf numFmtId="0" fontId="0" fillId="2" borderId="22" xfId="0" applyFill="1" applyBorder="1" applyProtection="1"/>
    <xf numFmtId="0" fontId="0" fillId="2" borderId="17" xfId="0" applyFill="1" applyBorder="1" applyProtection="1"/>
    <xf numFmtId="0" fontId="0" fillId="2" borderId="18" xfId="0" applyFill="1" applyBorder="1" applyProtection="1"/>
    <xf numFmtId="0" fontId="9" fillId="2" borderId="0" xfId="0" applyFont="1" applyFill="1" applyProtection="1"/>
    <xf numFmtId="0" fontId="8" fillId="2" borderId="25" xfId="0" applyFont="1" applyFill="1" applyBorder="1" applyProtection="1"/>
    <xf numFmtId="0" fontId="8" fillId="2" borderId="27" xfId="0" applyFont="1" applyFill="1" applyBorder="1" applyProtection="1"/>
    <xf numFmtId="0" fontId="0" fillId="2" borderId="23" xfId="0" applyFill="1" applyBorder="1" applyProtection="1"/>
    <xf numFmtId="0" fontId="0" fillId="2" borderId="12" xfId="0" applyFill="1" applyBorder="1" applyProtection="1"/>
    <xf numFmtId="0" fontId="0" fillId="2" borderId="14" xfId="0" applyFill="1" applyBorder="1" applyProtection="1"/>
    <xf numFmtId="0" fontId="2" fillId="3" borderId="16" xfId="0" applyFont="1" applyFill="1" applyBorder="1" applyProtection="1"/>
    <xf numFmtId="0" fontId="2" fillId="2" borderId="27" xfId="0" applyFont="1" applyFill="1" applyBorder="1" applyProtection="1"/>
    <xf numFmtId="164" fontId="0" fillId="2" borderId="23" xfId="0" applyNumberFormat="1" applyFill="1" applyBorder="1" applyProtection="1"/>
    <xf numFmtId="164" fontId="0" fillId="2" borderId="12" xfId="0" applyNumberFormat="1" applyFill="1" applyBorder="1" applyProtection="1"/>
    <xf numFmtId="164" fontId="0" fillId="2" borderId="14" xfId="0" applyNumberFormat="1" applyFill="1" applyBorder="1" applyProtection="1"/>
    <xf numFmtId="167" fontId="4" fillId="2" borderId="0" xfId="0" applyNumberFormat="1" applyFont="1" applyFill="1" applyAlignment="1" applyProtection="1">
      <alignment horizontal="left"/>
    </xf>
    <xf numFmtId="169" fontId="4" fillId="2" borderId="0" xfId="0" applyNumberFormat="1" applyFont="1" applyFill="1" applyProtection="1"/>
    <xf numFmtId="0" fontId="4" fillId="2" borderId="0" xfId="3" applyNumberFormat="1" applyFont="1" applyFill="1" applyAlignment="1" applyProtection="1"/>
    <xf numFmtId="0" fontId="3" fillId="2" borderId="0" xfId="3" applyNumberFormat="1" applyFont="1" applyFill="1" applyProtection="1"/>
    <xf numFmtId="0" fontId="4" fillId="2" borderId="0" xfId="0" applyFont="1" applyFill="1" applyAlignment="1" applyProtection="1">
      <alignment horizontal="right"/>
    </xf>
    <xf numFmtId="167" fontId="4" fillId="2" borderId="0" xfId="0" quotePrefix="1" applyNumberFormat="1" applyFont="1" applyFill="1" applyAlignment="1" applyProtection="1">
      <alignment horizontal="left"/>
    </xf>
    <xf numFmtId="44" fontId="4" fillId="2" borderId="0" xfId="0" applyNumberFormat="1" applyFont="1" applyFill="1" applyProtection="1"/>
    <xf numFmtId="169" fontId="3" fillId="2" borderId="0" xfId="3" applyNumberFormat="1" applyFont="1" applyFill="1" applyProtection="1"/>
    <xf numFmtId="169" fontId="3" fillId="2" borderId="0" xfId="0" applyNumberFormat="1" applyFont="1" applyFill="1" applyProtection="1"/>
    <xf numFmtId="44" fontId="3" fillId="2" borderId="0" xfId="3" applyNumberFormat="1" applyFont="1" applyFill="1" applyProtection="1"/>
    <xf numFmtId="9" fontId="4" fillId="2" borderId="0" xfId="3" applyFont="1" applyFill="1" applyProtection="1"/>
    <xf numFmtId="43" fontId="3" fillId="2" borderId="0" xfId="0" applyNumberFormat="1" applyFont="1" applyFill="1" applyProtection="1"/>
    <xf numFmtId="167" fontId="3" fillId="2" borderId="0" xfId="0" applyNumberFormat="1" applyFont="1" applyFill="1" applyProtection="1"/>
    <xf numFmtId="176" fontId="3" fillId="2" borderId="0" xfId="0" applyNumberFormat="1" applyFont="1" applyFill="1" applyProtection="1"/>
    <xf numFmtId="2" fontId="3" fillId="2" borderId="0" xfId="0" applyNumberFormat="1" applyFont="1" applyFill="1" applyProtection="1"/>
    <xf numFmtId="10" fontId="3" fillId="2" borderId="0" xfId="0" applyNumberFormat="1" applyFont="1" applyFill="1" applyProtection="1"/>
    <xf numFmtId="173" fontId="3" fillId="2" borderId="0" xfId="0" applyNumberFormat="1" applyFont="1" applyFill="1" applyProtection="1"/>
    <xf numFmtId="184" fontId="3" fillId="2" borderId="0" xfId="0" applyNumberFormat="1" applyFont="1" applyFill="1" applyProtection="1"/>
    <xf numFmtId="182" fontId="3" fillId="2" borderId="0" xfId="0" applyNumberFormat="1" applyFont="1" applyFill="1" applyProtection="1"/>
    <xf numFmtId="168" fontId="3" fillId="2" borderId="0" xfId="0" applyNumberFormat="1" applyFont="1" applyFill="1" applyProtection="1"/>
    <xf numFmtId="0" fontId="24" fillId="2" borderId="0" xfId="0" applyFont="1" applyFill="1" applyAlignment="1" applyProtection="1">
      <alignment horizontal="left" indent="2"/>
    </xf>
    <xf numFmtId="5" fontId="3" fillId="2" borderId="0" xfId="0" applyNumberFormat="1" applyFont="1" applyFill="1" applyProtection="1"/>
    <xf numFmtId="0" fontId="3" fillId="2" borderId="0" xfId="0" applyFont="1" applyFill="1" applyAlignment="1" applyProtection="1">
      <alignment horizontal="left" indent="2"/>
    </xf>
    <xf numFmtId="0" fontId="3" fillId="2" borderId="0" xfId="0" applyFont="1" applyFill="1" applyAlignment="1" applyProtection="1">
      <alignment horizontal="left" indent="1"/>
    </xf>
    <xf numFmtId="174" fontId="3" fillId="2" borderId="0" xfId="0" applyNumberFormat="1" applyFont="1" applyFill="1" applyProtection="1"/>
    <xf numFmtId="2" fontId="3" fillId="2" borderId="0" xfId="0" applyNumberFormat="1" applyFont="1" applyFill="1" applyAlignment="1" applyProtection="1">
      <alignment horizontal="left" indent="1"/>
    </xf>
    <xf numFmtId="175" fontId="3" fillId="2" borderId="0" xfId="0" applyNumberFormat="1" applyFont="1" applyFill="1" applyProtection="1"/>
    <xf numFmtId="7" fontId="3" fillId="2" borderId="0" xfId="0" applyNumberFormat="1" applyFont="1" applyFill="1" applyProtection="1"/>
    <xf numFmtId="0" fontId="3" fillId="2" borderId="0" xfId="0" quotePrefix="1" applyFont="1" applyFill="1" applyProtection="1"/>
    <xf numFmtId="0" fontId="3" fillId="10" borderId="0" xfId="0" applyFont="1" applyFill="1" applyAlignment="1" applyProtection="1">
      <alignment horizontal="right"/>
    </xf>
    <xf numFmtId="0" fontId="6" fillId="2" borderId="0" xfId="0" applyFont="1" applyFill="1" applyAlignment="1" applyProtection="1">
      <alignment horizontal="right" vertical="center"/>
    </xf>
    <xf numFmtId="172" fontId="3" fillId="2" borderId="0" xfId="0" quotePrefix="1" applyNumberFormat="1" applyFont="1" applyFill="1" applyAlignment="1" applyProtection="1">
      <alignment horizontal="right"/>
    </xf>
    <xf numFmtId="0" fontId="3" fillId="2" borderId="0" xfId="0" applyFont="1" applyFill="1" applyAlignment="1" applyProtection="1">
      <alignment horizontal="right"/>
    </xf>
    <xf numFmtId="172" fontId="3" fillId="2" borderId="0" xfId="0" applyNumberFormat="1" applyFont="1" applyFill="1" applyAlignment="1" applyProtection="1">
      <alignment horizontal="right"/>
    </xf>
    <xf numFmtId="0" fontId="4" fillId="2" borderId="1" xfId="0" applyFont="1" applyFill="1" applyBorder="1" applyProtection="1"/>
    <xf numFmtId="0" fontId="3" fillId="2" borderId="2" xfId="0" applyFont="1" applyFill="1" applyBorder="1" applyProtection="1"/>
    <xf numFmtId="172" fontId="3" fillId="2" borderId="3" xfId="0" quotePrefix="1" applyNumberFormat="1" applyFont="1" applyFill="1" applyBorder="1" applyAlignment="1" applyProtection="1">
      <alignment horizontal="right"/>
    </xf>
    <xf numFmtId="0" fontId="3" fillId="2" borderId="7" xfId="0" applyFont="1" applyFill="1" applyBorder="1" applyAlignment="1" applyProtection="1">
      <alignment horizontal="right" vertical="center"/>
    </xf>
    <xf numFmtId="0" fontId="7" fillId="2" borderId="0" xfId="0" applyFont="1" applyFill="1" applyAlignment="1" applyProtection="1">
      <alignment horizontal="left" vertical="center" shrinkToFit="1"/>
    </xf>
    <xf numFmtId="0" fontId="24" fillId="2" borderId="8" xfId="0" applyFont="1" applyFill="1" applyBorder="1" applyProtection="1"/>
    <xf numFmtId="0" fontId="3" fillId="0" borderId="8" xfId="0" applyFont="1" applyFill="1" applyBorder="1" applyProtection="1"/>
    <xf numFmtId="0" fontId="3" fillId="2" borderId="7" xfId="0" applyFont="1" applyFill="1" applyBorder="1" applyAlignment="1" applyProtection="1">
      <alignment horizontal="right" vertical="center" wrapText="1"/>
    </xf>
    <xf numFmtId="0" fontId="3" fillId="2" borderId="9" xfId="0" applyFont="1" applyFill="1" applyBorder="1" applyAlignment="1" applyProtection="1">
      <alignment horizontal="right" vertical="center"/>
    </xf>
    <xf numFmtId="0" fontId="3" fillId="2" borderId="11" xfId="0" applyFont="1" applyFill="1" applyBorder="1" applyProtection="1"/>
    <xf numFmtId="0" fontId="4" fillId="2" borderId="1" xfId="0" applyFont="1" applyFill="1" applyBorder="1" applyAlignment="1" applyProtection="1">
      <alignment horizontal="left" vertical="center"/>
    </xf>
    <xf numFmtId="0" fontId="10" fillId="2" borderId="0" xfId="0" applyFont="1" applyFill="1" applyAlignment="1" applyProtection="1">
      <alignment horizontal="center" vertical="center"/>
    </xf>
    <xf numFmtId="0" fontId="0" fillId="2" borderId="0" xfId="0" applyFill="1" applyAlignment="1" applyProtection="1">
      <alignment vertical="center"/>
    </xf>
    <xf numFmtId="179" fontId="0" fillId="2" borderId="0" xfId="3" applyNumberFormat="1" applyFont="1" applyFill="1" applyBorder="1" applyAlignment="1" applyProtection="1">
      <alignment vertical="center"/>
    </xf>
    <xf numFmtId="10" fontId="0" fillId="2" borderId="0" xfId="0" applyNumberFormat="1" applyFill="1" applyAlignment="1" applyProtection="1">
      <alignment vertical="center"/>
    </xf>
    <xf numFmtId="0" fontId="4" fillId="2" borderId="7" xfId="0" applyFont="1" applyFill="1" applyBorder="1" applyAlignment="1" applyProtection="1">
      <alignment horizontal="left" vertical="center"/>
    </xf>
    <xf numFmtId="0" fontId="3" fillId="2" borderId="8" xfId="0" applyFont="1" applyFill="1" applyBorder="1" applyAlignment="1" applyProtection="1">
      <alignment horizontal="right"/>
    </xf>
    <xf numFmtId="9" fontId="0" fillId="2" borderId="0" xfId="0" applyNumberFormat="1" applyFill="1" applyAlignment="1" applyProtection="1">
      <alignment vertical="center"/>
    </xf>
    <xf numFmtId="0" fontId="11" fillId="2" borderId="0" xfId="0" applyFont="1" applyFill="1" applyAlignment="1" applyProtection="1">
      <alignment vertical="center"/>
    </xf>
    <xf numFmtId="179" fontId="11" fillId="2" borderId="0" xfId="3" applyNumberFormat="1" applyFont="1" applyFill="1" applyBorder="1" applyAlignment="1" applyProtection="1">
      <alignment vertical="center"/>
    </xf>
    <xf numFmtId="0" fontId="3" fillId="2" borderId="9" xfId="0" applyFont="1" applyFill="1" applyBorder="1" applyAlignment="1" applyProtection="1">
      <alignment horizontal="right" vertical="center" wrapText="1"/>
    </xf>
    <xf numFmtId="0" fontId="4" fillId="3" borderId="1" xfId="0" applyFont="1" applyFill="1" applyBorder="1" applyAlignment="1" applyProtection="1">
      <alignment horizontal="left" vertical="center"/>
    </xf>
    <xf numFmtId="0" fontId="3" fillId="3" borderId="2" xfId="0" applyFont="1" applyFill="1" applyBorder="1" applyProtection="1"/>
    <xf numFmtId="0" fontId="3" fillId="3" borderId="3" xfId="0" applyFont="1" applyFill="1" applyBorder="1" applyProtection="1"/>
    <xf numFmtId="0" fontId="3" fillId="3" borderId="7" xfId="0" applyFont="1" applyFill="1" applyBorder="1" applyAlignment="1" applyProtection="1">
      <alignment horizontal="right" vertical="center"/>
    </xf>
    <xf numFmtId="0" fontId="3" fillId="3" borderId="0" xfId="0" applyFont="1" applyFill="1" applyProtection="1"/>
    <xf numFmtId="0" fontId="3" fillId="3" borderId="8" xfId="0" applyFont="1" applyFill="1" applyBorder="1" applyProtection="1"/>
    <xf numFmtId="0" fontId="3" fillId="3" borderId="0" xfId="0" applyFont="1" applyFill="1" applyAlignment="1" applyProtection="1">
      <alignment horizontal="right"/>
    </xf>
    <xf numFmtId="2" fontId="3" fillId="3" borderId="0" xfId="0" applyNumberFormat="1" applyFont="1" applyFill="1" applyAlignment="1" applyProtection="1">
      <alignment horizontal="right"/>
    </xf>
    <xf numFmtId="10" fontId="3" fillId="3" borderId="0" xfId="0" applyNumberFormat="1" applyFont="1" applyFill="1" applyProtection="1"/>
    <xf numFmtId="0" fontId="3" fillId="3" borderId="9" xfId="0" applyFont="1" applyFill="1" applyBorder="1" applyAlignment="1" applyProtection="1">
      <alignment horizontal="right" vertical="center"/>
    </xf>
    <xf numFmtId="0" fontId="3" fillId="3" borderId="11" xfId="0" applyFont="1" applyFill="1" applyBorder="1" applyProtection="1"/>
    <xf numFmtId="0" fontId="3" fillId="3" borderId="10" xfId="0" applyFont="1" applyFill="1" applyBorder="1" applyAlignment="1" applyProtection="1">
      <alignment horizontal="center"/>
    </xf>
    <xf numFmtId="9" fontId="0" fillId="3" borderId="31" xfId="3" applyFont="1" applyFill="1" applyBorder="1" applyAlignment="1" applyProtection="1">
      <alignment horizontal="right"/>
    </xf>
    <xf numFmtId="9" fontId="3" fillId="3" borderId="0" xfId="3" applyFont="1" applyFill="1" applyProtection="1"/>
    <xf numFmtId="0" fontId="6" fillId="2" borderId="0" xfId="0" applyFont="1" applyFill="1" applyAlignment="1" applyProtection="1">
      <alignment horizontal="center" vertical="center"/>
    </xf>
    <xf numFmtId="0" fontId="4" fillId="2" borderId="7" xfId="0" applyFont="1" applyFill="1" applyBorder="1" applyAlignment="1" applyProtection="1">
      <alignment horizontal="left" vertical="center" wrapText="1"/>
    </xf>
    <xf numFmtId="0" fontId="3" fillId="2" borderId="0" xfId="0" applyFont="1" applyFill="1" applyAlignment="1" applyProtection="1">
      <alignment horizontal="left" vertical="center" wrapText="1"/>
    </xf>
    <xf numFmtId="0" fontId="3" fillId="2" borderId="8" xfId="0" applyFont="1" applyFill="1" applyBorder="1" applyAlignment="1" applyProtection="1">
      <alignment horizontal="left" vertical="center" wrapText="1"/>
    </xf>
    <xf numFmtId="0" fontId="3" fillId="2" borderId="7" xfId="0" applyFont="1" applyFill="1" applyBorder="1" applyAlignment="1" applyProtection="1">
      <alignment horizontal="left" vertical="center" wrapText="1"/>
    </xf>
    <xf numFmtId="0" fontId="3" fillId="2" borderId="9" xfId="0" applyFont="1" applyFill="1" applyBorder="1" applyAlignment="1" applyProtection="1">
      <alignment horizontal="left" vertical="center" wrapText="1"/>
    </xf>
    <xf numFmtId="0" fontId="3" fillId="2" borderId="11" xfId="0" applyFont="1" applyFill="1" applyBorder="1" applyAlignment="1" applyProtection="1">
      <alignment horizontal="left" vertical="center" wrapText="1"/>
    </xf>
    <xf numFmtId="0" fontId="3" fillId="2" borderId="10" xfId="0" applyFont="1" applyFill="1" applyBorder="1" applyAlignment="1" applyProtection="1">
      <alignment horizontal="left" vertical="center" wrapText="1"/>
    </xf>
    <xf numFmtId="9" fontId="10" fillId="2" borderId="0" xfId="0" applyNumberFormat="1" applyFont="1" applyFill="1" applyAlignment="1" applyProtection="1">
      <alignment horizontal="center" vertical="center"/>
    </xf>
    <xf numFmtId="0" fontId="4" fillId="2" borderId="0" xfId="0" applyFont="1" applyFill="1" applyAlignment="1" applyProtection="1">
      <alignment horizontal="center"/>
    </xf>
    <xf numFmtId="169" fontId="4" fillId="2" borderId="0" xfId="0" applyNumberFormat="1" applyFont="1" applyFill="1" applyAlignment="1" applyProtection="1">
      <alignment horizontal="center"/>
      <protection locked="0"/>
    </xf>
    <xf numFmtId="169" fontId="4" fillId="2" borderId="0" xfId="0" applyNumberFormat="1" applyFont="1" applyFill="1" applyAlignment="1" applyProtection="1">
      <alignment horizontal="center"/>
    </xf>
    <xf numFmtId="9" fontId="3" fillId="2" borderId="4" xfId="0" applyNumberFormat="1" applyFont="1" applyFill="1" applyBorder="1" applyAlignment="1" applyProtection="1">
      <alignment horizontal="left" vertical="center" wrapText="1"/>
    </xf>
    <xf numFmtId="9" fontId="3" fillId="2" borderId="6" xfId="0" applyNumberFormat="1" applyFont="1" applyFill="1" applyBorder="1" applyAlignment="1" applyProtection="1">
      <alignment horizontal="left" vertical="center" wrapText="1"/>
    </xf>
    <xf numFmtId="0" fontId="4" fillId="2" borderId="16" xfId="0" applyFont="1" applyFill="1" applyBorder="1" applyAlignment="1" applyProtection="1">
      <alignment horizontal="center" vertical="center" wrapText="1"/>
    </xf>
    <xf numFmtId="0" fontId="3" fillId="2" borderId="25" xfId="0" quotePrefix="1" applyFont="1" applyFill="1" applyBorder="1" applyAlignment="1" applyProtection="1">
      <alignment horizontal="center" vertical="center" wrapText="1"/>
    </xf>
    <xf numFmtId="0" fontId="3" fillId="2" borderId="26" xfId="0" applyFont="1" applyFill="1" applyBorder="1" applyAlignment="1" applyProtection="1">
      <alignment horizontal="center" vertical="center" wrapText="1"/>
    </xf>
    <xf numFmtId="0" fontId="3" fillId="2" borderId="16" xfId="0" quotePrefix="1" applyFont="1" applyFill="1" applyBorder="1" applyAlignment="1" applyProtection="1">
      <alignment horizontal="center" vertical="center" wrapText="1"/>
    </xf>
    <xf numFmtId="0" fontId="3" fillId="2" borderId="16" xfId="0" applyFont="1" applyFill="1" applyBorder="1" applyAlignment="1" applyProtection="1">
      <alignment horizontal="center" vertical="center" wrapText="1"/>
    </xf>
    <xf numFmtId="0" fontId="3" fillId="2" borderId="16" xfId="0" applyFont="1" applyFill="1" applyBorder="1" applyAlignment="1" applyProtection="1">
      <alignment horizontal="center" vertical="center"/>
    </xf>
    <xf numFmtId="0" fontId="3" fillId="2" borderId="25" xfId="0" applyFont="1" applyFill="1" applyBorder="1" applyAlignment="1" applyProtection="1">
      <alignment horizontal="center" vertical="center"/>
    </xf>
    <xf numFmtId="0" fontId="3" fillId="2" borderId="26" xfId="0" applyFont="1" applyFill="1" applyBorder="1" applyAlignment="1" applyProtection="1">
      <alignment horizontal="center" vertical="center"/>
    </xf>
  </cellXfs>
  <cellStyles count="12">
    <cellStyle name="Calculation with Different Formula" xfId="8" xr:uid="{953BDA39-23A6-E849-BFE4-8934506A6C39}"/>
    <cellStyle name="Comma" xfId="1" builtinId="3"/>
    <cellStyle name="Currency" xfId="2" builtinId="4"/>
    <cellStyle name="Dropdown Input" xfId="7" xr:uid="{9C3D9398-696E-B346-B7DE-5E3B7A5209DE}"/>
    <cellStyle name="Normal" xfId="0" builtinId="0"/>
    <cellStyle name="Normal 2" xfId="4" xr:uid="{45599247-A25C-4F55-AD92-59C64443AAA0}"/>
    <cellStyle name="Percent" xfId="3" builtinId="5"/>
    <cellStyle name="Table Header" xfId="5" xr:uid="{763F4160-A5CB-1942-AB17-D0DE9D252A28}"/>
    <cellStyle name="Table Index" xfId="10" xr:uid="{E505009C-9CF3-3C4B-A95B-9B0C29FE0E78}"/>
    <cellStyle name="Table Index 2" xfId="11" xr:uid="{15BA4827-196A-074C-B7BE-DC5B9C590D22}"/>
    <cellStyle name="Table Sub-Header" xfId="9" xr:uid="{DAD7A07C-8662-3C45-96E2-562D9AE21C7C}"/>
    <cellStyle name="Table Value" xfId="6" xr:uid="{39C1EFAB-CB2E-DD48-9BB9-43860866BC1E}"/>
  </cellStyles>
  <dxfs count="14">
    <dxf>
      <fill>
        <patternFill patternType="darkGray"/>
      </fill>
    </dxf>
    <dxf>
      <fill>
        <patternFill patternType="darkGray"/>
      </fill>
    </dxf>
    <dxf>
      <fill>
        <patternFill patternType="darkGray"/>
      </fill>
    </dxf>
    <dxf>
      <font>
        <b/>
        <i val="0"/>
        <color rgb="FFED0000"/>
      </font>
    </dxf>
    <dxf>
      <font>
        <b/>
        <i val="0"/>
        <color rgb="FFED0000"/>
      </font>
    </dxf>
    <dxf>
      <font>
        <b/>
        <i val="0"/>
        <color rgb="FFED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4" tint="0.79998168889431442"/>
        </patternFill>
      </fill>
    </dxf>
    <dxf>
      <fill>
        <patternFill patternType="darkGray">
          <fgColor auto="1"/>
        </patternFill>
      </fill>
    </dxf>
    <dxf>
      <fill>
        <patternFill patternType="darkGray">
          <fgColor auto="1"/>
        </patternFill>
      </fill>
    </dxf>
    <dxf>
      <fill>
        <patternFill patternType="darkGray">
          <fgColor auto="1"/>
        </patternFill>
      </fill>
    </dxf>
    <dxf>
      <fill>
        <patternFill patternType="darkGray">
          <fgColor auto="1"/>
        </patternFill>
      </fill>
    </dxf>
  </dxfs>
  <tableStyles count="0" defaultTableStyle="TableStyleMedium2" defaultPivotStyle="PivotStyleLight16"/>
  <colors>
    <mruColors>
      <color rgb="FFED0000"/>
      <color rgb="FF0000FF"/>
      <color rgb="FFACAEA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'Wind Capacity Factor'!$B$3</c:f>
              <c:strCache>
                <c:ptCount val="1"/>
                <c:pt idx="0">
                  <c:v>Class 1</c:v>
                </c:pt>
              </c:strCache>
            </c:strRef>
          </c:tx>
          <c:spPr>
            <a:ln w="28575" cap="rnd">
              <a:solidFill>
                <a:schemeClr val="accent1"/>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Factor'!$B$5:$B$40</c:f>
              <c:numCache>
                <c:formatCode>0%</c:formatCode>
                <c:ptCount val="36"/>
                <c:pt idx="0">
                  <c:v>0.48997880883527117</c:v>
                </c:pt>
                <c:pt idx="1">
                  <c:v>0.5115685106238268</c:v>
                </c:pt>
                <c:pt idx="2">
                  <c:v>0.473521711974146</c:v>
                </c:pt>
                <c:pt idx="3">
                  <c:v>0.47660855404916502</c:v>
                </c:pt>
                <c:pt idx="4">
                  <c:v>0.47595300000000001</c:v>
                </c:pt>
                <c:pt idx="5">
                  <c:v>0.52</c:v>
                </c:pt>
                <c:pt idx="6">
                  <c:v>0.51</c:v>
                </c:pt>
                <c:pt idx="7">
                  <c:v>0.49</c:v>
                </c:pt>
                <c:pt idx="8">
                  <c:v>0.51</c:v>
                </c:pt>
                <c:pt idx="9">
                  <c:v>0.50963000000000003</c:v>
                </c:pt>
                <c:pt idx="10">
                  <c:v>0.51345666666666601</c:v>
                </c:pt>
                <c:pt idx="11">
                  <c:v>0.51728333333333298</c:v>
                </c:pt>
                <c:pt idx="12">
                  <c:v>0.52110999999999996</c:v>
                </c:pt>
                <c:pt idx="13">
                  <c:v>0.52493666666666605</c:v>
                </c:pt>
                <c:pt idx="14">
                  <c:v>0.52876333333333303</c:v>
                </c:pt>
                <c:pt idx="15">
                  <c:v>0.53259000000000001</c:v>
                </c:pt>
                <c:pt idx="16">
                  <c:v>0.53302050000000001</c:v>
                </c:pt>
                <c:pt idx="17">
                  <c:v>0.53345100000000001</c:v>
                </c:pt>
                <c:pt idx="18">
                  <c:v>0.53388150000000001</c:v>
                </c:pt>
                <c:pt idx="19">
                  <c:v>0.53431200000000001</c:v>
                </c:pt>
                <c:pt idx="20">
                  <c:v>0.53474250000000001</c:v>
                </c:pt>
                <c:pt idx="21">
                  <c:v>0.53517300000000001</c:v>
                </c:pt>
                <c:pt idx="22">
                  <c:v>0.53560350000000001</c:v>
                </c:pt>
                <c:pt idx="23">
                  <c:v>0.53603399999999901</c:v>
                </c:pt>
                <c:pt idx="24">
                  <c:v>0.53646450000000001</c:v>
                </c:pt>
                <c:pt idx="25">
                  <c:v>0.53689500000000001</c:v>
                </c:pt>
                <c:pt idx="26">
                  <c:v>0.53732550000000001</c:v>
                </c:pt>
                <c:pt idx="27">
                  <c:v>0.53775600000000001</c:v>
                </c:pt>
                <c:pt idx="28">
                  <c:v>0.53818650000000001</c:v>
                </c:pt>
                <c:pt idx="29">
                  <c:v>0.53861700000000001</c:v>
                </c:pt>
                <c:pt idx="30">
                  <c:v>0.53904750000000001</c:v>
                </c:pt>
                <c:pt idx="31">
                  <c:v>0.53947800000000001</c:v>
                </c:pt>
                <c:pt idx="32">
                  <c:v>0.53990850000000001</c:v>
                </c:pt>
                <c:pt idx="33">
                  <c:v>0.54033900000000001</c:v>
                </c:pt>
                <c:pt idx="34">
                  <c:v>0.54076950000000001</c:v>
                </c:pt>
                <c:pt idx="35">
                  <c:v>0.54120000000000001</c:v>
                </c:pt>
              </c:numCache>
            </c:numRef>
          </c:yVal>
          <c:smooth val="0"/>
          <c:extLst>
            <c:ext xmlns:c16="http://schemas.microsoft.com/office/drawing/2014/chart" uri="{C3380CC4-5D6E-409C-BE32-E72D297353CC}">
              <c16:uniqueId val="{00000000-9E13-49AE-AAE9-A9CF9D77A424}"/>
            </c:ext>
          </c:extLst>
        </c:ser>
        <c:ser>
          <c:idx val="1"/>
          <c:order val="1"/>
          <c:tx>
            <c:strRef>
              <c:f>'Wind Capacity Factor'!$C$3</c:f>
              <c:strCache>
                <c:ptCount val="1"/>
                <c:pt idx="0">
                  <c:v>Class 2</c:v>
                </c:pt>
              </c:strCache>
            </c:strRef>
          </c:tx>
          <c:spPr>
            <a:ln w="28575" cap="rnd">
              <a:solidFill>
                <a:schemeClr val="accent2"/>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Factor'!$C$5:$C$40</c:f>
              <c:numCache>
                <c:formatCode>0%</c:formatCode>
                <c:ptCount val="36"/>
                <c:pt idx="0">
                  <c:v>0.49139785000000002</c:v>
                </c:pt>
                <c:pt idx="1">
                  <c:v>0.49139785000000002</c:v>
                </c:pt>
                <c:pt idx="2">
                  <c:v>0.46196422724106501</c:v>
                </c:pt>
                <c:pt idx="3">
                  <c:v>0.46510666372613801</c:v>
                </c:pt>
                <c:pt idx="4">
                  <c:v>0.453351</c:v>
                </c:pt>
                <c:pt idx="5">
                  <c:v>0.47</c:v>
                </c:pt>
                <c:pt idx="6">
                  <c:v>0.46</c:v>
                </c:pt>
                <c:pt idx="7">
                  <c:v>0.47</c:v>
                </c:pt>
                <c:pt idx="8">
                  <c:v>0.47</c:v>
                </c:pt>
                <c:pt idx="9">
                  <c:v>0.47814066666666599</c:v>
                </c:pt>
                <c:pt idx="10">
                  <c:v>0.48173088888888799</c:v>
                </c:pt>
                <c:pt idx="11">
                  <c:v>0.48532111111111098</c:v>
                </c:pt>
                <c:pt idx="12">
                  <c:v>0.48891133333333298</c:v>
                </c:pt>
                <c:pt idx="13">
                  <c:v>0.49250155555555503</c:v>
                </c:pt>
                <c:pt idx="14">
                  <c:v>0.49609177777777702</c:v>
                </c:pt>
                <c:pt idx="15">
                  <c:v>0.49968199999999902</c:v>
                </c:pt>
                <c:pt idx="16">
                  <c:v>0.50008589999999997</c:v>
                </c:pt>
                <c:pt idx="17">
                  <c:v>0.50048979999999998</c:v>
                </c:pt>
                <c:pt idx="18">
                  <c:v>0.5008937</c:v>
                </c:pt>
                <c:pt idx="19">
                  <c:v>0.50129760000000001</c:v>
                </c:pt>
                <c:pt idx="20">
                  <c:v>0.50170149999999902</c:v>
                </c:pt>
                <c:pt idx="21">
                  <c:v>0.50210539999999904</c:v>
                </c:pt>
                <c:pt idx="22">
                  <c:v>0.50250929999999905</c:v>
                </c:pt>
                <c:pt idx="23">
                  <c:v>0.50291319999999995</c:v>
                </c:pt>
                <c:pt idx="24">
                  <c:v>0.50331709999999996</c:v>
                </c:pt>
                <c:pt idx="25">
                  <c:v>0.50372099999999997</c:v>
                </c:pt>
                <c:pt idx="26">
                  <c:v>0.50412489999999999</c:v>
                </c:pt>
                <c:pt idx="27">
                  <c:v>0.5045288</c:v>
                </c:pt>
                <c:pt idx="28">
                  <c:v>0.50493270000000001</c:v>
                </c:pt>
                <c:pt idx="29">
                  <c:v>0.50533660000000002</c:v>
                </c:pt>
                <c:pt idx="30">
                  <c:v>0.50574050000000004</c:v>
                </c:pt>
                <c:pt idx="31">
                  <c:v>0.50614440000000005</c:v>
                </c:pt>
                <c:pt idx="32">
                  <c:v>0.50654829999999995</c:v>
                </c:pt>
                <c:pt idx="33">
                  <c:v>0.50695219999999996</c:v>
                </c:pt>
                <c:pt idx="34">
                  <c:v>0.50735609999999998</c:v>
                </c:pt>
                <c:pt idx="35">
                  <c:v>0.50775999999999999</c:v>
                </c:pt>
              </c:numCache>
            </c:numRef>
          </c:yVal>
          <c:smooth val="0"/>
          <c:extLst>
            <c:ext xmlns:c16="http://schemas.microsoft.com/office/drawing/2014/chart" uri="{C3380CC4-5D6E-409C-BE32-E72D297353CC}">
              <c16:uniqueId val="{00000001-9E13-49AE-AAE9-A9CF9D77A424}"/>
            </c:ext>
          </c:extLst>
        </c:ser>
        <c:ser>
          <c:idx val="2"/>
          <c:order val="2"/>
          <c:tx>
            <c:strRef>
              <c:f>'Wind Capacity Factor'!$D$3</c:f>
              <c:strCache>
                <c:ptCount val="1"/>
                <c:pt idx="0">
                  <c:v>Class 3</c:v>
                </c:pt>
              </c:strCache>
            </c:strRef>
          </c:tx>
          <c:spPr>
            <a:ln w="28575" cap="rnd">
              <a:solidFill>
                <a:schemeClr val="accent3"/>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Factor'!$D$5:$D$40</c:f>
              <c:numCache>
                <c:formatCode>0%</c:formatCode>
                <c:ptCount val="36"/>
                <c:pt idx="0">
                  <c:v>0.46287689735087051</c:v>
                </c:pt>
                <c:pt idx="1">
                  <c:v>0.47955420000000004</c:v>
                </c:pt>
                <c:pt idx="2">
                  <c:v>0.44969393646266098</c:v>
                </c:pt>
                <c:pt idx="3">
                  <c:v>0.45327436091803402</c:v>
                </c:pt>
                <c:pt idx="4">
                  <c:v>0.441328</c:v>
                </c:pt>
                <c:pt idx="5">
                  <c:v>0.45</c:v>
                </c:pt>
                <c:pt idx="6">
                  <c:v>0.45</c:v>
                </c:pt>
                <c:pt idx="7">
                  <c:v>0.45</c:v>
                </c:pt>
                <c:pt idx="8">
                  <c:v>0.46</c:v>
                </c:pt>
                <c:pt idx="9">
                  <c:v>0.46736799999999901</c:v>
                </c:pt>
                <c:pt idx="10">
                  <c:v>0.47087733333333298</c:v>
                </c:pt>
                <c:pt idx="11">
                  <c:v>0.47438666666666601</c:v>
                </c:pt>
                <c:pt idx="12">
                  <c:v>0.47789599999999899</c:v>
                </c:pt>
                <c:pt idx="13">
                  <c:v>0.48140533333333302</c:v>
                </c:pt>
                <c:pt idx="14">
                  <c:v>0.48491466666666599</c:v>
                </c:pt>
                <c:pt idx="15">
                  <c:v>0.48842399999999903</c:v>
                </c:pt>
                <c:pt idx="16">
                  <c:v>0.488818799999999</c:v>
                </c:pt>
                <c:pt idx="17">
                  <c:v>0.48921359999999903</c:v>
                </c:pt>
                <c:pt idx="18">
                  <c:v>0.489608399999999</c:v>
                </c:pt>
                <c:pt idx="19">
                  <c:v>0.49000319999999897</c:v>
                </c:pt>
                <c:pt idx="20">
                  <c:v>0.490397999999999</c:v>
                </c:pt>
                <c:pt idx="21">
                  <c:v>0.49079279999999897</c:v>
                </c:pt>
                <c:pt idx="22">
                  <c:v>0.491187599999999</c:v>
                </c:pt>
                <c:pt idx="23">
                  <c:v>0.49158239999999898</c:v>
                </c:pt>
                <c:pt idx="24">
                  <c:v>0.491977199999999</c:v>
                </c:pt>
                <c:pt idx="25">
                  <c:v>0.49237199999999998</c:v>
                </c:pt>
                <c:pt idx="26">
                  <c:v>0.49276679999999901</c:v>
                </c:pt>
                <c:pt idx="27">
                  <c:v>0.49316159999999998</c:v>
                </c:pt>
                <c:pt idx="28">
                  <c:v>0.49355639999999901</c:v>
                </c:pt>
                <c:pt idx="29">
                  <c:v>0.49395119999999998</c:v>
                </c:pt>
                <c:pt idx="30">
                  <c:v>0.49434600000000001</c:v>
                </c:pt>
                <c:pt idx="31">
                  <c:v>0.49474079999999898</c:v>
                </c:pt>
                <c:pt idx="32">
                  <c:v>0.49513559999999901</c:v>
                </c:pt>
                <c:pt idx="33">
                  <c:v>0.49553039999999998</c:v>
                </c:pt>
                <c:pt idx="34">
                  <c:v>0.49592519999999901</c:v>
                </c:pt>
                <c:pt idx="35">
                  <c:v>0.49631999999999898</c:v>
                </c:pt>
              </c:numCache>
            </c:numRef>
          </c:yVal>
          <c:smooth val="0"/>
          <c:extLst>
            <c:ext xmlns:c16="http://schemas.microsoft.com/office/drawing/2014/chart" uri="{C3380CC4-5D6E-409C-BE32-E72D297353CC}">
              <c16:uniqueId val="{00000002-9E13-49AE-AAE9-A9CF9D77A424}"/>
            </c:ext>
          </c:extLst>
        </c:ser>
        <c:ser>
          <c:idx val="3"/>
          <c:order val="3"/>
          <c:tx>
            <c:strRef>
              <c:f>'Wind Capacity Factor'!$E$3</c:f>
              <c:strCache>
                <c:ptCount val="1"/>
                <c:pt idx="0">
                  <c:v>Class 4</c:v>
                </c:pt>
              </c:strCache>
            </c:strRef>
          </c:tx>
          <c:spPr>
            <a:ln w="28575" cap="rnd">
              <a:solidFill>
                <a:schemeClr val="accent4"/>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Factor'!$E$5:$E$40</c:f>
              <c:numCache>
                <c:formatCode>0%</c:formatCode>
                <c:ptCount val="36"/>
                <c:pt idx="0">
                  <c:v>0.46660554999999998</c:v>
                </c:pt>
                <c:pt idx="1">
                  <c:v>0.46660554999999998</c:v>
                </c:pt>
                <c:pt idx="2">
                  <c:v>0.43522297025680401</c:v>
                </c:pt>
                <c:pt idx="3">
                  <c:v>0.43896298582938398</c:v>
                </c:pt>
                <c:pt idx="4">
                  <c:v>0.42659200000000003</c:v>
                </c:pt>
                <c:pt idx="5">
                  <c:v>0.44</c:v>
                </c:pt>
                <c:pt idx="6">
                  <c:v>0.43</c:v>
                </c:pt>
                <c:pt idx="7">
                  <c:v>0.44</c:v>
                </c:pt>
                <c:pt idx="8">
                  <c:v>0.45</c:v>
                </c:pt>
                <c:pt idx="9">
                  <c:v>0.45493800000000001</c:v>
                </c:pt>
                <c:pt idx="10">
                  <c:v>0.45835399999999998</c:v>
                </c:pt>
                <c:pt idx="11">
                  <c:v>0.46177000000000001</c:v>
                </c:pt>
                <c:pt idx="12">
                  <c:v>0.46518599999999999</c:v>
                </c:pt>
                <c:pt idx="13">
                  <c:v>0.46860200000000002</c:v>
                </c:pt>
                <c:pt idx="14">
                  <c:v>0.47201799999999999</c:v>
                </c:pt>
                <c:pt idx="15">
                  <c:v>0.47543400000000002</c:v>
                </c:pt>
                <c:pt idx="16">
                  <c:v>0.47581830000000003</c:v>
                </c:pt>
                <c:pt idx="17">
                  <c:v>0.47620259999999998</c:v>
                </c:pt>
                <c:pt idx="18">
                  <c:v>0.47658689999999998</c:v>
                </c:pt>
                <c:pt idx="19">
                  <c:v>0.47697119999999998</c:v>
                </c:pt>
                <c:pt idx="20">
                  <c:v>0.47735549999999999</c:v>
                </c:pt>
                <c:pt idx="21">
                  <c:v>0.47773979999999999</c:v>
                </c:pt>
                <c:pt idx="22">
                  <c:v>0.4781241</c:v>
                </c:pt>
                <c:pt idx="23">
                  <c:v>0.4785084</c:v>
                </c:pt>
                <c:pt idx="24">
                  <c:v>0.4788927</c:v>
                </c:pt>
                <c:pt idx="25">
                  <c:v>0.47927700000000001</c:v>
                </c:pt>
                <c:pt idx="26">
                  <c:v>0.47966130000000001</c:v>
                </c:pt>
                <c:pt idx="27">
                  <c:v>0.48004560000000002</c:v>
                </c:pt>
                <c:pt idx="28">
                  <c:v>0.48042990000000002</c:v>
                </c:pt>
                <c:pt idx="29">
                  <c:v>0.48081420000000002</c:v>
                </c:pt>
                <c:pt idx="30">
                  <c:v>0.48119849999999997</c:v>
                </c:pt>
                <c:pt idx="31">
                  <c:v>0.48158279999999998</c:v>
                </c:pt>
                <c:pt idx="32">
                  <c:v>0.48196709999999998</c:v>
                </c:pt>
                <c:pt idx="33">
                  <c:v>0.48235139999999999</c:v>
                </c:pt>
                <c:pt idx="34">
                  <c:v>0.48273569999999999</c:v>
                </c:pt>
                <c:pt idx="35">
                  <c:v>0.48311999999999999</c:v>
                </c:pt>
              </c:numCache>
            </c:numRef>
          </c:yVal>
          <c:smooth val="0"/>
          <c:extLst>
            <c:ext xmlns:c16="http://schemas.microsoft.com/office/drawing/2014/chart" uri="{C3380CC4-5D6E-409C-BE32-E72D297353CC}">
              <c16:uniqueId val="{00000003-9E13-49AE-AAE9-A9CF9D77A424}"/>
            </c:ext>
          </c:extLst>
        </c:ser>
        <c:ser>
          <c:idx val="4"/>
          <c:order val="4"/>
          <c:tx>
            <c:strRef>
              <c:f>'Wind Capacity Factor'!$F$3</c:f>
              <c:strCache>
                <c:ptCount val="1"/>
                <c:pt idx="0">
                  <c:v>Class 5</c:v>
                </c:pt>
              </c:strCache>
            </c:strRef>
          </c:tx>
          <c:spPr>
            <a:ln w="28575" cap="rnd">
              <a:solidFill>
                <a:schemeClr val="accent5"/>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Factor'!$F$5:$F$40</c:f>
              <c:numCache>
                <c:formatCode>0%</c:formatCode>
                <c:ptCount val="36"/>
                <c:pt idx="0">
                  <c:v>0.43950175601547609</c:v>
                </c:pt>
                <c:pt idx="1">
                  <c:v>0.45028949999999995</c:v>
                </c:pt>
                <c:pt idx="2">
                  <c:v>0.40730649949589298</c:v>
                </c:pt>
                <c:pt idx="3">
                  <c:v>0.411686043406085</c:v>
                </c:pt>
                <c:pt idx="4">
                  <c:v>0.39777400000000002</c:v>
                </c:pt>
                <c:pt idx="5">
                  <c:v>0.42</c:v>
                </c:pt>
                <c:pt idx="6">
                  <c:v>0.42</c:v>
                </c:pt>
                <c:pt idx="7">
                  <c:v>0.43</c:v>
                </c:pt>
                <c:pt idx="8">
                  <c:v>0.44</c:v>
                </c:pt>
                <c:pt idx="9">
                  <c:v>0.44002200000000002</c:v>
                </c:pt>
                <c:pt idx="10">
                  <c:v>0.443326</c:v>
                </c:pt>
                <c:pt idx="11">
                  <c:v>0.44663000000000003</c:v>
                </c:pt>
                <c:pt idx="12">
                  <c:v>0.449934</c:v>
                </c:pt>
                <c:pt idx="13">
                  <c:v>0.45323799999999997</c:v>
                </c:pt>
                <c:pt idx="14">
                  <c:v>0.456542</c:v>
                </c:pt>
                <c:pt idx="15">
                  <c:v>0.45984599999999998</c:v>
                </c:pt>
                <c:pt idx="16">
                  <c:v>0.46021770000000001</c:v>
                </c:pt>
                <c:pt idx="17">
                  <c:v>0.46058939999999998</c:v>
                </c:pt>
                <c:pt idx="18">
                  <c:v>0.46096110000000001</c:v>
                </c:pt>
                <c:pt idx="19">
                  <c:v>0.46133279999999999</c:v>
                </c:pt>
                <c:pt idx="20">
                  <c:v>0.46170450000000002</c:v>
                </c:pt>
                <c:pt idx="21">
                  <c:v>0.46207619999999999</c:v>
                </c:pt>
                <c:pt idx="22">
                  <c:v>0.46244790000000002</c:v>
                </c:pt>
                <c:pt idx="23">
                  <c:v>0.4628196</c:v>
                </c:pt>
                <c:pt idx="24">
                  <c:v>0.46319129999999997</c:v>
                </c:pt>
                <c:pt idx="25">
                  <c:v>0.463563</c:v>
                </c:pt>
                <c:pt idx="26">
                  <c:v>0.46393469999999998</c:v>
                </c:pt>
                <c:pt idx="27">
                  <c:v>0.46430640000000001</c:v>
                </c:pt>
                <c:pt idx="28">
                  <c:v>0.46467809999999998</c:v>
                </c:pt>
                <c:pt idx="29">
                  <c:v>0.46504980000000001</c:v>
                </c:pt>
                <c:pt idx="30">
                  <c:v>0.46542149999999999</c:v>
                </c:pt>
                <c:pt idx="31">
                  <c:v>0.46579320000000002</c:v>
                </c:pt>
                <c:pt idx="32">
                  <c:v>0.46616489999999999</c:v>
                </c:pt>
                <c:pt idx="33">
                  <c:v>0.46653660000000002</c:v>
                </c:pt>
                <c:pt idx="34">
                  <c:v>0.4669083</c:v>
                </c:pt>
                <c:pt idx="35">
                  <c:v>0.46727999999999997</c:v>
                </c:pt>
              </c:numCache>
            </c:numRef>
          </c:yVal>
          <c:smooth val="0"/>
          <c:extLst>
            <c:ext xmlns:c16="http://schemas.microsoft.com/office/drawing/2014/chart" uri="{C3380CC4-5D6E-409C-BE32-E72D297353CC}">
              <c16:uniqueId val="{00000004-9E13-49AE-AAE9-A9CF9D77A424}"/>
            </c:ext>
          </c:extLst>
        </c:ser>
        <c:ser>
          <c:idx val="5"/>
          <c:order val="5"/>
          <c:tx>
            <c:strRef>
              <c:f>'Wind Capacity Factor'!$G$3</c:f>
              <c:strCache>
                <c:ptCount val="1"/>
                <c:pt idx="0">
                  <c:v>Class 6</c:v>
                </c:pt>
              </c:strCache>
            </c:strRef>
          </c:tx>
          <c:spPr>
            <a:ln w="28575" cap="rnd">
              <a:solidFill>
                <a:schemeClr val="accent6"/>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Factor'!$G$5:$G$40</c:f>
              <c:numCache>
                <c:formatCode>0%</c:formatCode>
                <c:ptCount val="36"/>
                <c:pt idx="0">
                  <c:v>0.3790649778445811</c:v>
                </c:pt>
                <c:pt idx="1">
                  <c:v>0.4030543730769231</c:v>
                </c:pt>
                <c:pt idx="2">
                  <c:v>0.36366571999053598</c:v>
                </c:pt>
                <c:pt idx="3">
                  <c:v>0.36888912141143099</c:v>
                </c:pt>
                <c:pt idx="4">
                  <c:v>0.35212300000000002</c:v>
                </c:pt>
                <c:pt idx="5">
                  <c:v>0.39</c:v>
                </c:pt>
                <c:pt idx="6">
                  <c:v>0.39</c:v>
                </c:pt>
                <c:pt idx="7">
                  <c:v>0.41</c:v>
                </c:pt>
                <c:pt idx="8">
                  <c:v>0.41</c:v>
                </c:pt>
                <c:pt idx="9">
                  <c:v>0.41681933333333299</c:v>
                </c:pt>
                <c:pt idx="10">
                  <c:v>0.419949111111111</c:v>
                </c:pt>
                <c:pt idx="11">
                  <c:v>0.42307888888888801</c:v>
                </c:pt>
                <c:pt idx="12">
                  <c:v>0.42620866666666601</c:v>
                </c:pt>
                <c:pt idx="13">
                  <c:v>0.42933844444444402</c:v>
                </c:pt>
                <c:pt idx="14">
                  <c:v>0.43246822222222198</c:v>
                </c:pt>
                <c:pt idx="15">
                  <c:v>0.43559799999999999</c:v>
                </c:pt>
                <c:pt idx="16">
                  <c:v>0.43595010000000001</c:v>
                </c:pt>
                <c:pt idx="17">
                  <c:v>0.43630219999999997</c:v>
                </c:pt>
                <c:pt idx="18">
                  <c:v>0.4366543</c:v>
                </c:pt>
                <c:pt idx="19">
                  <c:v>0.43700640000000002</c:v>
                </c:pt>
                <c:pt idx="20">
                  <c:v>0.43735849999999998</c:v>
                </c:pt>
                <c:pt idx="21">
                  <c:v>0.43771060000000001</c:v>
                </c:pt>
                <c:pt idx="22">
                  <c:v>0.43806270000000003</c:v>
                </c:pt>
                <c:pt idx="23">
                  <c:v>0.43841479999999999</c:v>
                </c:pt>
                <c:pt idx="24">
                  <c:v>0.43876689999999902</c:v>
                </c:pt>
                <c:pt idx="25">
                  <c:v>0.43911899999999998</c:v>
                </c:pt>
                <c:pt idx="26">
                  <c:v>0.4394711</c:v>
                </c:pt>
                <c:pt idx="27">
                  <c:v>0.43982320000000003</c:v>
                </c:pt>
                <c:pt idx="28">
                  <c:v>0.44017529999999999</c:v>
                </c:pt>
                <c:pt idx="29">
                  <c:v>0.44052740000000001</c:v>
                </c:pt>
                <c:pt idx="30">
                  <c:v>0.44087949999999998</c:v>
                </c:pt>
                <c:pt idx="31">
                  <c:v>0.4412316</c:v>
                </c:pt>
                <c:pt idx="32">
                  <c:v>0.44158370000000002</c:v>
                </c:pt>
                <c:pt idx="33">
                  <c:v>0.44193579999999999</c:v>
                </c:pt>
                <c:pt idx="34">
                  <c:v>0.44228790000000001</c:v>
                </c:pt>
                <c:pt idx="35">
                  <c:v>0.44263999999999998</c:v>
                </c:pt>
              </c:numCache>
            </c:numRef>
          </c:yVal>
          <c:smooth val="0"/>
          <c:extLst>
            <c:ext xmlns:c16="http://schemas.microsoft.com/office/drawing/2014/chart" uri="{C3380CC4-5D6E-409C-BE32-E72D297353CC}">
              <c16:uniqueId val="{00000005-9E13-49AE-AAE9-A9CF9D77A424}"/>
            </c:ext>
          </c:extLst>
        </c:ser>
        <c:ser>
          <c:idx val="6"/>
          <c:order val="6"/>
          <c:tx>
            <c:strRef>
              <c:f>'Wind Capacity Factor'!$H$3</c:f>
              <c:strCache>
                <c:ptCount val="1"/>
                <c:pt idx="0">
                  <c:v>Class 7</c:v>
                </c:pt>
              </c:strCache>
            </c:strRef>
          </c:tx>
          <c:spPr>
            <a:ln w="28575" cap="rnd">
              <a:solidFill>
                <a:schemeClr val="accent1">
                  <a:lumMod val="60000"/>
                </a:schemeClr>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Factor'!$H$5:$H$40</c:f>
              <c:numCache>
                <c:formatCode>0%</c:formatCode>
                <c:ptCount val="36"/>
                <c:pt idx="0">
                  <c:v>0.32023156424456123</c:v>
                </c:pt>
                <c:pt idx="1">
                  <c:v>0.3338992409090909</c:v>
                </c:pt>
                <c:pt idx="2">
                  <c:v>0.30817794465054799</c:v>
                </c:pt>
                <c:pt idx="3">
                  <c:v>0.31359723218580099</c:v>
                </c:pt>
                <c:pt idx="4">
                  <c:v>0.29170000000000001</c:v>
                </c:pt>
                <c:pt idx="5">
                  <c:v>0.35</c:v>
                </c:pt>
                <c:pt idx="6">
                  <c:v>0.36</c:v>
                </c:pt>
                <c:pt idx="7">
                  <c:v>0.37</c:v>
                </c:pt>
                <c:pt idx="8">
                  <c:v>0.38</c:v>
                </c:pt>
                <c:pt idx="9">
                  <c:v>0.38450133333333297</c:v>
                </c:pt>
                <c:pt idx="10">
                  <c:v>0.38738844444444398</c:v>
                </c:pt>
                <c:pt idx="11">
                  <c:v>0.39027555555555499</c:v>
                </c:pt>
                <c:pt idx="12">
                  <c:v>0.39316266666666599</c:v>
                </c:pt>
                <c:pt idx="13">
                  <c:v>0.396049777777777</c:v>
                </c:pt>
                <c:pt idx="14">
                  <c:v>0.39893688888888801</c:v>
                </c:pt>
                <c:pt idx="15">
                  <c:v>0.40182400000000001</c:v>
                </c:pt>
                <c:pt idx="16">
                  <c:v>0.40214879999999997</c:v>
                </c:pt>
                <c:pt idx="17">
                  <c:v>0.40247359999999999</c:v>
                </c:pt>
                <c:pt idx="18">
                  <c:v>0.4027984</c:v>
                </c:pt>
                <c:pt idx="19">
                  <c:v>0.40312320000000001</c:v>
                </c:pt>
                <c:pt idx="20">
                  <c:v>0.40344799999999997</c:v>
                </c:pt>
                <c:pt idx="21">
                  <c:v>0.40377279999999999</c:v>
                </c:pt>
                <c:pt idx="22">
                  <c:v>0.4040976</c:v>
                </c:pt>
                <c:pt idx="23">
                  <c:v>0.40442240000000002</c:v>
                </c:pt>
                <c:pt idx="24">
                  <c:v>0.40474719999999997</c:v>
                </c:pt>
                <c:pt idx="25">
                  <c:v>0.40507199999999999</c:v>
                </c:pt>
                <c:pt idx="26">
                  <c:v>0.4053968</c:v>
                </c:pt>
                <c:pt idx="27">
                  <c:v>0.40572160000000002</c:v>
                </c:pt>
                <c:pt idx="28">
                  <c:v>0.40604639999999997</c:v>
                </c:pt>
                <c:pt idx="29">
                  <c:v>0.40637119999999999</c:v>
                </c:pt>
                <c:pt idx="30">
                  <c:v>0.406696</c:v>
                </c:pt>
                <c:pt idx="31">
                  <c:v>0.40702080000000002</c:v>
                </c:pt>
                <c:pt idx="32">
                  <c:v>0.40734559999999997</c:v>
                </c:pt>
                <c:pt idx="33">
                  <c:v>0.40767039999999999</c:v>
                </c:pt>
                <c:pt idx="34">
                  <c:v>0.4079952</c:v>
                </c:pt>
                <c:pt idx="35">
                  <c:v>0.40832000000000002</c:v>
                </c:pt>
              </c:numCache>
            </c:numRef>
          </c:yVal>
          <c:smooth val="0"/>
          <c:extLst>
            <c:ext xmlns:c16="http://schemas.microsoft.com/office/drawing/2014/chart" uri="{C3380CC4-5D6E-409C-BE32-E72D297353CC}">
              <c16:uniqueId val="{00000006-9E13-49AE-AAE9-A9CF9D77A424}"/>
            </c:ext>
          </c:extLst>
        </c:ser>
        <c:ser>
          <c:idx val="7"/>
          <c:order val="7"/>
          <c:tx>
            <c:strRef>
              <c:f>'Wind Capacity Factor'!$I$3</c:f>
              <c:strCache>
                <c:ptCount val="1"/>
                <c:pt idx="0">
                  <c:v>Class 8</c:v>
                </c:pt>
              </c:strCache>
            </c:strRef>
          </c:tx>
          <c:spPr>
            <a:ln w="28575" cap="rnd">
              <a:solidFill>
                <a:schemeClr val="accent2">
                  <a:lumMod val="60000"/>
                </a:schemeClr>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Factor'!$I$5:$I$40</c:f>
              <c:numCache>
                <c:formatCode>0%</c:formatCode>
                <c:ptCount val="36"/>
                <c:pt idx="0">
                  <c:v>0.26080181666666669</c:v>
                </c:pt>
                <c:pt idx="1">
                  <c:v>0.26080181666666669</c:v>
                </c:pt>
                <c:pt idx="2">
                  <c:v>0.24565601942807799</c:v>
                </c:pt>
                <c:pt idx="3">
                  <c:v>0.25045142716823698</c:v>
                </c:pt>
                <c:pt idx="4">
                  <c:v>0.22797799999999999</c:v>
                </c:pt>
                <c:pt idx="5">
                  <c:v>0.31</c:v>
                </c:pt>
                <c:pt idx="6">
                  <c:v>0.31</c:v>
                </c:pt>
                <c:pt idx="7">
                  <c:v>0.33</c:v>
                </c:pt>
                <c:pt idx="8">
                  <c:v>0.34</c:v>
                </c:pt>
                <c:pt idx="9">
                  <c:v>0.34721133333333298</c:v>
                </c:pt>
                <c:pt idx="10">
                  <c:v>0.34981844444444399</c:v>
                </c:pt>
                <c:pt idx="11">
                  <c:v>0.35242555555555499</c:v>
                </c:pt>
                <c:pt idx="12">
                  <c:v>0.355032666666666</c:v>
                </c:pt>
                <c:pt idx="13">
                  <c:v>0.357639777777777</c:v>
                </c:pt>
                <c:pt idx="14">
                  <c:v>0.36024688888888801</c:v>
                </c:pt>
                <c:pt idx="15">
                  <c:v>0.36285400000000001</c:v>
                </c:pt>
                <c:pt idx="16">
                  <c:v>0.36314730000000001</c:v>
                </c:pt>
                <c:pt idx="17">
                  <c:v>0.363440599999999</c:v>
                </c:pt>
                <c:pt idx="18">
                  <c:v>0.3637339</c:v>
                </c:pt>
                <c:pt idx="19">
                  <c:v>0.3640272</c:v>
                </c:pt>
                <c:pt idx="20">
                  <c:v>0.36432049999999899</c:v>
                </c:pt>
                <c:pt idx="21">
                  <c:v>0.36461379999999999</c:v>
                </c:pt>
                <c:pt idx="22">
                  <c:v>0.36490709999999998</c:v>
                </c:pt>
                <c:pt idx="23">
                  <c:v>0.36520039999999998</c:v>
                </c:pt>
                <c:pt idx="24">
                  <c:v>0.36549369999999998</c:v>
                </c:pt>
                <c:pt idx="25">
                  <c:v>0.36578699999999997</c:v>
                </c:pt>
                <c:pt idx="26">
                  <c:v>0.36608030000000003</c:v>
                </c:pt>
                <c:pt idx="27">
                  <c:v>0.36637360000000002</c:v>
                </c:pt>
                <c:pt idx="28">
                  <c:v>0.36666689999999902</c:v>
                </c:pt>
                <c:pt idx="29">
                  <c:v>0.36696020000000001</c:v>
                </c:pt>
                <c:pt idx="30">
                  <c:v>0.36725350000000001</c:v>
                </c:pt>
                <c:pt idx="31">
                  <c:v>0.36754679999999901</c:v>
                </c:pt>
                <c:pt idx="32">
                  <c:v>0.3678401</c:v>
                </c:pt>
                <c:pt idx="33">
                  <c:v>0.3681334</c:v>
                </c:pt>
                <c:pt idx="34">
                  <c:v>0.3684267</c:v>
                </c:pt>
                <c:pt idx="35">
                  <c:v>0.36871999999999999</c:v>
                </c:pt>
              </c:numCache>
            </c:numRef>
          </c:yVal>
          <c:smooth val="0"/>
          <c:extLst>
            <c:ext xmlns:c16="http://schemas.microsoft.com/office/drawing/2014/chart" uri="{C3380CC4-5D6E-409C-BE32-E72D297353CC}">
              <c16:uniqueId val="{00000007-9E13-49AE-AAE9-A9CF9D77A424}"/>
            </c:ext>
          </c:extLst>
        </c:ser>
        <c:ser>
          <c:idx val="8"/>
          <c:order val="8"/>
          <c:tx>
            <c:strRef>
              <c:f>'Wind Capacity Factor'!$J$3</c:f>
              <c:strCache>
                <c:ptCount val="1"/>
                <c:pt idx="0">
                  <c:v>Class 9</c:v>
                </c:pt>
              </c:strCache>
            </c:strRef>
          </c:tx>
          <c:spPr>
            <a:ln w="28575" cap="rnd">
              <a:solidFill>
                <a:schemeClr val="accent3">
                  <a:lumMod val="60000"/>
                </a:schemeClr>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Factor'!$J$5:$J$40</c:f>
              <c:numCache>
                <c:formatCode>0%</c:formatCode>
                <c:ptCount val="36"/>
                <c:pt idx="0">
                  <c:v>0.19816025714285715</c:v>
                </c:pt>
                <c:pt idx="1">
                  <c:v>0.19816025714285715</c:v>
                </c:pt>
                <c:pt idx="2">
                  <c:v>0.18251549436984901</c:v>
                </c:pt>
                <c:pt idx="3">
                  <c:v>0.18742300313685201</c:v>
                </c:pt>
                <c:pt idx="4">
                  <c:v>0.165713</c:v>
                </c:pt>
                <c:pt idx="5">
                  <c:v>0.27</c:v>
                </c:pt>
                <c:pt idx="6">
                  <c:v>0.27</c:v>
                </c:pt>
                <c:pt idx="7">
                  <c:v>0.28000000000000003</c:v>
                </c:pt>
                <c:pt idx="8">
                  <c:v>0.33</c:v>
                </c:pt>
                <c:pt idx="9">
                  <c:v>0.33561000000000002</c:v>
                </c:pt>
                <c:pt idx="10">
                  <c:v>0.33812999999999999</c:v>
                </c:pt>
                <c:pt idx="11">
                  <c:v>0.34065000000000001</c:v>
                </c:pt>
                <c:pt idx="12">
                  <c:v>0.34316999999999998</c:v>
                </c:pt>
                <c:pt idx="13">
                  <c:v>0.34569</c:v>
                </c:pt>
                <c:pt idx="14">
                  <c:v>0.34821000000000002</c:v>
                </c:pt>
                <c:pt idx="15">
                  <c:v>0.35072999999999999</c:v>
                </c:pt>
                <c:pt idx="16">
                  <c:v>0.35101349999999998</c:v>
                </c:pt>
                <c:pt idx="17">
                  <c:v>0.35129700000000003</c:v>
                </c:pt>
                <c:pt idx="18">
                  <c:v>0.35158050000000002</c:v>
                </c:pt>
                <c:pt idx="19">
                  <c:v>0.35186400000000001</c:v>
                </c:pt>
                <c:pt idx="20">
                  <c:v>0.3521475</c:v>
                </c:pt>
                <c:pt idx="21">
                  <c:v>0.35243099999999999</c:v>
                </c:pt>
                <c:pt idx="22">
                  <c:v>0.35271449999999999</c:v>
                </c:pt>
                <c:pt idx="23">
                  <c:v>0.35299799999999998</c:v>
                </c:pt>
                <c:pt idx="24">
                  <c:v>0.35328150000000003</c:v>
                </c:pt>
                <c:pt idx="25">
                  <c:v>0.35356500000000002</c:v>
                </c:pt>
                <c:pt idx="26">
                  <c:v>0.35384850000000001</c:v>
                </c:pt>
                <c:pt idx="27">
                  <c:v>0.354132</c:v>
                </c:pt>
                <c:pt idx="28">
                  <c:v>0.35441549999999999</c:v>
                </c:pt>
                <c:pt idx="29">
                  <c:v>0.35469899999999999</c:v>
                </c:pt>
                <c:pt idx="30">
                  <c:v>0.35498249999999998</c:v>
                </c:pt>
                <c:pt idx="31">
                  <c:v>0.35526600000000003</c:v>
                </c:pt>
                <c:pt idx="32">
                  <c:v>0.35554950000000002</c:v>
                </c:pt>
                <c:pt idx="33">
                  <c:v>0.35583300000000001</c:v>
                </c:pt>
                <c:pt idx="34">
                  <c:v>0.3561165</c:v>
                </c:pt>
                <c:pt idx="35">
                  <c:v>0.35639999999999999</c:v>
                </c:pt>
              </c:numCache>
            </c:numRef>
          </c:yVal>
          <c:smooth val="0"/>
          <c:extLst>
            <c:ext xmlns:c16="http://schemas.microsoft.com/office/drawing/2014/chart" uri="{C3380CC4-5D6E-409C-BE32-E72D297353CC}">
              <c16:uniqueId val="{00000008-9E13-49AE-AAE9-A9CF9D77A424}"/>
            </c:ext>
          </c:extLst>
        </c:ser>
        <c:ser>
          <c:idx val="9"/>
          <c:order val="9"/>
          <c:tx>
            <c:strRef>
              <c:f>'Wind Capacity Factor'!$K$3</c:f>
              <c:strCache>
                <c:ptCount val="1"/>
                <c:pt idx="0">
                  <c:v>Class 10</c:v>
                </c:pt>
              </c:strCache>
            </c:strRef>
          </c:tx>
          <c:spPr>
            <a:ln w="28575" cap="rnd">
              <a:solidFill>
                <a:schemeClr val="accent4">
                  <a:lumMod val="60000"/>
                </a:schemeClr>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Factor'!$K$5:$K$40</c:f>
              <c:numCache>
                <c:formatCode>0%</c:formatCode>
                <c:ptCount val="36"/>
                <c:pt idx="0">
                  <c:v>0.12280647</c:v>
                </c:pt>
                <c:pt idx="1">
                  <c:v>0.12280647</c:v>
                </c:pt>
                <c:pt idx="2">
                  <c:v>0.111049550321784</c:v>
                </c:pt>
                <c:pt idx="3">
                  <c:v>0.114581586146978</c:v>
                </c:pt>
                <c:pt idx="4">
                  <c:v>0.10073799999999999</c:v>
                </c:pt>
                <c:pt idx="5">
                  <c:v>0.17</c:v>
                </c:pt>
                <c:pt idx="6">
                  <c:v>0.17</c:v>
                </c:pt>
                <c:pt idx="7">
                  <c:v>0.18</c:v>
                </c:pt>
                <c:pt idx="8">
                  <c:v>0.26</c:v>
                </c:pt>
                <c:pt idx="9">
                  <c:v>0.26434466666666601</c:v>
                </c:pt>
                <c:pt idx="10">
                  <c:v>0.26632955555555499</c:v>
                </c:pt>
                <c:pt idx="11">
                  <c:v>0.26831444444444402</c:v>
                </c:pt>
                <c:pt idx="12">
                  <c:v>0.270299333333333</c:v>
                </c:pt>
                <c:pt idx="13">
                  <c:v>0.27228422222222198</c:v>
                </c:pt>
                <c:pt idx="14">
                  <c:v>0.27426911111111102</c:v>
                </c:pt>
                <c:pt idx="15">
                  <c:v>0.276254</c:v>
                </c:pt>
                <c:pt idx="16">
                  <c:v>0.27647729999999998</c:v>
                </c:pt>
                <c:pt idx="17">
                  <c:v>0.27670059999999902</c:v>
                </c:pt>
                <c:pt idx="18">
                  <c:v>0.2769239</c:v>
                </c:pt>
                <c:pt idx="19">
                  <c:v>0.27714719999999998</c:v>
                </c:pt>
                <c:pt idx="20">
                  <c:v>0.27737050000000002</c:v>
                </c:pt>
                <c:pt idx="21">
                  <c:v>0.2775938</c:v>
                </c:pt>
                <c:pt idx="22">
                  <c:v>0.27781709999999998</c:v>
                </c:pt>
                <c:pt idx="23">
                  <c:v>0.27804040000000002</c:v>
                </c:pt>
                <c:pt idx="24">
                  <c:v>0.2782637</c:v>
                </c:pt>
                <c:pt idx="25">
                  <c:v>0.27848699999999998</c:v>
                </c:pt>
                <c:pt idx="26">
                  <c:v>0.27871030000000002</c:v>
                </c:pt>
                <c:pt idx="27">
                  <c:v>0.2789336</c:v>
                </c:pt>
                <c:pt idx="28">
                  <c:v>0.27915689999999999</c:v>
                </c:pt>
                <c:pt idx="29">
                  <c:v>0.27938020000000002</c:v>
                </c:pt>
                <c:pt idx="30">
                  <c:v>0.2796035</c:v>
                </c:pt>
                <c:pt idx="31">
                  <c:v>0.27982679999999999</c:v>
                </c:pt>
                <c:pt idx="32">
                  <c:v>0.28005010000000002</c:v>
                </c:pt>
                <c:pt idx="33">
                  <c:v>0.28027340000000001</c:v>
                </c:pt>
                <c:pt idx="34">
                  <c:v>0.28049669999999999</c:v>
                </c:pt>
                <c:pt idx="35">
                  <c:v>0.28072000000000003</c:v>
                </c:pt>
              </c:numCache>
            </c:numRef>
          </c:yVal>
          <c:smooth val="0"/>
          <c:extLst>
            <c:ext xmlns:c16="http://schemas.microsoft.com/office/drawing/2014/chart" uri="{C3380CC4-5D6E-409C-BE32-E72D297353CC}">
              <c16:uniqueId val="{00000009-9E13-49AE-AAE9-A9CF9D77A424}"/>
            </c:ext>
          </c:extLst>
        </c:ser>
        <c:dLbls>
          <c:showLegendKey val="0"/>
          <c:showVal val="0"/>
          <c:showCatName val="0"/>
          <c:showSerName val="0"/>
          <c:showPercent val="0"/>
          <c:showBubbleSize val="0"/>
        </c:dLbls>
        <c:axId val="1547777503"/>
        <c:axId val="998650064"/>
      </c:scatterChart>
      <c:valAx>
        <c:axId val="1547777503"/>
        <c:scaling>
          <c:orientation val="minMax"/>
          <c:max val="2050"/>
          <c:min val="2015"/>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8650064"/>
        <c:crosses val="autoZero"/>
        <c:crossBetween val="midCat"/>
      </c:valAx>
      <c:valAx>
        <c:axId val="9986500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Wind Capacity Factor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47777503"/>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15</xdr:col>
      <xdr:colOff>0</xdr:colOff>
      <xdr:row>2</xdr:row>
      <xdr:rowOff>0</xdr:rowOff>
    </xdr:from>
    <xdr:to>
      <xdr:col>24</xdr:col>
      <xdr:colOff>107950</xdr:colOff>
      <xdr:row>26</xdr:row>
      <xdr:rowOff>130810</xdr:rowOff>
    </xdr:to>
    <xdr:graphicFrame macro="">
      <xdr:nvGraphicFramePr>
        <xdr:cNvPr id="3" name="Chart 2" descr="Line chart of wind capacity factors for plants by year built.">
          <a:extLst>
            <a:ext uri="{FF2B5EF4-FFF2-40B4-BE49-F238E27FC236}">
              <a16:creationId xmlns:a16="http://schemas.microsoft.com/office/drawing/2014/main" id="{07213F83-14F5-4F4B-B34E-941359E566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E3">
  <a:themeElements>
    <a:clrScheme name="E3 Bright">
      <a:dk1>
        <a:srgbClr val="000000"/>
      </a:dk1>
      <a:lt1>
        <a:sysClr val="window" lastClr="FFFFFF"/>
      </a:lt1>
      <a:dk2>
        <a:srgbClr val="034E6E"/>
      </a:dk2>
      <a:lt2>
        <a:srgbClr val="EEECE1"/>
      </a:lt2>
      <a:accent1>
        <a:srgbClr val="6EA1B6"/>
      </a:accent1>
      <a:accent2>
        <a:srgbClr val="FFB700"/>
      </a:accent2>
      <a:accent3>
        <a:srgbClr val="FF5F39"/>
      </a:accent3>
      <a:accent4>
        <a:srgbClr val="30D773"/>
      </a:accent4>
      <a:accent5>
        <a:srgbClr val="FF8700"/>
      </a:accent5>
      <a:accent6>
        <a:srgbClr val="4458D2"/>
      </a:accent6>
      <a:hlink>
        <a:srgbClr val="6565FF"/>
      </a:hlink>
      <a:folHlink>
        <a:srgbClr val="800080"/>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BCFD3-3F9C-4708-9D38-F5A474BB0FF1}">
  <sheetPr codeName="Sheet1"/>
  <dimension ref="A1:J86"/>
  <sheetViews>
    <sheetView tabSelected="1" zoomScaleNormal="100" workbookViewId="0">
      <selection activeCell="C35" sqref="C35"/>
    </sheetView>
  </sheetViews>
  <sheetFormatPr defaultColWidth="9.140625" defaultRowHeight="15" x14ac:dyDescent="0.25"/>
  <cols>
    <col min="1" max="1" width="9.140625" style="111"/>
    <col min="2" max="2" width="57.42578125" style="111" bestFit="1" customWidth="1"/>
    <col min="3" max="3" width="42.42578125" style="111" customWidth="1"/>
    <col min="4" max="4" width="1.42578125" style="111" customWidth="1"/>
    <col min="5" max="5" width="24.140625" style="111" bestFit="1" customWidth="1"/>
    <col min="6" max="7" width="9.140625" style="111"/>
    <col min="8" max="8" width="10.42578125" style="111" customWidth="1"/>
    <col min="9" max="16384" width="9.140625" style="111"/>
  </cols>
  <sheetData>
    <row r="1" spans="1:5" ht="15" customHeight="1" x14ac:dyDescent="0.25">
      <c r="A1" s="280" t="s">
        <v>0</v>
      </c>
      <c r="B1" s="280"/>
      <c r="C1" s="240" t="s">
        <v>1</v>
      </c>
      <c r="D1" s="241"/>
      <c r="E1" s="242"/>
    </row>
    <row r="2" spans="1:5" ht="15" customHeight="1" x14ac:dyDescent="0.25">
      <c r="C2" s="243"/>
      <c r="E2" s="244">
        <v>46120</v>
      </c>
    </row>
    <row r="3" spans="1:5" ht="15" customHeight="1" x14ac:dyDescent="0.25">
      <c r="B3" s="245" t="s">
        <v>2</v>
      </c>
      <c r="C3" s="246"/>
      <c r="D3" s="246"/>
      <c r="E3" s="247"/>
    </row>
    <row r="4" spans="1:5" ht="15" customHeight="1" x14ac:dyDescent="0.25">
      <c r="B4" s="248" t="s">
        <v>3</v>
      </c>
      <c r="C4" s="67" t="s">
        <v>205</v>
      </c>
      <c r="D4" s="249"/>
      <c r="E4" s="134"/>
    </row>
    <row r="5" spans="1:5" ht="15" customHeight="1" x14ac:dyDescent="0.25">
      <c r="B5" s="248" t="s">
        <v>5</v>
      </c>
      <c r="C5" s="67" t="s">
        <v>285</v>
      </c>
      <c r="D5" s="249"/>
      <c r="E5" s="250" t="str">
        <f>IF(AND(Revenue_Model&lt;&gt;"Tier 1",Plant_Type="Land-Based Wind"),"Wind Must Be Tier 1",IF(AND(Revenue_Model="NEM - Net Energy Metering",Plant_Type&lt;&gt;"Solar - Fixed"),"NEM must be Solar - Fixed",""))</f>
        <v/>
      </c>
    </row>
    <row r="6" spans="1:5" ht="15" customHeight="1" x14ac:dyDescent="0.25">
      <c r="B6" s="248" t="s">
        <v>7</v>
      </c>
      <c r="C6" s="68">
        <v>4500</v>
      </c>
      <c r="E6" s="251" t="str">
        <f>IF(AND(Revenue_Model="VDER - Value of Distributed Energy Resources",System_Size&gt;5000),"VDER Must be &lt;= 5,000 kW AC",IF(AND(Revenue_Model="NEM - Net Energy Metering",System_Size&gt;5000),"NEM Must be &lt;= 5,000 kW AC",IF(AND(Revenue_Model="Tier 1",System_Size&lt;=5000),"Tier 1 Must be &gt; 5,000 kW AC","kW AC")))</f>
        <v>kW AC</v>
      </c>
    </row>
    <row r="7" spans="1:5" ht="15" customHeight="1" x14ac:dyDescent="0.25">
      <c r="B7" s="248" t="s">
        <v>8</v>
      </c>
      <c r="C7" s="69">
        <v>2500</v>
      </c>
      <c r="E7" s="134"/>
    </row>
    <row r="8" spans="1:5" ht="15" customHeight="1" x14ac:dyDescent="0.25">
      <c r="B8" s="248" t="s">
        <v>9</v>
      </c>
      <c r="C8" s="70">
        <v>44562</v>
      </c>
      <c r="E8" s="134"/>
    </row>
    <row r="9" spans="1:5" ht="15" customHeight="1" x14ac:dyDescent="0.25">
      <c r="B9" s="248" t="s">
        <v>10</v>
      </c>
      <c r="C9" s="111">
        <v>2026</v>
      </c>
      <c r="E9" s="134"/>
    </row>
    <row r="10" spans="1:5" ht="15" customHeight="1" x14ac:dyDescent="0.25">
      <c r="B10" s="248" t="s">
        <v>11</v>
      </c>
      <c r="C10" s="111">
        <f>IF(Tax_Status_Year-YEAR(Date_of_Operation)&lt;0,"Tax Status year can not be before Date of Operation",Tax_Status_Year-YEAR(Date_of_Operation))</f>
        <v>4</v>
      </c>
      <c r="E10" s="134" t="s">
        <v>12</v>
      </c>
    </row>
    <row r="11" spans="1:5" ht="15" customHeight="1" x14ac:dyDescent="0.25">
      <c r="B11" s="252" t="s">
        <v>13</v>
      </c>
      <c r="C11" s="226">
        <f>IFERROR(IF(ValGroup=8,$C$79,$C$86),"")</f>
        <v>6.5875709989976716E-2</v>
      </c>
      <c r="E11" s="134"/>
    </row>
    <row r="12" spans="1:5" ht="15" customHeight="1" x14ac:dyDescent="0.25">
      <c r="B12" s="248" t="s">
        <v>14</v>
      </c>
      <c r="C12" s="71">
        <v>0.03</v>
      </c>
      <c r="E12" s="134"/>
    </row>
    <row r="13" spans="1:5" ht="15" customHeight="1" x14ac:dyDescent="0.25">
      <c r="B13" s="248" t="str">
        <f>IF(Nominal_Real_Switch=1,"Loaded Nominal Discount Rate","Loaded Real Discount Rate")</f>
        <v>Loaded Nominal Discount Rate</v>
      </c>
      <c r="C13" s="226">
        <f>IFERROR(CHOOSE(Nominal_Real_Switch,(1+$C$11)*(1+Inflation)*(1+$C$12)-1,(1+$C$11)*(1+$C$12)-1),"")</f>
        <v>0.12529828082191785</v>
      </c>
      <c r="E13" s="134"/>
    </row>
    <row r="14" spans="1:5" ht="15" customHeight="1" x14ac:dyDescent="0.25">
      <c r="B14" s="248" t="s">
        <v>15</v>
      </c>
      <c r="C14" s="72">
        <v>0</v>
      </c>
      <c r="E14" s="134"/>
    </row>
    <row r="15" spans="1:5" ht="15" customHeight="1" x14ac:dyDescent="0.25">
      <c r="B15" s="253" t="s">
        <v>16</v>
      </c>
      <c r="C15" s="73">
        <v>0</v>
      </c>
      <c r="D15" s="254"/>
      <c r="E15" s="154"/>
    </row>
    <row r="16" spans="1:5" ht="15" customHeight="1" x14ac:dyDescent="0.25"/>
    <row r="17" spans="2:10" ht="15" customHeight="1" x14ac:dyDescent="0.25">
      <c r="B17" s="255" t="s">
        <v>17</v>
      </c>
      <c r="C17" s="2"/>
      <c r="D17" s="246"/>
      <c r="E17" s="116"/>
      <c r="H17" s="256"/>
      <c r="I17" s="288"/>
      <c r="J17" s="288"/>
    </row>
    <row r="18" spans="2:10" ht="15" customHeight="1" x14ac:dyDescent="0.25">
      <c r="B18" s="248" t="s">
        <v>18</v>
      </c>
      <c r="C18" s="1" t="s">
        <v>222</v>
      </c>
      <c r="E18" s="134"/>
      <c r="H18" s="256"/>
      <c r="I18" s="256"/>
      <c r="J18" s="256"/>
    </row>
    <row r="19" spans="2:10" ht="15" customHeight="1" x14ac:dyDescent="0.25">
      <c r="B19" s="248" t="s">
        <v>20</v>
      </c>
      <c r="C19" s="3" t="s">
        <v>31</v>
      </c>
      <c r="D19" s="249"/>
      <c r="E19" s="134"/>
      <c r="H19" s="257"/>
      <c r="I19" s="258"/>
      <c r="J19" s="258"/>
    </row>
    <row r="20" spans="2:10" ht="15" customHeight="1" x14ac:dyDescent="0.25">
      <c r="B20" s="248" t="s">
        <v>22</v>
      </c>
      <c r="C20" s="4">
        <f>VLOOKUP(VDER_Utility_Name,DRV_Table,3,FALSE)</f>
        <v>0.21</v>
      </c>
      <c r="E20" s="134" t="s">
        <v>23</v>
      </c>
      <c r="H20" s="257"/>
      <c r="I20" s="259"/>
      <c r="J20" s="259"/>
    </row>
    <row r="21" spans="2:10" ht="15" customHeight="1" x14ac:dyDescent="0.25">
      <c r="B21" s="248" t="str">
        <f>IF(AND($C$23="",Community_Adder=""),"Default Maximum MTC/CC",IF(AND($C$23&lt;&gt;"",Community_Adder=""),"Actual Market Transition or Community Credit","Community Adder Replaces MTC/CC"))</f>
        <v>Default Maximum MTC/CC</v>
      </c>
      <c r="C21" s="4">
        <f>IF(AND($C$23="",Community_Adder=""),VLOOKUP(VDER_Utility_Name,DRV_Table,4,FALSE),IF(AND($C$23&lt;&gt;"",Community_Adder=""),$C$23,0))</f>
        <v>2.8199999999999999E-2</v>
      </c>
      <c r="E21" s="134" t="s">
        <v>23</v>
      </c>
      <c r="H21" s="257"/>
      <c r="I21" s="259"/>
      <c r="J21" s="259"/>
    </row>
    <row r="22" spans="2:10" ht="15" customHeight="1" x14ac:dyDescent="0.25">
      <c r="B22" s="260" t="s">
        <v>24</v>
      </c>
      <c r="C22" s="4"/>
      <c r="E22" s="261" t="str">
        <f>IF(AND($C$23&lt;&gt;"",Community_Adder&lt;&gt;""),"Only One Optional VDER Input Can Be Filled In","")</f>
        <v/>
      </c>
      <c r="H22" s="257"/>
      <c r="I22" s="259"/>
      <c r="J22" s="259"/>
    </row>
    <row r="23" spans="2:10" ht="15" customHeight="1" x14ac:dyDescent="0.25">
      <c r="B23" s="248" t="s">
        <v>25</v>
      </c>
      <c r="C23" s="5"/>
      <c r="E23" s="134" t="s">
        <v>23</v>
      </c>
      <c r="H23" s="257"/>
      <c r="I23" s="262"/>
      <c r="J23" s="262"/>
    </row>
    <row r="24" spans="2:10" ht="15" customHeight="1" x14ac:dyDescent="0.25">
      <c r="B24" s="248" t="s">
        <v>26</v>
      </c>
      <c r="C24" s="6"/>
      <c r="E24" s="134" t="s">
        <v>27</v>
      </c>
      <c r="H24" s="263"/>
      <c r="I24" s="264"/>
      <c r="J24" s="264"/>
    </row>
    <row r="25" spans="2:10" ht="15" customHeight="1" x14ac:dyDescent="0.25">
      <c r="B25" s="281" t="s">
        <v>28</v>
      </c>
      <c r="C25" s="282"/>
      <c r="D25" s="282"/>
      <c r="E25" s="283"/>
      <c r="H25" s="263"/>
      <c r="I25" s="264"/>
      <c r="J25" s="264"/>
    </row>
    <row r="26" spans="2:10" ht="15" customHeight="1" x14ac:dyDescent="0.25">
      <c r="B26" s="284"/>
      <c r="C26" s="282"/>
      <c r="D26" s="282"/>
      <c r="E26" s="283"/>
    </row>
    <row r="27" spans="2:10" ht="15" customHeight="1" x14ac:dyDescent="0.25">
      <c r="B27" s="284"/>
      <c r="C27" s="282"/>
      <c r="D27" s="282"/>
      <c r="E27" s="283"/>
    </row>
    <row r="28" spans="2:10" ht="15" customHeight="1" x14ac:dyDescent="0.25">
      <c r="B28" s="284"/>
      <c r="C28" s="282"/>
      <c r="D28" s="282"/>
      <c r="E28" s="283"/>
    </row>
    <row r="29" spans="2:10" ht="15" customHeight="1" x14ac:dyDescent="0.25">
      <c r="B29" s="285"/>
      <c r="C29" s="286"/>
      <c r="D29" s="286"/>
      <c r="E29" s="287"/>
    </row>
    <row r="30" spans="2:10" ht="15" customHeight="1" x14ac:dyDescent="0.25"/>
    <row r="31" spans="2:10" ht="15" customHeight="1" x14ac:dyDescent="0.25">
      <c r="B31" s="245" t="s">
        <v>29</v>
      </c>
      <c r="C31" s="246"/>
      <c r="D31" s="246"/>
      <c r="E31" s="116"/>
    </row>
    <row r="32" spans="2:10" ht="15" customHeight="1" x14ac:dyDescent="0.25">
      <c r="B32" s="152" t="s">
        <v>30</v>
      </c>
      <c r="C32" s="7" t="s">
        <v>31</v>
      </c>
      <c r="D32" s="254"/>
      <c r="E32" s="154"/>
    </row>
    <row r="33" spans="2:5" ht="15" customHeight="1" x14ac:dyDescent="0.25"/>
    <row r="34" spans="2:5" ht="15" customHeight="1" x14ac:dyDescent="0.25">
      <c r="B34" s="245" t="s">
        <v>32</v>
      </c>
      <c r="C34" s="246"/>
      <c r="D34" s="246"/>
      <c r="E34" s="116"/>
    </row>
    <row r="35" spans="2:5" ht="15" customHeight="1" x14ac:dyDescent="0.25">
      <c r="B35" s="248" t="s">
        <v>18</v>
      </c>
      <c r="C35" s="74" t="s">
        <v>19</v>
      </c>
      <c r="E35" s="134"/>
    </row>
    <row r="36" spans="2:5" ht="15" customHeight="1" x14ac:dyDescent="0.25">
      <c r="B36" s="265" t="s">
        <v>34</v>
      </c>
      <c r="C36" s="75">
        <v>0</v>
      </c>
      <c r="D36" s="254"/>
      <c r="E36" s="154" t="s">
        <v>35</v>
      </c>
    </row>
    <row r="37" spans="2:5" ht="15" customHeight="1" x14ac:dyDescent="0.25">
      <c r="B37" s="128"/>
      <c r="C37" s="8"/>
    </row>
    <row r="38" spans="2:5" x14ac:dyDescent="0.25">
      <c r="B38" s="255" t="s">
        <v>36</v>
      </c>
      <c r="C38" s="2"/>
      <c r="D38" s="246"/>
      <c r="E38" s="116"/>
    </row>
    <row r="39" spans="2:5" ht="15" customHeight="1" x14ac:dyDescent="0.25">
      <c r="B39" s="248" t="s">
        <v>37</v>
      </c>
      <c r="C39" s="76" t="s">
        <v>38</v>
      </c>
      <c r="E39" s="125">
        <f>IF(Cash_Flow_Label="Nominal Dollars",1,2)</f>
        <v>1</v>
      </c>
    </row>
    <row r="40" spans="2:5" ht="15" customHeight="1" x14ac:dyDescent="0.25">
      <c r="B40" s="284" t="str">
        <f>"Note: The model can display cash flows either in Nominal Dollars or in Real "&amp;TEXT(Cash_Flow_Base_Year,"0000")&amp;" Dollars. Nominal Dollars include inflation while Real "&amp;TEXT(Cash_Flow_Base_Year,"0000")&amp;" Dollars do not. The present value of cash flows is not affected by this selection."</f>
        <v>Note: The model can display cash flows either in Nominal Dollars or in Real 2025 Dollars. Nominal Dollars include inflation while Real 2025 Dollars do not. The present value of cash flows is not affected by this selection.</v>
      </c>
      <c r="C40" s="282"/>
      <c r="D40" s="282"/>
      <c r="E40" s="283"/>
    </row>
    <row r="41" spans="2:5" ht="15" customHeight="1" x14ac:dyDescent="0.25">
      <c r="B41" s="285"/>
      <c r="C41" s="286"/>
      <c r="D41" s="286"/>
      <c r="E41" s="287"/>
    </row>
    <row r="42" spans="2:5" ht="15" customHeight="1" x14ac:dyDescent="0.25">
      <c r="B42" s="128"/>
      <c r="C42" s="8"/>
    </row>
    <row r="43" spans="2:5" ht="15" customHeight="1" x14ac:dyDescent="0.25">
      <c r="B43" s="266" t="s">
        <v>39</v>
      </c>
      <c r="C43" s="9"/>
      <c r="D43" s="267"/>
      <c r="E43" s="268"/>
    </row>
    <row r="44" spans="2:5" ht="15" customHeight="1" x14ac:dyDescent="0.25">
      <c r="B44" s="269" t="s">
        <v>40</v>
      </c>
      <c r="C44" s="270" cm="1">
        <f t="array" ref="C44">IFERROR(INDEX(ModelFactors!$V$2:$V$11,MATCH(Revenue_Model&amp;Plant_Type,ModelFactors!$W$2:$W$11&amp;ModelFactors!$X$2:$X$11,0)),"ERROR")</f>
        <v>1</v>
      </c>
      <c r="D44" s="270"/>
      <c r="E44" s="271"/>
    </row>
    <row r="45" spans="2:5" ht="15" customHeight="1" x14ac:dyDescent="0.25">
      <c r="B45" s="269" t="s">
        <v>41</v>
      </c>
      <c r="C45" s="272" t="str" cm="1">
        <f t="array" ref="C45">_xlfn.IFS(Revenue_Model=ModelFactors!I3,INDEX(ModelFactors!$AA$2:$AA$12,MATCH(Inputs!C35,NYISO_Name,0)),
Revenue_Model=ModelFactors!I5,NEM_Utility_Name,
Revenue_Model=ModelFactors!I6,INDEX(ModelFactors!$AA$2:$AA$12,MATCH(Inputs!C18,NYISO_Name,0)))</f>
        <v>F</v>
      </c>
      <c r="D45" s="270"/>
      <c r="E45" s="271"/>
    </row>
    <row r="46" spans="2:5" ht="15" customHeight="1" x14ac:dyDescent="0.25">
      <c r="B46" s="269" t="s">
        <v>42</v>
      </c>
      <c r="C46" s="272" t="str">
        <f>ValGroup&amp;" - "&amp;NYISO_Zone</f>
        <v>1 - F</v>
      </c>
      <c r="D46" s="270"/>
      <c r="E46" s="271"/>
    </row>
    <row r="47" spans="2:5" ht="15" customHeight="1" x14ac:dyDescent="0.25">
      <c r="B47" s="269" t="s">
        <v>43</v>
      </c>
      <c r="C47" s="10">
        <f>VLOOKUP(ValGroup_Zone,ValGroup_Table,2,FALSE)</f>
        <v>0.2095294751629842</v>
      </c>
      <c r="D47" s="270"/>
      <c r="E47" s="271"/>
    </row>
    <row r="48" spans="2:5" ht="15" customHeight="1" x14ac:dyDescent="0.25">
      <c r="B48" s="269" t="s">
        <v>44</v>
      </c>
      <c r="C48" s="11">
        <f>Model!$C$153</f>
        <v>37.315300000000001</v>
      </c>
      <c r="D48" s="270"/>
      <c r="E48" s="271" t="s">
        <v>45</v>
      </c>
    </row>
    <row r="49" spans="2:5" ht="15" customHeight="1" x14ac:dyDescent="0.25">
      <c r="B49" s="269" t="s">
        <v>46</v>
      </c>
      <c r="C49" s="273">
        <f>VLOOKUP(VDER_Utility_Name,DRV_Table,2,FALSE)</f>
        <v>1.0840000000000001</v>
      </c>
      <c r="D49" s="270"/>
      <c r="E49" s="271"/>
    </row>
    <row r="50" spans="2:5" ht="15" customHeight="1" x14ac:dyDescent="0.25">
      <c r="B50" s="269" t="s">
        <v>47</v>
      </c>
      <c r="C50" s="11">
        <f>IF(ValGroup=8,1.8,1.87)</f>
        <v>1.87</v>
      </c>
      <c r="D50" s="270"/>
      <c r="E50" s="271" t="s">
        <v>45</v>
      </c>
    </row>
    <row r="51" spans="2:5" ht="15" customHeight="1" x14ac:dyDescent="0.25">
      <c r="B51" s="269" t="s">
        <v>48</v>
      </c>
      <c r="C51" s="270">
        <v>25</v>
      </c>
      <c r="D51" s="270"/>
      <c r="E51" s="271" t="s">
        <v>12</v>
      </c>
    </row>
    <row r="52" spans="2:5" ht="15" customHeight="1" x14ac:dyDescent="0.25">
      <c r="B52" s="269" t="s">
        <v>49</v>
      </c>
      <c r="C52" s="270">
        <v>15</v>
      </c>
      <c r="D52" s="270"/>
      <c r="E52" s="271" t="s">
        <v>12</v>
      </c>
    </row>
    <row r="53" spans="2:5" ht="15" customHeight="1" x14ac:dyDescent="0.25">
      <c r="B53" s="269" t="s">
        <v>50</v>
      </c>
      <c r="C53" s="10">
        <v>2.5000000000000001E-2</v>
      </c>
      <c r="D53" s="270"/>
      <c r="E53" s="271"/>
    </row>
    <row r="54" spans="2:5" x14ac:dyDescent="0.25">
      <c r="B54" s="269" t="s">
        <v>51</v>
      </c>
      <c r="C54" s="274">
        <f>IF(ValGroup=8,0,0.005)</f>
        <v>5.0000000000000001E-3</v>
      </c>
      <c r="D54" s="270"/>
      <c r="E54" s="271"/>
    </row>
    <row r="55" spans="2:5" ht="15" customHeight="1" x14ac:dyDescent="0.25">
      <c r="B55" s="269" t="s">
        <v>52</v>
      </c>
      <c r="C55" s="14">
        <v>0.5</v>
      </c>
      <c r="D55" s="270"/>
      <c r="E55" s="271"/>
    </row>
    <row r="56" spans="2:5" ht="15" customHeight="1" x14ac:dyDescent="0.25">
      <c r="B56" s="269" t="s">
        <v>53</v>
      </c>
      <c r="C56" s="51">
        <v>0.92500000000000004</v>
      </c>
      <c r="D56" s="270"/>
      <c r="E56" s="271"/>
    </row>
    <row r="57" spans="2:5" ht="15" customHeight="1" x14ac:dyDescent="0.25">
      <c r="B57" s="269" t="s">
        <v>54</v>
      </c>
      <c r="C57" s="12">
        <v>0.85</v>
      </c>
      <c r="D57" s="270"/>
      <c r="E57" s="271"/>
    </row>
    <row r="58" spans="2:5" ht="15" customHeight="1" x14ac:dyDescent="0.25">
      <c r="B58" s="269" t="s">
        <v>55</v>
      </c>
      <c r="C58" s="16">
        <f>IF(ValGroup&lt;&gt;8,System_Size,"N/A")</f>
        <v>4500</v>
      </c>
      <c r="D58" s="270"/>
      <c r="E58" s="271" t="s">
        <v>56</v>
      </c>
    </row>
    <row r="59" spans="2:5" ht="15" customHeight="1" x14ac:dyDescent="0.25">
      <c r="B59" s="269" t="s">
        <v>57</v>
      </c>
      <c r="C59" s="66">
        <v>1.34</v>
      </c>
      <c r="D59" s="270"/>
      <c r="E59" s="271"/>
    </row>
    <row r="60" spans="2:5" ht="15" customHeight="1" x14ac:dyDescent="0.25">
      <c r="B60" s="269" t="s">
        <v>58</v>
      </c>
      <c r="C60" s="15">
        <f>IF(ValGroup&lt;&gt;8,IF(C10&lt;C61,C10,C10-C61),"N/A")</f>
        <v>4</v>
      </c>
      <c r="D60" s="270"/>
      <c r="E60" s="271" t="s">
        <v>12</v>
      </c>
    </row>
    <row r="61" spans="2:5" ht="15" customHeight="1" x14ac:dyDescent="0.25">
      <c r="B61" s="269" t="s">
        <v>59</v>
      </c>
      <c r="C61" s="15">
        <f>IF(ValGroup&lt;&gt;8,15,"N/A")</f>
        <v>15</v>
      </c>
      <c r="D61" s="270"/>
      <c r="E61" s="271" t="s">
        <v>12</v>
      </c>
    </row>
    <row r="62" spans="2:5" ht="15" customHeight="1" x14ac:dyDescent="0.25">
      <c r="B62" s="269" t="s">
        <v>60</v>
      </c>
      <c r="C62" s="16">
        <v>5000</v>
      </c>
      <c r="D62" s="270"/>
      <c r="E62" s="271" t="s">
        <v>61</v>
      </c>
    </row>
    <row r="63" spans="2:5" x14ac:dyDescent="0.25">
      <c r="B63" s="269" t="s">
        <v>62</v>
      </c>
      <c r="C63" s="11">
        <f>IF(ValGroup&lt;&gt;8,IF(System_Size&lt;=Inverter_Size_Step,100,53),0)</f>
        <v>100</v>
      </c>
      <c r="D63" s="270"/>
      <c r="E63" s="271" t="s">
        <v>63</v>
      </c>
    </row>
    <row r="64" spans="2:5" x14ac:dyDescent="0.25">
      <c r="B64" s="269" t="s">
        <v>64</v>
      </c>
      <c r="C64" s="13">
        <f>IF(Revenue_Model="VDER - Value of Distributed Energy Resources",1,0)</f>
        <v>1</v>
      </c>
      <c r="D64" s="270"/>
      <c r="E64" s="271" t="s">
        <v>65</v>
      </c>
    </row>
    <row r="65" spans="2:5" x14ac:dyDescent="0.25">
      <c r="B65" s="269" t="s">
        <v>332</v>
      </c>
      <c r="C65" s="13">
        <f>IF(Revenue_Model="NEM - Net Energy Metering",1,0)</f>
        <v>0</v>
      </c>
      <c r="D65" s="270"/>
      <c r="E65" s="271" t="s">
        <v>333</v>
      </c>
    </row>
    <row r="66" spans="2:5" x14ac:dyDescent="0.25">
      <c r="B66" s="269" t="s">
        <v>66</v>
      </c>
      <c r="C66" s="13">
        <f>Tax_Status_Year-1</f>
        <v>2025</v>
      </c>
      <c r="D66" s="270"/>
      <c r="E66" s="271"/>
    </row>
    <row r="67" spans="2:5" x14ac:dyDescent="0.25">
      <c r="B67" s="269" t="s">
        <v>67</v>
      </c>
      <c r="C67" s="13">
        <f>Tax_Status_Year-1</f>
        <v>2025</v>
      </c>
      <c r="D67" s="270"/>
      <c r="E67" s="271"/>
    </row>
    <row r="68" spans="2:5" x14ac:dyDescent="0.25">
      <c r="B68" s="269" t="s">
        <v>68</v>
      </c>
      <c r="C68" s="13">
        <f>Tax_Status_Year-1</f>
        <v>2025</v>
      </c>
      <c r="D68" s="270"/>
      <c r="E68" s="271"/>
    </row>
    <row r="69" spans="2:5" x14ac:dyDescent="0.25">
      <c r="B69" s="275" t="s">
        <v>69</v>
      </c>
      <c r="C69" s="50">
        <f>Tax_Status_Year-1</f>
        <v>2025</v>
      </c>
      <c r="D69" s="276"/>
      <c r="E69" s="277"/>
    </row>
    <row r="71" spans="2:5" x14ac:dyDescent="0.25">
      <c r="B71" s="61" t="s">
        <v>70</v>
      </c>
      <c r="C71" s="52"/>
      <c r="D71" s="52"/>
      <c r="E71" s="53"/>
    </row>
    <row r="72" spans="2:5" x14ac:dyDescent="0.25">
      <c r="B72" s="278" t="s">
        <v>71</v>
      </c>
      <c r="C72" s="279">
        <v>0.27</v>
      </c>
      <c r="D72" s="12"/>
      <c r="E72" s="55"/>
    </row>
    <row r="73" spans="2:5" x14ac:dyDescent="0.25">
      <c r="B73" s="65"/>
      <c r="C73" s="12"/>
      <c r="D73" s="12"/>
      <c r="E73" s="55"/>
    </row>
    <row r="74" spans="2:5" x14ac:dyDescent="0.25">
      <c r="B74" s="54" t="s">
        <v>72</v>
      </c>
      <c r="C74" s="12"/>
      <c r="D74" s="12"/>
      <c r="E74" s="55"/>
    </row>
    <row r="75" spans="2:5" x14ac:dyDescent="0.25">
      <c r="B75" s="56" t="s">
        <v>73</v>
      </c>
      <c r="C75" s="10">
        <v>7.0000000000000007E-2</v>
      </c>
      <c r="D75" s="12"/>
      <c r="E75" s="55"/>
    </row>
    <row r="76" spans="2:5" x14ac:dyDescent="0.25">
      <c r="B76" s="56" t="s">
        <v>74</v>
      </c>
      <c r="C76" s="10">
        <v>0.36199999999999999</v>
      </c>
      <c r="D76" s="12"/>
      <c r="E76" s="55"/>
    </row>
    <row r="77" spans="2:5" x14ac:dyDescent="0.25">
      <c r="B77" s="56" t="s">
        <v>75</v>
      </c>
      <c r="C77" s="10">
        <v>0.09</v>
      </c>
      <c r="D77" s="12"/>
      <c r="E77" s="55"/>
    </row>
    <row r="78" spans="2:5" x14ac:dyDescent="0.25">
      <c r="B78" s="56" t="s">
        <v>76</v>
      </c>
      <c r="C78" s="10">
        <f>C75*C76+C77*(1-C76)/(1-$C$72)</f>
        <v>0.10399753424657535</v>
      </c>
      <c r="D78" s="12"/>
      <c r="E78" s="55"/>
    </row>
    <row r="79" spans="2:5" x14ac:dyDescent="0.25">
      <c r="B79" s="56" t="s">
        <v>77</v>
      </c>
      <c r="C79" s="10">
        <f>(1+C78)/(1+Inflation)-1</f>
        <v>7.7070765118610218E-2</v>
      </c>
      <c r="D79" s="12"/>
      <c r="E79" s="55"/>
    </row>
    <row r="80" spans="2:5" x14ac:dyDescent="0.25">
      <c r="B80" s="54"/>
      <c r="C80" s="10"/>
      <c r="D80" s="12"/>
      <c r="E80" s="55"/>
    </row>
    <row r="81" spans="2:5" x14ac:dyDescent="0.25">
      <c r="B81" s="54" t="s">
        <v>6</v>
      </c>
      <c r="C81" s="10"/>
      <c r="D81" s="12"/>
      <c r="E81" s="55"/>
    </row>
    <row r="82" spans="2:5" x14ac:dyDescent="0.25">
      <c r="B82" s="56" t="s">
        <v>78</v>
      </c>
      <c r="C82" s="10">
        <v>7.0000000000000007E-2</v>
      </c>
      <c r="D82" s="12"/>
      <c r="E82" s="55"/>
    </row>
    <row r="83" spans="2:5" x14ac:dyDescent="0.25">
      <c r="B83" s="56" t="s">
        <v>74</v>
      </c>
      <c r="C83" s="10">
        <v>0.51500000000000001</v>
      </c>
      <c r="D83" s="12"/>
      <c r="E83" s="55"/>
    </row>
    <row r="84" spans="2:5" x14ac:dyDescent="0.25">
      <c r="B84" s="56" t="s">
        <v>75</v>
      </c>
      <c r="C84" s="10">
        <v>8.5000000000000006E-2</v>
      </c>
      <c r="D84" s="12"/>
      <c r="E84" s="55"/>
    </row>
    <row r="85" spans="2:5" x14ac:dyDescent="0.25">
      <c r="B85" s="56" t="s">
        <v>76</v>
      </c>
      <c r="C85" s="10">
        <f>C82*C83+C84*(1-C83)/(1-$C$72)</f>
        <v>9.252260273972604E-2</v>
      </c>
      <c r="D85" s="12"/>
      <c r="E85" s="55"/>
    </row>
    <row r="86" spans="2:5" x14ac:dyDescent="0.25">
      <c r="B86" s="57" t="s">
        <v>77</v>
      </c>
      <c r="C86" s="60">
        <f>(1+C85)/(1+Inflation)-1</f>
        <v>6.5875709989976716E-2</v>
      </c>
      <c r="D86" s="58"/>
      <c r="E86" s="59"/>
    </row>
  </sheetData>
  <sheetProtection algorithmName="SHA-512" hashValue="xcSp5doQh67qNbwtPkbatpZxB7YRSWTQm4boBrNFlQzoyr4FImTd/8/Euug0G5vam4WePAFqUBONojmHm9JBCg==" saltValue="eaWmx7lcOntpcgnC0nY3Og==" spinCount="100000" sheet="1" selectLockedCells="1"/>
  <mergeCells count="4">
    <mergeCell ref="A1:B1"/>
    <mergeCell ref="B25:E29"/>
    <mergeCell ref="B40:E41"/>
    <mergeCell ref="I17:J17"/>
  </mergeCells>
  <conditionalFormatting sqref="B7:E7">
    <cfRule type="expression" dxfId="13" priority="1">
      <formula>IF(Plant_Type&lt;&gt;"Hybrid Solar Plus Storage",1,0)</formula>
    </cfRule>
  </conditionalFormatting>
  <conditionalFormatting sqref="B17:E29">
    <cfRule type="expression" dxfId="12" priority="5">
      <formula>IF(OR(Revenue_Model="Tier 1",Revenue_Model="NEM - Net Energy Metering"),1,0)</formula>
    </cfRule>
  </conditionalFormatting>
  <conditionalFormatting sqref="B31:E32">
    <cfRule type="expression" dxfId="11" priority="8">
      <formula>IF(OR(Revenue_Model="VDER - Value of Distributed Energy Resources",Revenue_Model="Tier 1"),1,0)</formula>
    </cfRule>
  </conditionalFormatting>
  <conditionalFormatting sqref="B34:E36">
    <cfRule type="expression" dxfId="10" priority="10">
      <formula>IF(OR(Revenue_Model="VDER - Value of Distributed Energy Resources",Revenue_Model="NEM - Net Energy Metering"),1,0)</formula>
    </cfRule>
  </conditionalFormatting>
  <conditionalFormatting sqref="C7">
    <cfRule type="expression" dxfId="9" priority="2">
      <formula>IF(Revenue_Model="VDER - Value of Distributed Energy Resources",1,0)</formula>
    </cfRule>
  </conditionalFormatting>
  <conditionalFormatting sqref="C18:C19 C23:C24">
    <cfRule type="expression" dxfId="8" priority="6">
      <formula>IF(Revenue_Model="VDER - Value of Distributed Energy Resources",1,0)</formula>
    </cfRule>
  </conditionalFormatting>
  <conditionalFormatting sqref="C32">
    <cfRule type="expression" dxfId="7" priority="9">
      <formula>IF(Revenue_Model="NEM - Net Energy Metering",1,0)</formula>
    </cfRule>
  </conditionalFormatting>
  <conditionalFormatting sqref="C35:C36">
    <cfRule type="expression" dxfId="6" priority="11">
      <formula>IF(Revenue_Model="Tier 1",1,0)</formula>
    </cfRule>
  </conditionalFormatting>
  <conditionalFormatting sqref="E5">
    <cfRule type="expression" dxfId="5" priority="3">
      <formula>IF(AND(Revenue_Model&lt;&gt;"Tier 1",Plant_Type="Land Based Wind"),1,0)</formula>
    </cfRule>
  </conditionalFormatting>
  <conditionalFormatting sqref="E6">
    <cfRule type="expression" dxfId="4" priority="4">
      <formula>IF(AND(Revenue_Model="VDER - Value of Distributed Energy Resources",System_Size&gt;5000),1,IF(AND(Revenue_Model="Tier 1",System_Size&lt;=5000),1,IF(AND(Revenue_Model="NEM - Net Energy Metering",System_Size&gt;5000),1,0)))</formula>
    </cfRule>
  </conditionalFormatting>
  <conditionalFormatting sqref="E22">
    <cfRule type="expression" dxfId="3" priority="7">
      <formula>IF(AND(Revenue_Model="VDER - Value of Distributed Energy Resources",$E$22="Only One Optional VDER Input Can Be Filled In"),TRUE,FALSE)</formula>
    </cfRule>
  </conditionalFormatting>
  <dataValidations count="8">
    <dataValidation type="decimal" operator="greaterThanOrEqual" showErrorMessage="1" error="Minimum allowable size for this model is 1000kW (1MW) AC." sqref="C6" xr:uid="{4922ABBF-DF42-4E18-8866-123E546680D7}">
      <formula1>1000</formula1>
    </dataValidation>
    <dataValidation type="list" showInputMessage="1" showErrorMessage="1" sqref="C18 C35" xr:uid="{AF43CAB8-F386-4E7B-BEB5-DEB559D1B4D5}">
      <formula1>NYISO_Name</formula1>
    </dataValidation>
    <dataValidation type="decimal" showInputMessage="1" showErrorMessage="1" sqref="C12 C15 C72" xr:uid="{EDB9BEF3-46F0-412B-9B4B-2312FB380779}">
      <formula1>0</formula1>
      <formula2>1</formula2>
    </dataValidation>
    <dataValidation type="date" showInputMessage="1" showErrorMessage="1" error="The date entered must occur before the Taxable Status Year." sqref="C8" xr:uid="{551A72E4-A5CC-4BDE-97F4-85299F957C4A}">
      <formula1>1</formula1>
      <formula2>46082</formula2>
    </dataValidation>
    <dataValidation type="decimal" operator="greaterThanOrEqual" showInputMessage="1" showErrorMessage="1" sqref="C23:C24" xr:uid="{FAC74590-F58A-4767-BE3A-E9ABA8CA53FF}">
      <formula1>0</formula1>
    </dataValidation>
    <dataValidation type="list" showInputMessage="1" showErrorMessage="1" sqref="C36" xr:uid="{60840679-475E-4389-A0DC-6D2CB85F7F94}">
      <formula1>"0,1"</formula1>
    </dataValidation>
    <dataValidation type="custom" operator="equal" showErrorMessage="1" error="Minimum allowable BESS size for Hybrid projects in this model is 0kW (0MW) AC." sqref="C7" xr:uid="{CD5AB871-963F-472E-AD97-EEC7ED53BAEB}">
      <formula1>OR(AND(C5="Hybrid Solar Plus Storage",C7&gt;0),AND(C5&lt;&gt;"Hybrid Solar Plus Storage",C7=0))</formula1>
    </dataValidation>
    <dataValidation type="custom" allowBlank="1" showInputMessage="1" showErrorMessage="1" errorTitle="Invalid input" error="Taxable Status Year must be set to 2026." sqref="C9" xr:uid="{E80AEF64-4713-4693-874F-06B5CE1143B2}">
      <formula1>C9=2026</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showInputMessage="1" showErrorMessage="1" xr:uid="{358E2214-5368-4C92-A1C0-45577EA59782}">
          <x14:formula1>
            <xm:f>ModelFactors!$AF$2:$AF$3</xm:f>
          </x14:formula1>
          <xm:sqref>C39</xm:sqref>
        </x14:dataValidation>
        <x14:dataValidation type="list" showInputMessage="1" showErrorMessage="1" xr:uid="{7159015A-C292-4380-B745-25DE9BAAF885}">
          <x14:formula1>
            <xm:f>ModelFactors!$Q$2:$Q$11</xm:f>
          </x14:formula1>
          <xm:sqref>C19</xm:sqref>
        </x14:dataValidation>
        <x14:dataValidation type="list" showInputMessage="1" showErrorMessage="1" xr:uid="{62FC7950-3680-4586-9D0C-3F371B0692ED}">
          <x14:formula1>
            <xm:f>'2026_Forecasts'!$D$196:$D$203</xm:f>
          </x14:formula1>
          <xm:sqref>C32</xm:sqref>
        </x14:dataValidation>
        <x14:dataValidation type="list" showInputMessage="1" showErrorMessage="1" xr:uid="{E7C54202-3B50-4A8F-9FF5-DCB5F48EC076}">
          <x14:formula1>
            <xm:f>ModelFactors!$W$2:$W$9</xm:f>
          </x14:formula1>
          <xm:sqref>C4</xm:sqref>
        </x14:dataValidation>
        <x14:dataValidation type="list" showInputMessage="1" showErrorMessage="1" xr:uid="{DACF7929-BF82-470D-83E2-207D75DEAA1C}">
          <x14:formula1>
            <xm:f>ModelFactors!$X$2:$X$9</xm:f>
          </x14:formula1>
          <xm:sqref>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7437D-948E-4F1D-B2BF-ABF00F222172}">
  <sheetPr codeName="Sheet2"/>
  <dimension ref="A2:AA194"/>
  <sheetViews>
    <sheetView zoomScaleNormal="100" workbookViewId="0">
      <selection activeCell="D36" sqref="D36:E36"/>
    </sheetView>
  </sheetViews>
  <sheetFormatPr defaultColWidth="9.140625" defaultRowHeight="15" x14ac:dyDescent="0.25"/>
  <cols>
    <col min="1" max="1" width="6.42578125" style="111" bestFit="1" customWidth="1"/>
    <col min="2" max="2" width="51.140625" style="111" customWidth="1"/>
    <col min="3" max="27" width="12.42578125" style="111" customWidth="1"/>
    <col min="28" max="16384" width="9.140625" style="111"/>
  </cols>
  <sheetData>
    <row r="2" spans="2:27" x14ac:dyDescent="0.25">
      <c r="B2" s="98" t="s">
        <v>79</v>
      </c>
      <c r="C2" s="34">
        <f>YEAR(Date_of_Operation)-1+C$3</f>
        <v>2022</v>
      </c>
      <c r="D2" s="24">
        <f t="shared" ref="D2:AA2" si="0">YEAR(Date_of_Operation)-1+D$3</f>
        <v>2023</v>
      </c>
      <c r="E2" s="24">
        <f t="shared" si="0"/>
        <v>2024</v>
      </c>
      <c r="F2" s="24">
        <f t="shared" si="0"/>
        <v>2025</v>
      </c>
      <c r="G2" s="24">
        <f t="shared" si="0"/>
        <v>2026</v>
      </c>
      <c r="H2" s="24">
        <f t="shared" si="0"/>
        <v>2027</v>
      </c>
      <c r="I2" s="24">
        <f t="shared" si="0"/>
        <v>2028</v>
      </c>
      <c r="J2" s="24">
        <f t="shared" si="0"/>
        <v>2029</v>
      </c>
      <c r="K2" s="24">
        <f t="shared" si="0"/>
        <v>2030</v>
      </c>
      <c r="L2" s="24">
        <f t="shared" si="0"/>
        <v>2031</v>
      </c>
      <c r="M2" s="24">
        <f t="shared" si="0"/>
        <v>2032</v>
      </c>
      <c r="N2" s="24">
        <f t="shared" si="0"/>
        <v>2033</v>
      </c>
      <c r="O2" s="24">
        <f t="shared" si="0"/>
        <v>2034</v>
      </c>
      <c r="P2" s="24">
        <f t="shared" si="0"/>
        <v>2035</v>
      </c>
      <c r="Q2" s="24">
        <f t="shared" si="0"/>
        <v>2036</v>
      </c>
      <c r="R2" s="24">
        <f t="shared" si="0"/>
        <v>2037</v>
      </c>
      <c r="S2" s="24">
        <f t="shared" si="0"/>
        <v>2038</v>
      </c>
      <c r="T2" s="24">
        <f t="shared" si="0"/>
        <v>2039</v>
      </c>
      <c r="U2" s="24">
        <f t="shared" si="0"/>
        <v>2040</v>
      </c>
      <c r="V2" s="24">
        <f t="shared" si="0"/>
        <v>2041</v>
      </c>
      <c r="W2" s="24">
        <f t="shared" si="0"/>
        <v>2042</v>
      </c>
      <c r="X2" s="24">
        <f t="shared" si="0"/>
        <v>2043</v>
      </c>
      <c r="Y2" s="24">
        <f t="shared" si="0"/>
        <v>2044</v>
      </c>
      <c r="Z2" s="24">
        <f t="shared" si="0"/>
        <v>2045</v>
      </c>
      <c r="AA2" s="25">
        <f t="shared" si="0"/>
        <v>2046</v>
      </c>
    </row>
    <row r="3" spans="2:27" s="200" customFormat="1" x14ac:dyDescent="0.25">
      <c r="B3" s="105" t="s">
        <v>80</v>
      </c>
      <c r="C3" s="197">
        <v>1</v>
      </c>
      <c r="D3" s="198">
        <v>2</v>
      </c>
      <c r="E3" s="198">
        <v>3</v>
      </c>
      <c r="F3" s="198">
        <v>4</v>
      </c>
      <c r="G3" s="198">
        <v>5</v>
      </c>
      <c r="H3" s="198">
        <v>6</v>
      </c>
      <c r="I3" s="198">
        <v>7</v>
      </c>
      <c r="J3" s="198">
        <v>8</v>
      </c>
      <c r="K3" s="198">
        <v>9</v>
      </c>
      <c r="L3" s="198">
        <v>10</v>
      </c>
      <c r="M3" s="198">
        <v>11</v>
      </c>
      <c r="N3" s="198">
        <v>12</v>
      </c>
      <c r="O3" s="198">
        <v>13</v>
      </c>
      <c r="P3" s="198">
        <v>14</v>
      </c>
      <c r="Q3" s="198">
        <v>15</v>
      </c>
      <c r="R3" s="198">
        <v>16</v>
      </c>
      <c r="S3" s="198">
        <v>17</v>
      </c>
      <c r="T3" s="198">
        <v>18</v>
      </c>
      <c r="U3" s="198">
        <v>19</v>
      </c>
      <c r="V3" s="198">
        <v>20</v>
      </c>
      <c r="W3" s="198">
        <v>21</v>
      </c>
      <c r="X3" s="198">
        <v>22</v>
      </c>
      <c r="Y3" s="198">
        <v>23</v>
      </c>
      <c r="Z3" s="198">
        <v>24</v>
      </c>
      <c r="AA3" s="199">
        <v>25</v>
      </c>
    </row>
    <row r="4" spans="2:27" x14ac:dyDescent="0.25">
      <c r="B4" s="94" t="s">
        <v>81</v>
      </c>
      <c r="C4" s="35">
        <f>C$58</f>
        <v>8259651.910924837</v>
      </c>
      <c r="D4" s="20">
        <f t="shared" ref="D4:AA4" si="1">D$58</f>
        <v>8218353.6513702124</v>
      </c>
      <c r="E4" s="20">
        <f t="shared" si="1"/>
        <v>8199458.2833000151</v>
      </c>
      <c r="F4" s="20">
        <f t="shared" si="1"/>
        <v>8135757.1322609643</v>
      </c>
      <c r="G4" s="20">
        <f t="shared" si="1"/>
        <v>8094458.8727063397</v>
      </c>
      <c r="H4" s="20">
        <f t="shared" si="1"/>
        <v>8053160.6131517161</v>
      </c>
      <c r="I4" s="20">
        <f t="shared" si="1"/>
        <v>8033812.6614151662</v>
      </c>
      <c r="J4" s="20">
        <f t="shared" si="1"/>
        <v>7970564.0940424679</v>
      </c>
      <c r="K4" s="20">
        <f t="shared" si="1"/>
        <v>7929265.8344878433</v>
      </c>
      <c r="L4" s="20">
        <f t="shared" si="1"/>
        <v>7887967.5749332188</v>
      </c>
      <c r="M4" s="20">
        <f t="shared" si="1"/>
        <v>7868167.0395303173</v>
      </c>
      <c r="N4" s="20">
        <f t="shared" si="1"/>
        <v>7805371.0558239706</v>
      </c>
      <c r="O4" s="20">
        <f t="shared" si="1"/>
        <v>7764072.796269346</v>
      </c>
      <c r="P4" s="20">
        <f t="shared" si="1"/>
        <v>7722774.5367147233</v>
      </c>
      <c r="Q4" s="20">
        <f t="shared" si="1"/>
        <v>7702521.4176454684</v>
      </c>
      <c r="R4" s="20">
        <f t="shared" si="1"/>
        <v>7640178.0176054742</v>
      </c>
      <c r="S4" s="20">
        <f t="shared" si="1"/>
        <v>7598879.7580508506</v>
      </c>
      <c r="T4" s="20">
        <f t="shared" si="1"/>
        <v>7557581.498496226</v>
      </c>
      <c r="U4" s="20">
        <f t="shared" si="1"/>
        <v>7536875.7957606204</v>
      </c>
      <c r="V4" s="20">
        <f t="shared" si="1"/>
        <v>7474984.9793869779</v>
      </c>
      <c r="W4" s="20">
        <f t="shared" si="1"/>
        <v>7433686.7198323533</v>
      </c>
      <c r="X4" s="20">
        <f t="shared" si="1"/>
        <v>7392388.4602777297</v>
      </c>
      <c r="Y4" s="20">
        <f t="shared" si="1"/>
        <v>7371230.1738757715</v>
      </c>
      <c r="Z4" s="20">
        <f t="shared" si="1"/>
        <v>7309791.9411684806</v>
      </c>
      <c r="AA4" s="21">
        <f t="shared" si="1"/>
        <v>7268493.6816138569</v>
      </c>
    </row>
    <row r="5" spans="2:27" s="200" customFormat="1" x14ac:dyDescent="0.25">
      <c r="B5" s="201" t="str">
        <f>IF(Revenue_Model="VDER - Value of Distributed Energy Resources","VDER Revenues:","VDER Not Applicable")</f>
        <v>VDER Revenues:</v>
      </c>
      <c r="C5" s="36"/>
      <c r="D5" s="22"/>
      <c r="E5" s="22"/>
      <c r="F5" s="22"/>
      <c r="G5" s="22"/>
      <c r="H5" s="22"/>
      <c r="I5" s="22"/>
      <c r="J5" s="22"/>
      <c r="K5" s="22"/>
      <c r="L5" s="22"/>
      <c r="M5" s="22"/>
      <c r="N5" s="22"/>
      <c r="O5" s="22"/>
      <c r="P5" s="22"/>
      <c r="Q5" s="22"/>
      <c r="R5" s="22"/>
      <c r="S5" s="22"/>
      <c r="T5" s="22"/>
      <c r="U5" s="22"/>
      <c r="V5" s="22"/>
      <c r="W5" s="22"/>
      <c r="X5" s="22"/>
      <c r="Y5" s="22"/>
      <c r="Z5" s="22"/>
      <c r="AA5" s="23"/>
    </row>
    <row r="6" spans="2:27" s="200" customFormat="1" x14ac:dyDescent="0.25">
      <c r="B6" s="94" t="s">
        <v>82</v>
      </c>
      <c r="C6" s="35">
        <f t="shared" ref="C6:AA6" si="2">CHOOSE(Nominal_Real_Switch,C$75,C$76)</f>
        <v>0</v>
      </c>
      <c r="D6" s="20">
        <f t="shared" si="2"/>
        <v>0</v>
      </c>
      <c r="E6" s="20">
        <f t="shared" si="2"/>
        <v>0</v>
      </c>
      <c r="F6" s="20">
        <f t="shared" si="2"/>
        <v>0</v>
      </c>
      <c r="G6" s="20">
        <f t="shared" si="2"/>
        <v>433554.66083941073</v>
      </c>
      <c r="H6" s="20">
        <f t="shared" si="2"/>
        <v>411233.15581813332</v>
      </c>
      <c r="I6" s="20">
        <f t="shared" si="2"/>
        <v>400983.5385394147</v>
      </c>
      <c r="J6" s="20">
        <f t="shared" si="2"/>
        <v>391303.24980321049</v>
      </c>
      <c r="K6" s="20">
        <f t="shared" si="2"/>
        <v>376878.49341239402</v>
      </c>
      <c r="L6" s="20">
        <f t="shared" si="2"/>
        <v>390761.8891242572</v>
      </c>
      <c r="M6" s="20">
        <f t="shared" si="2"/>
        <v>404694.43875830236</v>
      </c>
      <c r="N6" s="20">
        <f t="shared" si="2"/>
        <v>403577.97439806681</v>
      </c>
      <c r="O6" s="20">
        <f t="shared" si="2"/>
        <v>405183.10741647228</v>
      </c>
      <c r="P6" s="20">
        <f t="shared" si="2"/>
        <v>402535.0105044489</v>
      </c>
      <c r="Q6" s="20">
        <f t="shared" si="2"/>
        <v>408301.50975405041</v>
      </c>
      <c r="R6" s="20">
        <f t="shared" si="2"/>
        <v>409813.44077536528</v>
      </c>
      <c r="S6" s="20">
        <f t="shared" si="2"/>
        <v>421071.08447298803</v>
      </c>
      <c r="T6" s="20">
        <f t="shared" si="2"/>
        <v>419212.88983960618</v>
      </c>
      <c r="U6" s="20">
        <f t="shared" si="2"/>
        <v>423300.93104389159</v>
      </c>
      <c r="V6" s="20">
        <f t="shared" si="2"/>
        <v>435036.68415987107</v>
      </c>
      <c r="W6" s="20">
        <f t="shared" si="2"/>
        <v>441127.31292764825</v>
      </c>
      <c r="X6" s="20">
        <f t="shared" si="2"/>
        <v>447020.63204715884</v>
      </c>
      <c r="Y6" s="20">
        <f t="shared" si="2"/>
        <v>451898.95797099953</v>
      </c>
      <c r="Z6" s="20">
        <f t="shared" si="2"/>
        <v>463420.90575491119</v>
      </c>
      <c r="AA6" s="21">
        <f t="shared" si="2"/>
        <v>478325.08545550075</v>
      </c>
    </row>
    <row r="7" spans="2:27" s="200" customFormat="1" x14ac:dyDescent="0.25">
      <c r="B7" s="94" t="s">
        <v>83</v>
      </c>
      <c r="C7" s="35">
        <f t="shared" ref="C7:AA7" si="3">CHOOSE(Nominal_Real_Switch,C$84,C$85)</f>
        <v>0</v>
      </c>
      <c r="D7" s="20">
        <f>CHOOSE(Nominal_Real_Switch,D$84,D$85)</f>
        <v>0</v>
      </c>
      <c r="E7" s="20">
        <f t="shared" si="3"/>
        <v>0</v>
      </c>
      <c r="F7" s="20">
        <f t="shared" si="3"/>
        <v>0</v>
      </c>
      <c r="G7" s="20">
        <f t="shared" si="3"/>
        <v>25383.930038170965</v>
      </c>
      <c r="H7" s="20">
        <f t="shared" si="3"/>
        <v>26614.133045155559</v>
      </c>
      <c r="I7" s="20">
        <f t="shared" si="3"/>
        <v>27825.174669195247</v>
      </c>
      <c r="J7" s="20">
        <f t="shared" si="3"/>
        <v>25466.641991856894</v>
      </c>
      <c r="K7" s="20">
        <f t="shared" si="3"/>
        <v>24845.561113740951</v>
      </c>
      <c r="L7" s="20">
        <f t="shared" si="3"/>
        <v>26463.28848687861</v>
      </c>
      <c r="M7" s="20">
        <f t="shared" si="3"/>
        <v>27852.666822620769</v>
      </c>
      <c r="N7" s="20">
        <f t="shared" si="3"/>
        <v>28299.97758970709</v>
      </c>
      <c r="O7" s="20">
        <f t="shared" si="3"/>
        <v>24292.703352906938</v>
      </c>
      <c r="P7" s="20">
        <f t="shared" si="3"/>
        <v>26184.635656126196</v>
      </c>
      <c r="Q7" s="20">
        <f t="shared" si="3"/>
        <v>28119.023737767529</v>
      </c>
      <c r="R7" s="20">
        <f t="shared" si="3"/>
        <v>29706.39477882623</v>
      </c>
      <c r="S7" s="20">
        <f t="shared" si="3"/>
        <v>31451.135915975916</v>
      </c>
      <c r="T7" s="20">
        <f t="shared" si="3"/>
        <v>32220.673695786991</v>
      </c>
      <c r="U7" s="20">
        <f t="shared" si="3"/>
        <v>31890.014372221129</v>
      </c>
      <c r="V7" s="20">
        <f t="shared" si="3"/>
        <v>33109.855419744046</v>
      </c>
      <c r="W7" s="20">
        <f t="shared" si="3"/>
        <v>33330.766029031874</v>
      </c>
      <c r="X7" s="20">
        <f t="shared" si="3"/>
        <v>33694.867630561312</v>
      </c>
      <c r="Y7" s="20">
        <f t="shared" si="3"/>
        <v>34653.40595152905</v>
      </c>
      <c r="Z7" s="20">
        <f t="shared" si="3"/>
        <v>35723.608861802975</v>
      </c>
      <c r="AA7" s="21">
        <f t="shared" si="3"/>
        <v>35851.531807446787</v>
      </c>
    </row>
    <row r="8" spans="2:27" s="200" customFormat="1" x14ac:dyDescent="0.25">
      <c r="B8" s="94" t="s">
        <v>22</v>
      </c>
      <c r="C8" s="35">
        <f t="shared" ref="C8:AA8" si="4">CHOOSE(Nominal_Real_Switch,C$98,C$99)</f>
        <v>0</v>
      </c>
      <c r="D8" s="20">
        <f t="shared" si="4"/>
        <v>0</v>
      </c>
      <c r="E8" s="20">
        <f t="shared" si="4"/>
        <v>0</v>
      </c>
      <c r="F8" s="20">
        <f t="shared" si="4"/>
        <v>0</v>
      </c>
      <c r="G8" s="20">
        <f t="shared" si="4"/>
        <v>137578.76078792656</v>
      </c>
      <c r="H8" s="20">
        <f t="shared" si="4"/>
        <v>136496.73663111564</v>
      </c>
      <c r="I8" s="20">
        <f t="shared" si="4"/>
        <v>132804.2184709603</v>
      </c>
      <c r="J8" s="20">
        <f t="shared" si="4"/>
        <v>132983.83793407067</v>
      </c>
      <c r="K8" s="20">
        <f t="shared" si="4"/>
        <v>132669.04664349771</v>
      </c>
      <c r="L8" s="20">
        <f t="shared" si="4"/>
        <v>131495.13489127581</v>
      </c>
      <c r="M8" s="20">
        <f t="shared" si="4"/>
        <v>66498.41015362044</v>
      </c>
      <c r="N8" s="20">
        <f t="shared" si="4"/>
        <v>64690.71466755541</v>
      </c>
      <c r="O8" s="20">
        <f t="shared" si="4"/>
        <v>64348.435753970451</v>
      </c>
      <c r="P8" s="20">
        <f t="shared" si="4"/>
        <v>64424.812677904709</v>
      </c>
      <c r="Q8" s="20">
        <f t="shared" si="4"/>
        <v>64026.426936589778</v>
      </c>
      <c r="R8" s="20">
        <f t="shared" si="4"/>
        <v>64928.751902465337</v>
      </c>
      <c r="S8" s="20">
        <f t="shared" si="4"/>
        <v>64398.460359295583</v>
      </c>
      <c r="T8" s="20">
        <f t="shared" si="4"/>
        <v>62637.04118604571</v>
      </c>
      <c r="U8" s="20">
        <f t="shared" si="4"/>
        <v>62702.224103629182</v>
      </c>
      <c r="V8" s="20">
        <f t="shared" si="4"/>
        <v>62534.107923106996</v>
      </c>
      <c r="W8" s="20">
        <f t="shared" si="4"/>
        <v>61961.058325732047</v>
      </c>
      <c r="X8" s="20">
        <f t="shared" si="4"/>
        <v>62822.954543466461</v>
      </c>
      <c r="Y8" s="20">
        <f t="shared" si="4"/>
        <v>60925.646618120954</v>
      </c>
      <c r="Z8" s="20">
        <f t="shared" si="4"/>
        <v>60583.367704536009</v>
      </c>
      <c r="AA8" s="21">
        <f t="shared" si="4"/>
        <v>60635.117814498546</v>
      </c>
    </row>
    <row r="9" spans="2:27" s="200" customFormat="1" x14ac:dyDescent="0.25">
      <c r="B9" s="94" t="s">
        <v>84</v>
      </c>
      <c r="C9" s="35">
        <f t="shared" ref="C9:AA9" si="5">CHOOSE(Nominal_Real_Switch,C$107,C$108)</f>
        <v>0</v>
      </c>
      <c r="D9" s="20">
        <f t="shared" si="5"/>
        <v>0</v>
      </c>
      <c r="E9" s="20">
        <f t="shared" si="5"/>
        <v>0</v>
      </c>
      <c r="F9" s="20">
        <f>CHOOSE(Nominal_Real_Switch,F$107,F$108)</f>
        <v>0</v>
      </c>
      <c r="G9" s="20">
        <f t="shared" si="5"/>
        <v>211143.95969454487</v>
      </c>
      <c r="H9" s="20">
        <f t="shared" si="5"/>
        <v>210066.69459406252</v>
      </c>
      <c r="I9" s="20">
        <f t="shared" si="5"/>
        <v>209562.00327301462</v>
      </c>
      <c r="J9" s="20">
        <f t="shared" si="5"/>
        <v>207912.16439309777</v>
      </c>
      <c r="K9" s="20">
        <f t="shared" si="5"/>
        <v>206834.89929261539</v>
      </c>
      <c r="L9" s="20">
        <f t="shared" si="5"/>
        <v>205757.63419213303</v>
      </c>
      <c r="M9" s="20">
        <f t="shared" si="5"/>
        <v>205241.13722614833</v>
      </c>
      <c r="N9" s="20">
        <f t="shared" si="5"/>
        <v>203603.10399116829</v>
      </c>
      <c r="O9" s="20">
        <f t="shared" si="5"/>
        <v>202525.8388906859</v>
      </c>
      <c r="P9" s="20">
        <f t="shared" si="5"/>
        <v>201448.57379020358</v>
      </c>
      <c r="Q9" s="20">
        <f t="shared" si="5"/>
        <v>200920.27117928205</v>
      </c>
      <c r="R9" s="20">
        <f t="shared" si="5"/>
        <v>199294.0435892388</v>
      </c>
      <c r="S9" s="20">
        <f t="shared" si="5"/>
        <v>198216.77848875642</v>
      </c>
      <c r="T9" s="20">
        <f t="shared" si="5"/>
        <v>197139.51338827406</v>
      </c>
      <c r="U9" s="20">
        <f t="shared" si="5"/>
        <v>196599.40513241579</v>
      </c>
      <c r="V9" s="20">
        <f t="shared" si="5"/>
        <v>194984.98318730932</v>
      </c>
      <c r="W9" s="20">
        <f t="shared" si="5"/>
        <v>193907.71808682694</v>
      </c>
      <c r="X9" s="20">
        <f t="shared" si="5"/>
        <v>192830.45298634458</v>
      </c>
      <c r="Y9" s="20">
        <f t="shared" si="5"/>
        <v>192278.53908554951</v>
      </c>
      <c r="Z9" s="20">
        <f t="shared" si="5"/>
        <v>190675.92278537981</v>
      </c>
      <c r="AA9" s="21">
        <f t="shared" si="5"/>
        <v>189598.65768489745</v>
      </c>
    </row>
    <row r="10" spans="2:27" s="200" customFormat="1" x14ac:dyDescent="0.25">
      <c r="B10" s="94" t="s">
        <v>85</v>
      </c>
      <c r="C10" s="35">
        <f t="shared" ref="C10:AA10" si="6">CHOOSE(Nominal_Real_Switch,C$116,C$117)</f>
        <v>0</v>
      </c>
      <c r="D10" s="20">
        <f t="shared" si="6"/>
        <v>0</v>
      </c>
      <c r="E10" s="20">
        <f t="shared" si="6"/>
        <v>0</v>
      </c>
      <c r="F10" s="20">
        <f>CHOOSE(Nominal_Real_Switch,F$116,F$117)</f>
        <v>0</v>
      </c>
      <c r="G10" s="20">
        <f t="shared" si="6"/>
        <v>0</v>
      </c>
      <c r="H10" s="20">
        <f t="shared" si="6"/>
        <v>0</v>
      </c>
      <c r="I10" s="20">
        <f t="shared" si="6"/>
        <v>0</v>
      </c>
      <c r="J10" s="20">
        <f t="shared" si="6"/>
        <v>0</v>
      </c>
      <c r="K10" s="20">
        <f t="shared" si="6"/>
        <v>0</v>
      </c>
      <c r="L10" s="20">
        <f t="shared" si="6"/>
        <v>0</v>
      </c>
      <c r="M10" s="20">
        <f t="shared" si="6"/>
        <v>0</v>
      </c>
      <c r="N10" s="20">
        <f t="shared" si="6"/>
        <v>0</v>
      </c>
      <c r="O10" s="20">
        <f t="shared" si="6"/>
        <v>0</v>
      </c>
      <c r="P10" s="20">
        <f t="shared" si="6"/>
        <v>0</v>
      </c>
      <c r="Q10" s="20">
        <f t="shared" si="6"/>
        <v>0</v>
      </c>
      <c r="R10" s="20">
        <f t="shared" si="6"/>
        <v>0</v>
      </c>
      <c r="S10" s="20">
        <f t="shared" si="6"/>
        <v>0</v>
      </c>
      <c r="T10" s="20">
        <f t="shared" si="6"/>
        <v>0</v>
      </c>
      <c r="U10" s="20">
        <f t="shared" si="6"/>
        <v>0</v>
      </c>
      <c r="V10" s="20">
        <f t="shared" si="6"/>
        <v>0</v>
      </c>
      <c r="W10" s="20">
        <f t="shared" si="6"/>
        <v>0</v>
      </c>
      <c r="X10" s="20">
        <f t="shared" si="6"/>
        <v>0</v>
      </c>
      <c r="Y10" s="20">
        <f t="shared" si="6"/>
        <v>0</v>
      </c>
      <c r="Z10" s="20">
        <f t="shared" si="6"/>
        <v>0</v>
      </c>
      <c r="AA10" s="21">
        <f t="shared" si="6"/>
        <v>0</v>
      </c>
    </row>
    <row r="11" spans="2:27" s="200" customFormat="1" x14ac:dyDescent="0.25">
      <c r="B11" s="98" t="s">
        <v>86</v>
      </c>
      <c r="C11" s="36">
        <f>SUM(C6:C10)</f>
        <v>0</v>
      </c>
      <c r="D11" s="22">
        <f t="shared" ref="D11:AA11" si="7">SUM(D6:D10)</f>
        <v>0</v>
      </c>
      <c r="E11" s="22">
        <f t="shared" si="7"/>
        <v>0</v>
      </c>
      <c r="F11" s="22">
        <f>SUM(F6:F10)</f>
        <v>0</v>
      </c>
      <c r="G11" s="22">
        <f t="shared" si="7"/>
        <v>807661.31136005314</v>
      </c>
      <c r="H11" s="22">
        <f t="shared" si="7"/>
        <v>784410.720088467</v>
      </c>
      <c r="I11" s="22">
        <f t="shared" si="7"/>
        <v>771174.93495258479</v>
      </c>
      <c r="J11" s="22">
        <f t="shared" si="7"/>
        <v>757665.89412223583</v>
      </c>
      <c r="K11" s="22">
        <f t="shared" si="7"/>
        <v>741228.00046224811</v>
      </c>
      <c r="L11" s="22">
        <f t="shared" si="7"/>
        <v>754477.94669454475</v>
      </c>
      <c r="M11" s="22">
        <f t="shared" si="7"/>
        <v>704286.65296069183</v>
      </c>
      <c r="N11" s="22">
        <f t="shared" si="7"/>
        <v>700171.77064649761</v>
      </c>
      <c r="O11" s="22">
        <f t="shared" si="7"/>
        <v>696350.0854140356</v>
      </c>
      <c r="P11" s="22">
        <f t="shared" si="7"/>
        <v>694593.03262868337</v>
      </c>
      <c r="Q11" s="22">
        <f t="shared" si="7"/>
        <v>701367.23160768976</v>
      </c>
      <c r="R11" s="22">
        <f t="shared" si="7"/>
        <v>703742.63104589563</v>
      </c>
      <c r="S11" s="22">
        <f t="shared" si="7"/>
        <v>715137.45923701592</v>
      </c>
      <c r="T11" s="22">
        <f t="shared" si="7"/>
        <v>711210.11810971284</v>
      </c>
      <c r="U11" s="22">
        <f t="shared" si="7"/>
        <v>714492.57465215772</v>
      </c>
      <c r="V11" s="22">
        <f t="shared" si="7"/>
        <v>725665.63069003145</v>
      </c>
      <c r="W11" s="22">
        <f t="shared" si="7"/>
        <v>730326.85536923911</v>
      </c>
      <c r="X11" s="22">
        <f t="shared" si="7"/>
        <v>736368.90720753116</v>
      </c>
      <c r="Y11" s="22">
        <f t="shared" si="7"/>
        <v>739756.54962619906</v>
      </c>
      <c r="Z11" s="22">
        <f t="shared" si="7"/>
        <v>750403.80510662997</v>
      </c>
      <c r="AA11" s="23">
        <f t="shared" si="7"/>
        <v>764410.39276234352</v>
      </c>
    </row>
    <row r="12" spans="2:27" s="200" customFormat="1" x14ac:dyDescent="0.25">
      <c r="B12" s="94"/>
      <c r="C12" s="35"/>
      <c r="D12" s="20"/>
      <c r="E12" s="20"/>
      <c r="F12" s="20"/>
      <c r="G12" s="20"/>
      <c r="H12" s="20"/>
      <c r="I12" s="20"/>
      <c r="J12" s="20"/>
      <c r="K12" s="20"/>
      <c r="L12" s="20"/>
      <c r="M12" s="20"/>
      <c r="N12" s="20"/>
      <c r="O12" s="20"/>
      <c r="P12" s="20"/>
      <c r="Q12" s="20"/>
      <c r="R12" s="20"/>
      <c r="S12" s="20"/>
      <c r="T12" s="20"/>
      <c r="U12" s="20"/>
      <c r="V12" s="20"/>
      <c r="W12" s="20"/>
      <c r="X12" s="20"/>
      <c r="Y12" s="20"/>
      <c r="Z12" s="20"/>
      <c r="AA12" s="21"/>
    </row>
    <row r="13" spans="2:27" s="200" customFormat="1" ht="12" customHeight="1" x14ac:dyDescent="0.25">
      <c r="B13" s="202" t="str">
        <f>IF(Revenue_Model="NEM - Net Energy Metering","NEM Revenues:","NEM Not Applicable")</f>
        <v>NEM Not Applicable</v>
      </c>
      <c r="C13" s="203"/>
      <c r="D13" s="204"/>
      <c r="E13" s="204"/>
      <c r="F13" s="204"/>
      <c r="G13" s="204"/>
      <c r="H13" s="204"/>
      <c r="I13" s="204"/>
      <c r="J13" s="204"/>
      <c r="K13" s="204"/>
      <c r="L13" s="204"/>
      <c r="M13" s="204"/>
      <c r="N13" s="204"/>
      <c r="O13" s="204"/>
      <c r="P13" s="204"/>
      <c r="Q13" s="204"/>
      <c r="R13" s="204"/>
      <c r="S13" s="204"/>
      <c r="T13" s="204"/>
      <c r="U13" s="204"/>
      <c r="V13" s="204"/>
      <c r="W13" s="204"/>
      <c r="X13" s="204"/>
      <c r="Y13" s="204"/>
      <c r="Z13" s="204"/>
      <c r="AA13" s="205"/>
    </row>
    <row r="14" spans="2:27" s="200" customFormat="1" x14ac:dyDescent="0.25">
      <c r="B14" s="94" t="s">
        <v>87</v>
      </c>
      <c r="C14" s="35">
        <f t="shared" ref="C14:AA14" si="8">CHOOSE(Nominal_Real_Switch,C$125,C$126)</f>
        <v>0</v>
      </c>
      <c r="D14" s="20">
        <f t="shared" si="8"/>
        <v>0</v>
      </c>
      <c r="E14" s="20">
        <f t="shared" si="8"/>
        <v>0</v>
      </c>
      <c r="F14" s="20">
        <f t="shared" si="8"/>
        <v>0</v>
      </c>
      <c r="G14" s="20">
        <f t="shared" si="8"/>
        <v>1133933.6535904794</v>
      </c>
      <c r="H14" s="20">
        <f t="shared" si="8"/>
        <v>1131177.0939042012</v>
      </c>
      <c r="I14" s="20">
        <f t="shared" si="8"/>
        <v>1131057.3034728884</v>
      </c>
      <c r="J14" s="20">
        <f t="shared" si="8"/>
        <v>1122907.0276183479</v>
      </c>
      <c r="K14" s="20">
        <f t="shared" si="8"/>
        <v>1102808.5374076702</v>
      </c>
      <c r="L14" s="20">
        <f t="shared" si="8"/>
        <v>1140322.6898147946</v>
      </c>
      <c r="M14" s="20">
        <f t="shared" si="8"/>
        <v>1174248.5153312651</v>
      </c>
      <c r="N14" s="20">
        <f t="shared" si="8"/>
        <v>1187345.6242407972</v>
      </c>
      <c r="O14" s="20">
        <f t="shared" si="8"/>
        <v>1204531.7833204756</v>
      </c>
      <c r="P14" s="20">
        <f t="shared" si="8"/>
        <v>1212038.4537759605</v>
      </c>
      <c r="Q14" s="20">
        <f t="shared" si="8"/>
        <v>1232777.5072810741</v>
      </c>
      <c r="R14" s="20">
        <f t="shared" si="8"/>
        <v>1245225.2018957136</v>
      </c>
      <c r="S14" s="20">
        <f t="shared" si="8"/>
        <v>1272297.4647093506</v>
      </c>
      <c r="T14" s="20">
        <f t="shared" si="8"/>
        <v>1285171.5513186527</v>
      </c>
      <c r="U14" s="20">
        <f t="shared" si="8"/>
        <v>1302540.297333085</v>
      </c>
      <c r="V14" s="20">
        <f t="shared" si="8"/>
        <v>1330202.5612576064</v>
      </c>
      <c r="W14" s="20">
        <f t="shared" si="8"/>
        <v>1350657.9097276658</v>
      </c>
      <c r="X14" s="20">
        <f t="shared" si="8"/>
        <v>1369630.3486258236</v>
      </c>
      <c r="Y14" s="20">
        <f t="shared" si="8"/>
        <v>1384896.0136208024</v>
      </c>
      <c r="Z14" s="20">
        <f t="shared" si="8"/>
        <v>1411073.3565075689</v>
      </c>
      <c r="AA14" s="21">
        <f t="shared" si="8"/>
        <v>1451927.5236893781</v>
      </c>
    </row>
    <row r="15" spans="2:27" s="200" customFormat="1" x14ac:dyDescent="0.25">
      <c r="B15" s="98" t="s">
        <v>88</v>
      </c>
      <c r="C15" s="36">
        <f>SUM(C14:C14)</f>
        <v>0</v>
      </c>
      <c r="D15" s="22">
        <f t="shared" ref="D15:AA15" si="9">SUM(D14:D14)</f>
        <v>0</v>
      </c>
      <c r="E15" s="22">
        <f t="shared" si="9"/>
        <v>0</v>
      </c>
      <c r="F15" s="22">
        <f t="shared" si="9"/>
        <v>0</v>
      </c>
      <c r="G15" s="22">
        <f t="shared" si="9"/>
        <v>1133933.6535904794</v>
      </c>
      <c r="H15" s="22">
        <f t="shared" si="9"/>
        <v>1131177.0939042012</v>
      </c>
      <c r="I15" s="22">
        <f t="shared" si="9"/>
        <v>1131057.3034728884</v>
      </c>
      <c r="J15" s="22">
        <f t="shared" si="9"/>
        <v>1122907.0276183479</v>
      </c>
      <c r="K15" s="22">
        <f t="shared" si="9"/>
        <v>1102808.5374076702</v>
      </c>
      <c r="L15" s="22">
        <f t="shared" si="9"/>
        <v>1140322.6898147946</v>
      </c>
      <c r="M15" s="22">
        <f t="shared" si="9"/>
        <v>1174248.5153312651</v>
      </c>
      <c r="N15" s="22">
        <f t="shared" si="9"/>
        <v>1187345.6242407972</v>
      </c>
      <c r="O15" s="22">
        <f t="shared" si="9"/>
        <v>1204531.7833204756</v>
      </c>
      <c r="P15" s="22">
        <f t="shared" si="9"/>
        <v>1212038.4537759605</v>
      </c>
      <c r="Q15" s="22">
        <f t="shared" si="9"/>
        <v>1232777.5072810741</v>
      </c>
      <c r="R15" s="22">
        <f t="shared" si="9"/>
        <v>1245225.2018957136</v>
      </c>
      <c r="S15" s="22">
        <f t="shared" si="9"/>
        <v>1272297.4647093506</v>
      </c>
      <c r="T15" s="22">
        <f t="shared" si="9"/>
        <v>1285171.5513186527</v>
      </c>
      <c r="U15" s="22">
        <f t="shared" si="9"/>
        <v>1302540.297333085</v>
      </c>
      <c r="V15" s="22">
        <f t="shared" si="9"/>
        <v>1330202.5612576064</v>
      </c>
      <c r="W15" s="22">
        <f t="shared" si="9"/>
        <v>1350657.9097276658</v>
      </c>
      <c r="X15" s="22">
        <f t="shared" si="9"/>
        <v>1369630.3486258236</v>
      </c>
      <c r="Y15" s="22">
        <f t="shared" si="9"/>
        <v>1384896.0136208024</v>
      </c>
      <c r="Z15" s="22">
        <f t="shared" si="9"/>
        <v>1411073.3565075689</v>
      </c>
      <c r="AA15" s="23">
        <f t="shared" si="9"/>
        <v>1451927.5236893781</v>
      </c>
    </row>
    <row r="16" spans="2:27" x14ac:dyDescent="0.25">
      <c r="B16" s="94"/>
      <c r="C16" s="35"/>
      <c r="D16" s="20"/>
      <c r="E16" s="20"/>
      <c r="F16" s="20"/>
      <c r="G16" s="20"/>
      <c r="H16" s="20"/>
      <c r="I16" s="20"/>
      <c r="J16" s="20"/>
      <c r="K16" s="20"/>
      <c r="L16" s="20"/>
      <c r="M16" s="20"/>
      <c r="N16" s="20"/>
      <c r="O16" s="20"/>
      <c r="P16" s="20"/>
      <c r="Q16" s="20"/>
      <c r="R16" s="20"/>
      <c r="S16" s="20"/>
      <c r="T16" s="20"/>
      <c r="U16" s="20"/>
      <c r="V16" s="20"/>
      <c r="W16" s="20"/>
      <c r="X16" s="20"/>
      <c r="Y16" s="20"/>
      <c r="Z16" s="20"/>
      <c r="AA16" s="21"/>
    </row>
    <row r="17" spans="1:27" s="200" customFormat="1" x14ac:dyDescent="0.25">
      <c r="B17" s="202" t="str">
        <f>IF(Revenue_Model="Tier 1","Tier 1 Revenues:","Tier 1 Not Applicable")</f>
        <v>Tier 1 Not Applicable</v>
      </c>
      <c r="C17" s="35"/>
      <c r="D17" s="20"/>
      <c r="E17" s="20"/>
      <c r="F17" s="20"/>
      <c r="G17" s="20"/>
      <c r="H17" s="20"/>
      <c r="I17" s="20"/>
      <c r="J17" s="20"/>
      <c r="K17" s="20"/>
      <c r="L17" s="20"/>
      <c r="M17" s="20"/>
      <c r="N17" s="20"/>
      <c r="O17" s="20"/>
      <c r="P17" s="20"/>
      <c r="Q17" s="20"/>
      <c r="R17" s="20"/>
      <c r="S17" s="20"/>
      <c r="T17" s="20"/>
      <c r="U17" s="20"/>
      <c r="V17" s="20"/>
      <c r="W17" s="20"/>
      <c r="X17" s="20"/>
      <c r="Y17" s="20"/>
      <c r="Z17" s="20"/>
      <c r="AA17" s="21"/>
    </row>
    <row r="18" spans="1:27" s="200" customFormat="1" x14ac:dyDescent="0.25">
      <c r="B18" s="94" t="s">
        <v>82</v>
      </c>
      <c r="C18" s="35">
        <f t="shared" ref="C18:AA18" si="10">CHOOSE(Nominal_Real_Switch,C$132,C$133)</f>
        <v>0</v>
      </c>
      <c r="D18" s="20">
        <f t="shared" si="10"/>
        <v>0</v>
      </c>
      <c r="E18" s="20">
        <f t="shared" si="10"/>
        <v>0</v>
      </c>
      <c r="F18" s="20">
        <f t="shared" si="10"/>
        <v>0</v>
      </c>
      <c r="G18" s="20">
        <f t="shared" si="10"/>
        <v>421978.86036158208</v>
      </c>
      <c r="H18" s="20">
        <f t="shared" si="10"/>
        <v>399702.9157519188</v>
      </c>
      <c r="I18" s="20">
        <f t="shared" si="10"/>
        <v>389692.07890557678</v>
      </c>
      <c r="J18" s="20">
        <f t="shared" si="10"/>
        <v>379967.31060703419</v>
      </c>
      <c r="K18" s="20">
        <f t="shared" si="10"/>
        <v>365012.94717273506</v>
      </c>
      <c r="L18" s="20">
        <f t="shared" si="10"/>
        <v>377328.79775018536</v>
      </c>
      <c r="M18" s="20">
        <f t="shared" si="10"/>
        <v>390995.83820977976</v>
      </c>
      <c r="N18" s="20">
        <f t="shared" si="10"/>
        <v>388502.15920650755</v>
      </c>
      <c r="O18" s="20">
        <f t="shared" si="10"/>
        <v>389653.57631460344</v>
      </c>
      <c r="P18" s="20">
        <f t="shared" si="10"/>
        <v>385833.63612356427</v>
      </c>
      <c r="Q18" s="20">
        <f t="shared" si="10"/>
        <v>391146.43934580026</v>
      </c>
      <c r="R18" s="20">
        <f t="shared" si="10"/>
        <v>391606.17515556136</v>
      </c>
      <c r="S18" s="20">
        <f t="shared" si="10"/>
        <v>401807.31037218485</v>
      </c>
      <c r="T18" s="20">
        <f t="shared" si="10"/>
        <v>398790.03482081625</v>
      </c>
      <c r="U18" s="20">
        <f t="shared" si="10"/>
        <v>402175.8923683436</v>
      </c>
      <c r="V18" s="20">
        <f t="shared" si="10"/>
        <v>412338.81064672791</v>
      </c>
      <c r="W18" s="20">
        <f t="shared" si="10"/>
        <v>417193.51664810017</v>
      </c>
      <c r="X18" s="20">
        <f t="shared" si="10"/>
        <v>422280.93715253536</v>
      </c>
      <c r="Y18" s="20">
        <f t="shared" si="10"/>
        <v>426257.22568237939</v>
      </c>
      <c r="Z18" s="20">
        <f t="shared" si="10"/>
        <v>435522.84939734719</v>
      </c>
      <c r="AA18" s="21">
        <f t="shared" si="10"/>
        <v>449398.11339175684</v>
      </c>
    </row>
    <row r="19" spans="1:27" s="200" customFormat="1" x14ac:dyDescent="0.25">
      <c r="B19" s="94" t="s">
        <v>83</v>
      </c>
      <c r="C19" s="35">
        <f t="shared" ref="C19:AA19" si="11">CHOOSE(Nominal_Real_Switch,C$141,C$142)</f>
        <v>0</v>
      </c>
      <c r="D19" s="20">
        <f t="shared" si="11"/>
        <v>0</v>
      </c>
      <c r="E19" s="20">
        <f t="shared" si="11"/>
        <v>0</v>
      </c>
      <c r="F19" s="20">
        <f t="shared" si="11"/>
        <v>0</v>
      </c>
      <c r="G19" s="20">
        <f t="shared" si="11"/>
        <v>26772.767344148677</v>
      </c>
      <c r="H19" s="20">
        <f t="shared" si="11"/>
        <v>27385.637810343844</v>
      </c>
      <c r="I19" s="20">
        <f t="shared" si="11"/>
        <v>27933.44952059873</v>
      </c>
      <c r="J19" s="20">
        <f t="shared" si="11"/>
        <v>24942.184576656509</v>
      </c>
      <c r="K19" s="20">
        <f t="shared" si="11"/>
        <v>23740.384560480248</v>
      </c>
      <c r="L19" s="20">
        <f t="shared" si="11"/>
        <v>24669.417000263926</v>
      </c>
      <c r="M19" s="20">
        <f t="shared" si="11"/>
        <v>25331.33005646725</v>
      </c>
      <c r="N19" s="20">
        <f t="shared" si="11"/>
        <v>25110.38871442102</v>
      </c>
      <c r="O19" s="20">
        <f t="shared" si="11"/>
        <v>21029.034117524665</v>
      </c>
      <c r="P19" s="20">
        <f t="shared" si="11"/>
        <v>22113.941107390561</v>
      </c>
      <c r="Q19" s="20">
        <f t="shared" si="11"/>
        <v>23168.39699621018</v>
      </c>
      <c r="R19" s="20">
        <f t="shared" si="11"/>
        <v>23879.313147324829</v>
      </c>
      <c r="S19" s="20">
        <f t="shared" si="11"/>
        <v>24665.183600984848</v>
      </c>
      <c r="T19" s="20">
        <f t="shared" si="11"/>
        <v>24652.375178611946</v>
      </c>
      <c r="U19" s="20">
        <f t="shared" si="11"/>
        <v>23804.277330939378</v>
      </c>
      <c r="V19" s="20">
        <f t="shared" si="11"/>
        <v>24112.026113911023</v>
      </c>
      <c r="W19" s="20">
        <f t="shared" si="11"/>
        <v>23680.880738150528</v>
      </c>
      <c r="X19" s="20">
        <f t="shared" si="11"/>
        <v>23355.676156189671</v>
      </c>
      <c r="Y19" s="20">
        <f t="shared" si="11"/>
        <v>23434.233396099644</v>
      </c>
      <c r="Z19" s="20">
        <f t="shared" si="11"/>
        <v>23568.735635040615</v>
      </c>
      <c r="AA19" s="21">
        <f t="shared" si="11"/>
        <v>23076.227416283615</v>
      </c>
    </row>
    <row r="20" spans="1:27" s="200" customFormat="1" x14ac:dyDescent="0.25">
      <c r="B20" s="88" t="s">
        <v>89</v>
      </c>
      <c r="C20" s="41">
        <f t="shared" ref="C20:AA20" si="12">SUM(C18:C19)</f>
        <v>0</v>
      </c>
      <c r="D20" s="42">
        <f t="shared" si="12"/>
        <v>0</v>
      </c>
      <c r="E20" s="42">
        <f t="shared" si="12"/>
        <v>0</v>
      </c>
      <c r="F20" s="42">
        <f t="shared" si="12"/>
        <v>0</v>
      </c>
      <c r="G20" s="42">
        <f t="shared" si="12"/>
        <v>448751.62770573073</v>
      </c>
      <c r="H20" s="42">
        <f t="shared" si="12"/>
        <v>427088.55356226262</v>
      </c>
      <c r="I20" s="42">
        <f t="shared" si="12"/>
        <v>417625.52842617553</v>
      </c>
      <c r="J20" s="42">
        <f t="shared" si="12"/>
        <v>404909.49518369068</v>
      </c>
      <c r="K20" s="42">
        <f t="shared" si="12"/>
        <v>388753.33173321531</v>
      </c>
      <c r="L20" s="42">
        <f t="shared" si="12"/>
        <v>401998.21475044929</v>
      </c>
      <c r="M20" s="42">
        <f t="shared" si="12"/>
        <v>416327.16826624703</v>
      </c>
      <c r="N20" s="42">
        <f t="shared" si="12"/>
        <v>413612.54792092857</v>
      </c>
      <c r="O20" s="42">
        <f t="shared" si="12"/>
        <v>410682.61043212813</v>
      </c>
      <c r="P20" s="42">
        <f t="shared" si="12"/>
        <v>407947.57723095483</v>
      </c>
      <c r="Q20" s="42">
        <f t="shared" si="12"/>
        <v>414314.83634201041</v>
      </c>
      <c r="R20" s="42">
        <f t="shared" si="12"/>
        <v>415485.4883028862</v>
      </c>
      <c r="S20" s="42">
        <f t="shared" si="12"/>
        <v>426472.49397316971</v>
      </c>
      <c r="T20" s="42">
        <f t="shared" si="12"/>
        <v>423442.4099994282</v>
      </c>
      <c r="U20" s="42">
        <f t="shared" si="12"/>
        <v>425980.16969928297</v>
      </c>
      <c r="V20" s="42">
        <f t="shared" si="12"/>
        <v>436450.83676063892</v>
      </c>
      <c r="W20" s="42">
        <f t="shared" si="12"/>
        <v>440874.39738625067</v>
      </c>
      <c r="X20" s="42">
        <f t="shared" si="12"/>
        <v>445636.61330872506</v>
      </c>
      <c r="Y20" s="42">
        <f t="shared" si="12"/>
        <v>449691.45907847903</v>
      </c>
      <c r="Z20" s="42">
        <f t="shared" si="12"/>
        <v>459091.58503238781</v>
      </c>
      <c r="AA20" s="43">
        <f t="shared" si="12"/>
        <v>472474.34080804046</v>
      </c>
    </row>
    <row r="21" spans="1:27" s="200" customFormat="1" ht="12" customHeight="1" x14ac:dyDescent="0.25">
      <c r="B21" s="94"/>
      <c r="C21" s="203"/>
      <c r="D21" s="204"/>
      <c r="E21" s="204"/>
      <c r="F21" s="204"/>
      <c r="G21" s="204"/>
      <c r="H21" s="204"/>
      <c r="I21" s="204"/>
      <c r="J21" s="204"/>
      <c r="K21" s="204"/>
      <c r="L21" s="204"/>
      <c r="M21" s="204"/>
      <c r="N21" s="204"/>
      <c r="O21" s="204"/>
      <c r="P21" s="204"/>
      <c r="Q21" s="204"/>
      <c r="R21" s="204"/>
      <c r="S21" s="204"/>
      <c r="T21" s="204"/>
      <c r="U21" s="204"/>
      <c r="V21" s="204"/>
      <c r="W21" s="204"/>
      <c r="X21" s="204"/>
      <c r="Y21" s="204"/>
      <c r="Z21" s="204"/>
      <c r="AA21" s="205"/>
    </row>
    <row r="22" spans="1:27" s="164" customFormat="1" x14ac:dyDescent="0.25">
      <c r="B22" s="206" t="s">
        <v>90</v>
      </c>
      <c r="C22" s="37">
        <f t="shared" ref="C22:AA22" si="13">IF((C3&lt;=System_Age),0,IF(Revenue_Model="VDER - Value of Distributed Energy Resources",C11,IF(Revenue_Model="NEM - Net Energy Metering",C15,C20)))</f>
        <v>0</v>
      </c>
      <c r="D22" s="26">
        <f>IF((D3&lt;=System_Age),0,IF(Revenue_Model="VDER - Value of Distributed Energy Resources",D11,IF(Revenue_Model="NEM - Net Energy Metering",D15,D20)))</f>
        <v>0</v>
      </c>
      <c r="E22" s="26">
        <f t="shared" si="13"/>
        <v>0</v>
      </c>
      <c r="F22" s="26">
        <f t="shared" si="13"/>
        <v>0</v>
      </c>
      <c r="G22" s="26">
        <f t="shared" si="13"/>
        <v>807661.31136005314</v>
      </c>
      <c r="H22" s="26">
        <f t="shared" si="13"/>
        <v>784410.720088467</v>
      </c>
      <c r="I22" s="26">
        <f t="shared" si="13"/>
        <v>771174.93495258479</v>
      </c>
      <c r="J22" s="26">
        <f t="shared" si="13"/>
        <v>757665.89412223583</v>
      </c>
      <c r="K22" s="26">
        <f t="shared" si="13"/>
        <v>741228.00046224811</v>
      </c>
      <c r="L22" s="26">
        <f t="shared" si="13"/>
        <v>754477.94669454475</v>
      </c>
      <c r="M22" s="26">
        <f t="shared" si="13"/>
        <v>704286.65296069183</v>
      </c>
      <c r="N22" s="26">
        <f t="shared" si="13"/>
        <v>700171.77064649761</v>
      </c>
      <c r="O22" s="26">
        <f t="shared" si="13"/>
        <v>696350.0854140356</v>
      </c>
      <c r="P22" s="26">
        <f t="shared" si="13"/>
        <v>694593.03262868337</v>
      </c>
      <c r="Q22" s="26">
        <f t="shared" si="13"/>
        <v>701367.23160768976</v>
      </c>
      <c r="R22" s="26">
        <f t="shared" si="13"/>
        <v>703742.63104589563</v>
      </c>
      <c r="S22" s="26">
        <f t="shared" si="13"/>
        <v>715137.45923701592</v>
      </c>
      <c r="T22" s="26">
        <f t="shared" si="13"/>
        <v>711210.11810971284</v>
      </c>
      <c r="U22" s="26">
        <f t="shared" si="13"/>
        <v>714492.57465215772</v>
      </c>
      <c r="V22" s="26">
        <f t="shared" si="13"/>
        <v>725665.63069003145</v>
      </c>
      <c r="W22" s="26">
        <f t="shared" si="13"/>
        <v>730326.85536923911</v>
      </c>
      <c r="X22" s="26">
        <f t="shared" si="13"/>
        <v>736368.90720753116</v>
      </c>
      <c r="Y22" s="26">
        <f t="shared" si="13"/>
        <v>739756.54962619906</v>
      </c>
      <c r="Z22" s="26">
        <f t="shared" si="13"/>
        <v>750403.80510662997</v>
      </c>
      <c r="AA22" s="27">
        <f t="shared" si="13"/>
        <v>764410.39276234352</v>
      </c>
    </row>
    <row r="23" spans="1:27" x14ac:dyDescent="0.25">
      <c r="B23" s="94"/>
      <c r="C23" s="38"/>
      <c r="D23" s="28"/>
      <c r="E23" s="28"/>
      <c r="F23" s="28"/>
      <c r="G23" s="28"/>
      <c r="H23" s="28"/>
      <c r="I23" s="28"/>
      <c r="J23" s="28"/>
      <c r="K23" s="28"/>
      <c r="L23" s="28"/>
      <c r="M23" s="28"/>
      <c r="N23" s="28"/>
      <c r="O23" s="28"/>
      <c r="P23" s="28"/>
      <c r="Q23" s="28"/>
      <c r="R23" s="28"/>
      <c r="S23" s="28"/>
      <c r="T23" s="28"/>
      <c r="U23" s="28"/>
      <c r="V23" s="28"/>
      <c r="W23" s="28"/>
      <c r="X23" s="28"/>
      <c r="Y23" s="28"/>
      <c r="Z23" s="28"/>
      <c r="AA23" s="29"/>
    </row>
    <row r="24" spans="1:27" x14ac:dyDescent="0.25">
      <c r="B24" s="98" t="s">
        <v>91</v>
      </c>
      <c r="C24" s="39">
        <f t="shared" ref="C24:AA24" si="14">CHOOSE(Nominal_Real_Switch,C$156,C$157)</f>
        <v>0</v>
      </c>
      <c r="D24" s="30">
        <f>CHOOSE(Nominal_Real_Switch,D$156,D$157)</f>
        <v>0</v>
      </c>
      <c r="E24" s="30">
        <f t="shared" si="14"/>
        <v>0</v>
      </c>
      <c r="F24" s="30">
        <f t="shared" si="14"/>
        <v>0</v>
      </c>
      <c r="G24" s="30">
        <f t="shared" si="14"/>
        <v>172116.82124999998</v>
      </c>
      <c r="H24" s="30">
        <f t="shared" si="14"/>
        <v>176419.74178124999</v>
      </c>
      <c r="I24" s="30">
        <f t="shared" si="14"/>
        <v>180830.23532578125</v>
      </c>
      <c r="J24" s="30">
        <f t="shared" si="14"/>
        <v>185350.99120892576</v>
      </c>
      <c r="K24" s="30">
        <f t="shared" si="14"/>
        <v>189984.76598914887</v>
      </c>
      <c r="L24" s="30">
        <f t="shared" si="14"/>
        <v>194734.38513887758</v>
      </c>
      <c r="M24" s="30">
        <f t="shared" si="14"/>
        <v>199602.74476734953</v>
      </c>
      <c r="N24" s="30">
        <f t="shared" si="14"/>
        <v>204592.81338653326</v>
      </c>
      <c r="O24" s="30">
        <f t="shared" si="14"/>
        <v>209707.63372119656</v>
      </c>
      <c r="P24" s="30">
        <f t="shared" si="14"/>
        <v>214950.32456422647</v>
      </c>
      <c r="Q24" s="30">
        <f t="shared" si="14"/>
        <v>220324.08267833211</v>
      </c>
      <c r="R24" s="30">
        <f t="shared" si="14"/>
        <v>225832.1847452904</v>
      </c>
      <c r="S24" s="30">
        <f t="shared" si="14"/>
        <v>231477.98936392265</v>
      </c>
      <c r="T24" s="30">
        <f t="shared" si="14"/>
        <v>237264.9390980207</v>
      </c>
      <c r="U24" s="30">
        <f t="shared" si="14"/>
        <v>243196.56257547124</v>
      </c>
      <c r="V24" s="30">
        <f t="shared" si="14"/>
        <v>249276.47663985801</v>
      </c>
      <c r="W24" s="30">
        <f t="shared" si="14"/>
        <v>255508.38855585441</v>
      </c>
      <c r="X24" s="30">
        <f t="shared" si="14"/>
        <v>261896.0982697508</v>
      </c>
      <c r="Y24" s="30">
        <f t="shared" si="14"/>
        <v>268443.50072649459</v>
      </c>
      <c r="Z24" s="30">
        <f t="shared" si="14"/>
        <v>275154.58824465692</v>
      </c>
      <c r="AA24" s="31">
        <f t="shared" si="14"/>
        <v>282033.4529507733</v>
      </c>
    </row>
    <row r="25" spans="1:27" x14ac:dyDescent="0.25">
      <c r="B25" s="94" t="s">
        <v>92</v>
      </c>
      <c r="C25" s="38">
        <f t="shared" ref="C25:AA25" si="15">CHOOSE(Nominal_Real_Switch,C$164,C$165)</f>
        <v>0</v>
      </c>
      <c r="D25" s="28">
        <f>CHOOSE(Nominal_Real_Switch,D$164,D$165)</f>
        <v>0</v>
      </c>
      <c r="E25" s="28">
        <f t="shared" si="15"/>
        <v>0</v>
      </c>
      <c r="F25" s="28">
        <f t="shared" si="15"/>
        <v>0</v>
      </c>
      <c r="G25" s="28">
        <f t="shared" si="15"/>
        <v>0</v>
      </c>
      <c r="H25" s="28">
        <f t="shared" si="15"/>
        <v>0</v>
      </c>
      <c r="I25" s="28">
        <f t="shared" si="15"/>
        <v>0</v>
      </c>
      <c r="J25" s="28">
        <f t="shared" si="15"/>
        <v>0</v>
      </c>
      <c r="K25" s="28">
        <f t="shared" si="15"/>
        <v>0</v>
      </c>
      <c r="L25" s="28">
        <f t="shared" si="15"/>
        <v>0</v>
      </c>
      <c r="M25" s="28">
        <f t="shared" si="15"/>
        <v>0</v>
      </c>
      <c r="N25" s="28">
        <f t="shared" si="15"/>
        <v>0</v>
      </c>
      <c r="O25" s="28">
        <f t="shared" si="15"/>
        <v>0</v>
      </c>
      <c r="P25" s="28">
        <f t="shared" si="15"/>
        <v>0</v>
      </c>
      <c r="Q25" s="28">
        <f t="shared" si="15"/>
        <v>0</v>
      </c>
      <c r="R25" s="28">
        <f t="shared" si="15"/>
        <v>0</v>
      </c>
      <c r="S25" s="28">
        <f t="shared" si="15"/>
        <v>0</v>
      </c>
      <c r="T25" s="28">
        <f t="shared" si="15"/>
        <v>0</v>
      </c>
      <c r="U25" s="28">
        <f t="shared" si="15"/>
        <v>0</v>
      </c>
      <c r="V25" s="28">
        <f t="shared" si="15"/>
        <v>0</v>
      </c>
      <c r="W25" s="28">
        <f t="shared" si="15"/>
        <v>0</v>
      </c>
      <c r="X25" s="28">
        <f t="shared" si="15"/>
        <v>0</v>
      </c>
      <c r="Y25" s="28">
        <f t="shared" si="15"/>
        <v>0</v>
      </c>
      <c r="Z25" s="28">
        <f t="shared" si="15"/>
        <v>0</v>
      </c>
      <c r="AA25" s="29">
        <f t="shared" si="15"/>
        <v>0</v>
      </c>
    </row>
    <row r="26" spans="1:27" x14ac:dyDescent="0.25">
      <c r="B26" s="94" t="s">
        <v>93</v>
      </c>
      <c r="C26" s="38">
        <f t="shared" ref="C26:AA26" si="16">CHOOSE(Nominal_Real_Switch,C$173,C$174)</f>
        <v>0</v>
      </c>
      <c r="D26" s="28">
        <f t="shared" si="16"/>
        <v>0</v>
      </c>
      <c r="E26" s="28">
        <f t="shared" si="16"/>
        <v>0</v>
      </c>
      <c r="F26" s="28">
        <f t="shared" si="16"/>
        <v>0</v>
      </c>
      <c r="G26" s="28">
        <f t="shared" si="16"/>
        <v>7814.1640428896862</v>
      </c>
      <c r="H26" s="28">
        <f t="shared" si="16"/>
        <v>7814.1640428896862</v>
      </c>
      <c r="I26" s="28">
        <f t="shared" si="16"/>
        <v>7814.1640428896862</v>
      </c>
      <c r="J26" s="28">
        <f t="shared" si="16"/>
        <v>7814.1640428896862</v>
      </c>
      <c r="K26" s="28">
        <f t="shared" si="16"/>
        <v>7814.1640428896862</v>
      </c>
      <c r="L26" s="28">
        <f t="shared" si="16"/>
        <v>7814.1640428896862</v>
      </c>
      <c r="M26" s="28">
        <f t="shared" si="16"/>
        <v>7814.1640428896862</v>
      </c>
      <c r="N26" s="28">
        <f t="shared" si="16"/>
        <v>7814.1640428896862</v>
      </c>
      <c r="O26" s="28">
        <f t="shared" si="16"/>
        <v>7814.1640428896862</v>
      </c>
      <c r="P26" s="28">
        <f t="shared" si="16"/>
        <v>7814.1640428896862</v>
      </c>
      <c r="Q26" s="28">
        <f t="shared" si="16"/>
        <v>7814.1640428896862</v>
      </c>
      <c r="R26" s="28">
        <f t="shared" si="16"/>
        <v>7814.1640428896862</v>
      </c>
      <c r="S26" s="28">
        <f t="shared" si="16"/>
        <v>7814.1640428896862</v>
      </c>
      <c r="T26" s="28">
        <f t="shared" si="16"/>
        <v>7814.1640428896862</v>
      </c>
      <c r="U26" s="28">
        <f t="shared" si="16"/>
        <v>7814.1640428896862</v>
      </c>
      <c r="V26" s="28">
        <f t="shared" si="16"/>
        <v>7814.1640428896862</v>
      </c>
      <c r="W26" s="28">
        <f t="shared" si="16"/>
        <v>7814.1640428896862</v>
      </c>
      <c r="X26" s="28">
        <f t="shared" si="16"/>
        <v>7814.1640428896862</v>
      </c>
      <c r="Y26" s="28">
        <f t="shared" si="16"/>
        <v>7814.1640428896862</v>
      </c>
      <c r="Z26" s="28">
        <f t="shared" si="16"/>
        <v>7814.1640428896862</v>
      </c>
      <c r="AA26" s="29">
        <f t="shared" si="16"/>
        <v>7814.1640428896862</v>
      </c>
    </row>
    <row r="27" spans="1:27" x14ac:dyDescent="0.25">
      <c r="B27" s="105" t="s">
        <v>94</v>
      </c>
      <c r="C27" s="44">
        <f t="shared" ref="C27:AA27" si="17">CHOOSE(Nominal_Real_Switch,C$182,C$183)</f>
        <v>0</v>
      </c>
      <c r="D27" s="45">
        <f t="shared" si="17"/>
        <v>0</v>
      </c>
      <c r="E27" s="45">
        <f t="shared" si="17"/>
        <v>0</v>
      </c>
      <c r="F27" s="45">
        <f t="shared" si="17"/>
        <v>0</v>
      </c>
      <c r="G27" s="45">
        <f t="shared" si="17"/>
        <v>0</v>
      </c>
      <c r="H27" s="45">
        <f t="shared" si="17"/>
        <v>0</v>
      </c>
      <c r="I27" s="45">
        <f t="shared" si="17"/>
        <v>0</v>
      </c>
      <c r="J27" s="45">
        <f t="shared" si="17"/>
        <v>0</v>
      </c>
      <c r="K27" s="45">
        <f t="shared" si="17"/>
        <v>0</v>
      </c>
      <c r="L27" s="45">
        <f t="shared" si="17"/>
        <v>0</v>
      </c>
      <c r="M27" s="45">
        <f t="shared" si="17"/>
        <v>0</v>
      </c>
      <c r="N27" s="45">
        <f t="shared" si="17"/>
        <v>0</v>
      </c>
      <c r="O27" s="45">
        <f t="shared" si="17"/>
        <v>0</v>
      </c>
      <c r="P27" s="45">
        <f t="shared" si="17"/>
        <v>0</v>
      </c>
      <c r="Q27" s="45">
        <f t="shared" si="17"/>
        <v>590438.99601056974</v>
      </c>
      <c r="R27" s="45">
        <f t="shared" si="17"/>
        <v>0</v>
      </c>
      <c r="S27" s="45">
        <f t="shared" si="17"/>
        <v>0</v>
      </c>
      <c r="T27" s="45">
        <f t="shared" si="17"/>
        <v>0</v>
      </c>
      <c r="U27" s="45">
        <f t="shared" si="17"/>
        <v>0</v>
      </c>
      <c r="V27" s="45">
        <f t="shared" si="17"/>
        <v>0</v>
      </c>
      <c r="W27" s="45">
        <f t="shared" si="17"/>
        <v>0</v>
      </c>
      <c r="X27" s="45">
        <f t="shared" si="17"/>
        <v>0</v>
      </c>
      <c r="Y27" s="45">
        <f t="shared" si="17"/>
        <v>0</v>
      </c>
      <c r="Z27" s="45">
        <f t="shared" si="17"/>
        <v>0</v>
      </c>
      <c r="AA27" s="46">
        <f t="shared" si="17"/>
        <v>0</v>
      </c>
    </row>
    <row r="28" spans="1:27" x14ac:dyDescent="0.25">
      <c r="B28" s="94"/>
      <c r="C28" s="38"/>
      <c r="D28" s="28"/>
      <c r="E28" s="28"/>
      <c r="F28" s="28"/>
      <c r="G28" s="28"/>
      <c r="H28" s="28"/>
      <c r="I28" s="28"/>
      <c r="J28" s="28"/>
      <c r="K28" s="28"/>
      <c r="L28" s="28"/>
      <c r="M28" s="28"/>
      <c r="N28" s="28"/>
      <c r="O28" s="28"/>
      <c r="P28" s="28"/>
      <c r="Q28" s="28"/>
      <c r="R28" s="28"/>
      <c r="S28" s="28"/>
      <c r="T28" s="28"/>
      <c r="U28" s="28"/>
      <c r="V28" s="28"/>
      <c r="W28" s="28"/>
      <c r="X28" s="28"/>
      <c r="Y28" s="28"/>
      <c r="Z28" s="28"/>
      <c r="AA28" s="29"/>
    </row>
    <row r="29" spans="1:27" x14ac:dyDescent="0.25">
      <c r="A29" s="164"/>
      <c r="B29" s="206" t="s">
        <v>95</v>
      </c>
      <c r="C29" s="37">
        <f>SUM(C24:C27)</f>
        <v>0</v>
      </c>
      <c r="D29" s="26">
        <f t="shared" ref="D29:AA29" si="18">SUM(D24:D27)</f>
        <v>0</v>
      </c>
      <c r="E29" s="26">
        <f t="shared" si="18"/>
        <v>0</v>
      </c>
      <c r="F29" s="26">
        <f t="shared" si="18"/>
        <v>0</v>
      </c>
      <c r="G29" s="26">
        <f t="shared" si="18"/>
        <v>179930.98529288967</v>
      </c>
      <c r="H29" s="26">
        <f t="shared" si="18"/>
        <v>184233.90582413969</v>
      </c>
      <c r="I29" s="26">
        <f t="shared" si="18"/>
        <v>188644.39936867094</v>
      </c>
      <c r="J29" s="26">
        <f t="shared" si="18"/>
        <v>193165.15525181545</v>
      </c>
      <c r="K29" s="26">
        <f t="shared" si="18"/>
        <v>197798.93003203857</v>
      </c>
      <c r="L29" s="26">
        <f t="shared" si="18"/>
        <v>202548.54918176727</v>
      </c>
      <c r="M29" s="26">
        <f t="shared" si="18"/>
        <v>207416.90881023923</v>
      </c>
      <c r="N29" s="26">
        <f t="shared" si="18"/>
        <v>212406.97742942296</v>
      </c>
      <c r="O29" s="26">
        <f t="shared" si="18"/>
        <v>217521.79776408625</v>
      </c>
      <c r="P29" s="26">
        <f t="shared" si="18"/>
        <v>222764.48860711616</v>
      </c>
      <c r="Q29" s="26">
        <f t="shared" si="18"/>
        <v>818577.24273179157</v>
      </c>
      <c r="R29" s="26">
        <f t="shared" si="18"/>
        <v>233646.3487881801</v>
      </c>
      <c r="S29" s="26">
        <f t="shared" si="18"/>
        <v>239292.15340681234</v>
      </c>
      <c r="T29" s="26">
        <f t="shared" si="18"/>
        <v>245079.10314091039</v>
      </c>
      <c r="U29" s="26">
        <f t="shared" si="18"/>
        <v>251010.72661836093</v>
      </c>
      <c r="V29" s="26">
        <f t="shared" si="18"/>
        <v>257090.6406827477</v>
      </c>
      <c r="W29" s="26">
        <f t="shared" si="18"/>
        <v>263322.55259874411</v>
      </c>
      <c r="X29" s="26">
        <f t="shared" si="18"/>
        <v>269710.26231264049</v>
      </c>
      <c r="Y29" s="26">
        <f t="shared" si="18"/>
        <v>276257.66476938425</v>
      </c>
      <c r="Z29" s="26">
        <f t="shared" si="18"/>
        <v>282968.75228754658</v>
      </c>
      <c r="AA29" s="27">
        <f t="shared" si="18"/>
        <v>289847.61699366296</v>
      </c>
    </row>
    <row r="30" spans="1:27" x14ac:dyDescent="0.25">
      <c r="B30" s="94"/>
      <c r="C30" s="38"/>
      <c r="D30" s="28"/>
      <c r="E30" s="28"/>
      <c r="F30" s="28"/>
      <c r="G30" s="28"/>
      <c r="H30" s="28"/>
      <c r="I30" s="28"/>
      <c r="J30" s="28"/>
      <c r="K30" s="28"/>
      <c r="L30" s="28"/>
      <c r="M30" s="28"/>
      <c r="N30" s="28"/>
      <c r="O30" s="28"/>
      <c r="P30" s="28"/>
      <c r="Q30" s="28"/>
      <c r="R30" s="28"/>
      <c r="S30" s="28"/>
      <c r="T30" s="28"/>
      <c r="U30" s="28"/>
      <c r="V30" s="28"/>
      <c r="W30" s="28"/>
      <c r="X30" s="28"/>
      <c r="Y30" s="28"/>
      <c r="Z30" s="28"/>
      <c r="AA30" s="29"/>
    </row>
    <row r="31" spans="1:27" s="164" customFormat="1" x14ac:dyDescent="0.25">
      <c r="B31" s="206" t="s">
        <v>96</v>
      </c>
      <c r="C31" s="37">
        <f t="shared" ref="C31:AA31" si="19">(C22-C29)</f>
        <v>0</v>
      </c>
      <c r="D31" s="26">
        <f t="shared" si="19"/>
        <v>0</v>
      </c>
      <c r="E31" s="26">
        <f t="shared" si="19"/>
        <v>0</v>
      </c>
      <c r="F31" s="26">
        <f t="shared" si="19"/>
        <v>0</v>
      </c>
      <c r="G31" s="26">
        <f t="shared" si="19"/>
        <v>627730.32606716349</v>
      </c>
      <c r="H31" s="26">
        <f t="shared" si="19"/>
        <v>600176.81426432729</v>
      </c>
      <c r="I31" s="26">
        <f t="shared" si="19"/>
        <v>582530.53558391379</v>
      </c>
      <c r="J31" s="26">
        <f t="shared" si="19"/>
        <v>564500.73887042038</v>
      </c>
      <c r="K31" s="26">
        <f t="shared" si="19"/>
        <v>543429.07043020951</v>
      </c>
      <c r="L31" s="26">
        <f t="shared" si="19"/>
        <v>551929.39751277748</v>
      </c>
      <c r="M31" s="26">
        <f t="shared" si="19"/>
        <v>496869.74415045261</v>
      </c>
      <c r="N31" s="26">
        <f t="shared" si="19"/>
        <v>487764.79321707465</v>
      </c>
      <c r="O31" s="26">
        <f t="shared" si="19"/>
        <v>478828.28764994931</v>
      </c>
      <c r="P31" s="26">
        <f t="shared" si="19"/>
        <v>471828.54402156721</v>
      </c>
      <c r="Q31" s="26">
        <f t="shared" si="19"/>
        <v>-117210.01112410182</v>
      </c>
      <c r="R31" s="26">
        <f t="shared" si="19"/>
        <v>470096.28225771553</v>
      </c>
      <c r="S31" s="26">
        <f t="shared" si="19"/>
        <v>475845.30583020358</v>
      </c>
      <c r="T31" s="26">
        <f t="shared" si="19"/>
        <v>466131.01496880245</v>
      </c>
      <c r="U31" s="26">
        <f t="shared" si="19"/>
        <v>463481.84803379676</v>
      </c>
      <c r="V31" s="26">
        <f t="shared" si="19"/>
        <v>468574.99000728375</v>
      </c>
      <c r="W31" s="26">
        <f t="shared" si="19"/>
        <v>467004.30277049501</v>
      </c>
      <c r="X31" s="26">
        <f t="shared" si="19"/>
        <v>466658.64489489066</v>
      </c>
      <c r="Y31" s="26">
        <f t="shared" si="19"/>
        <v>463498.88485681481</v>
      </c>
      <c r="Z31" s="26">
        <f t="shared" si="19"/>
        <v>467435.05281908339</v>
      </c>
      <c r="AA31" s="27">
        <f t="shared" si="19"/>
        <v>474562.77576868056</v>
      </c>
    </row>
    <row r="32" spans="1:27" s="164" customFormat="1" x14ac:dyDescent="0.25">
      <c r="B32" s="207"/>
      <c r="C32" s="40"/>
      <c r="D32" s="32"/>
      <c r="E32" s="32"/>
      <c r="F32" s="32"/>
      <c r="G32" s="32"/>
      <c r="H32" s="32"/>
      <c r="I32" s="32"/>
      <c r="J32" s="32"/>
      <c r="K32" s="32"/>
      <c r="L32" s="32"/>
      <c r="M32" s="32"/>
      <c r="N32" s="32"/>
      <c r="O32" s="32"/>
      <c r="P32" s="32"/>
      <c r="Q32" s="32"/>
      <c r="R32" s="32"/>
      <c r="S32" s="32"/>
      <c r="T32" s="32"/>
      <c r="U32" s="32"/>
      <c r="V32" s="32"/>
      <c r="W32" s="32"/>
      <c r="X32" s="32"/>
      <c r="Y32" s="32"/>
      <c r="Z32" s="32"/>
      <c r="AA32" s="33"/>
    </row>
    <row r="33" spans="2:27" x14ac:dyDescent="0.25">
      <c r="B33" s="94" t="s">
        <v>97</v>
      </c>
      <c r="C33" s="208">
        <f t="shared" ref="C33:AA33" si="20">CHOOSE(Nominal_Real_Switch,C$45,C$46)</f>
        <v>1.4249609603008975</v>
      </c>
      <c r="D33" s="209">
        <f>CHOOSE(Nominal_Real_Switch,D$45,D$46)</f>
        <v>1.266296220820764</v>
      </c>
      <c r="E33" s="209">
        <f t="shared" si="20"/>
        <v>1.1252982808219179</v>
      </c>
      <c r="F33" s="209">
        <f t="shared" si="20"/>
        <v>1</v>
      </c>
      <c r="G33" s="209">
        <f t="shared" si="20"/>
        <v>0.88865327268570959</v>
      </c>
      <c r="H33" s="209">
        <f t="shared" si="20"/>
        <v>0.78970463905502208</v>
      </c>
      <c r="I33" s="209">
        <f t="shared" si="20"/>
        <v>0.70177361195133237</v>
      </c>
      <c r="J33" s="209">
        <f t="shared" si="20"/>
        <v>0.62363341694502272</v>
      </c>
      <c r="K33" s="209">
        <f t="shared" si="20"/>
        <v>0.55419387692436606</v>
      </c>
      <c r="L33" s="209">
        <f t="shared" si="20"/>
        <v>0.49248620243121927</v>
      </c>
      <c r="M33" s="209">
        <f t="shared" si="20"/>
        <v>0.43764947554305983</v>
      </c>
      <c r="N33" s="209">
        <f t="shared" si="20"/>
        <v>0.38891863873052457</v>
      </c>
      <c r="O33" s="209">
        <f t="shared" si="20"/>
        <v>0.3456138211163518</v>
      </c>
      <c r="P33" s="209">
        <f t="shared" si="20"/>
        <v>0.30713085322045941</v>
      </c>
      <c r="Q33" s="209">
        <f t="shared" si="20"/>
        <v>0.27293283785711558</v>
      </c>
      <c r="R33" s="209">
        <f t="shared" si="20"/>
        <v>0.24254265958512389</v>
      </c>
      <c r="S33" s="209">
        <f t="shared" si="20"/>
        <v>0.21553632820621632</v>
      </c>
      <c r="T33" s="209">
        <f t="shared" si="20"/>
        <v>0.19153706344311536</v>
      </c>
      <c r="U33" s="209">
        <f t="shared" si="20"/>
        <v>0.17021003826933484</v>
      </c>
      <c r="V33" s="209">
        <f t="shared" si="20"/>
        <v>0.15125770755200429</v>
      </c>
      <c r="W33" s="209">
        <f t="shared" si="20"/>
        <v>0.1344156568350266</v>
      </c>
      <c r="X33" s="209">
        <f t="shared" si="20"/>
        <v>0.11944891334664563</v>
      </c>
      <c r="Y33" s="209">
        <f t="shared" si="20"/>
        <v>0.10614866776424838</v>
      </c>
      <c r="Z33" s="209">
        <f t="shared" si="20"/>
        <v>9.4329360999927406E-2</v>
      </c>
      <c r="AA33" s="210">
        <f t="shared" si="20"/>
        <v>8.3826095362937225E-2</v>
      </c>
    </row>
    <row r="34" spans="2:27" s="164" customFormat="1" x14ac:dyDescent="0.25">
      <c r="B34" s="206" t="s">
        <v>98</v>
      </c>
      <c r="C34" s="37">
        <f t="shared" ref="C34:AA34" si="21">C31*C33</f>
        <v>0</v>
      </c>
      <c r="D34" s="26">
        <f>D31*D33</f>
        <v>0</v>
      </c>
      <c r="E34" s="26">
        <f t="shared" si="21"/>
        <v>0</v>
      </c>
      <c r="F34" s="26">
        <f t="shared" si="21"/>
        <v>0</v>
      </c>
      <c r="G34" s="26">
        <f t="shared" ref="G34:S34" si="22">G31*G33</f>
        <v>557834.60862365249</v>
      </c>
      <c r="H34" s="26">
        <f t="shared" si="22"/>
        <v>473962.41447780363</v>
      </c>
      <c r="I34" s="26">
        <f t="shared" si="22"/>
        <v>408804.55802866735</v>
      </c>
      <c r="J34" s="26">
        <f t="shared" si="22"/>
        <v>352041.52464975027</v>
      </c>
      <c r="K34" s="26">
        <f t="shared" si="22"/>
        <v>301165.0633751222</v>
      </c>
      <c r="L34" s="26">
        <f t="shared" si="22"/>
        <v>271817.61299121863</v>
      </c>
      <c r="M34" s="26">
        <f t="shared" si="22"/>
        <v>217454.7829406599</v>
      </c>
      <c r="N34" s="26">
        <f t="shared" si="22"/>
        <v>189700.81939866047</v>
      </c>
      <c r="O34" s="26">
        <f t="shared" si="22"/>
        <v>165489.67415329863</v>
      </c>
      <c r="P34" s="26">
        <f t="shared" si="22"/>
        <v>144913.10329911104</v>
      </c>
      <c r="Q34" s="26">
        <f t="shared" si="22"/>
        <v>-31990.460961365196</v>
      </c>
      <c r="R34" s="26">
        <f t="shared" si="22"/>
        <v>114018.40255986541</v>
      </c>
      <c r="S34" s="26">
        <f t="shared" si="22"/>
        <v>102561.95001280613</v>
      </c>
      <c r="T34" s="26">
        <f t="shared" si="21"/>
        <v>89281.365786883267</v>
      </c>
      <c r="U34" s="26">
        <f t="shared" si="21"/>
        <v>78889.263090974579</v>
      </c>
      <c r="V34" s="26">
        <f t="shared" si="21"/>
        <v>70875.578804705059</v>
      </c>
      <c r="W34" s="26">
        <f t="shared" si="21"/>
        <v>62772.69010167972</v>
      </c>
      <c r="X34" s="26">
        <f t="shared" si="21"/>
        <v>55741.868036512868</v>
      </c>
      <c r="Y34" s="26">
        <f t="shared" si="21"/>
        <v>49199.789137765649</v>
      </c>
      <c r="Z34" s="26">
        <f t="shared" si="21"/>
        <v>44092.849841391449</v>
      </c>
      <c r="AA34" s="27">
        <f t="shared" si="21"/>
        <v>39780.74449728561</v>
      </c>
    </row>
    <row r="35" spans="2:27" s="164" customFormat="1" x14ac:dyDescent="0.25">
      <c r="C35" s="49"/>
      <c r="D35" s="49"/>
      <c r="E35" s="49"/>
      <c r="F35" s="49"/>
      <c r="G35" s="49"/>
      <c r="H35" s="49"/>
      <c r="I35" s="49"/>
      <c r="J35" s="49"/>
      <c r="K35" s="49"/>
      <c r="L35" s="49"/>
      <c r="M35" s="49"/>
      <c r="N35" s="49"/>
      <c r="O35" s="49"/>
      <c r="P35" s="49"/>
      <c r="Q35" s="49"/>
      <c r="R35" s="49"/>
      <c r="S35" s="49"/>
      <c r="T35" s="49"/>
      <c r="U35" s="49"/>
      <c r="V35" s="49"/>
      <c r="W35" s="49"/>
      <c r="X35" s="49"/>
      <c r="Y35" s="49"/>
      <c r="Z35" s="49"/>
      <c r="AA35" s="49"/>
    </row>
    <row r="36" spans="2:27" x14ac:dyDescent="0.25">
      <c r="B36" s="289" t="s">
        <v>99</v>
      </c>
      <c r="C36" s="289"/>
      <c r="D36" s="290">
        <f>SUM(C34:AA34)</f>
        <v>3758408.2028464493</v>
      </c>
      <c r="E36" s="290"/>
      <c r="F36" s="211" t="str">
        <f>IF(Ground_Lease_Ann&gt;0," Value for Improvements Only","Value for Improvements and Land Necessary for Plant Operations")</f>
        <v>Value for Improvements and Land Necessary for Plant Operations</v>
      </c>
      <c r="H36" s="212"/>
      <c r="I36" s="164"/>
      <c r="J36" s="213"/>
      <c r="M36" s="214"/>
    </row>
    <row r="37" spans="2:27" x14ac:dyDescent="0.25">
      <c r="B37" s="215"/>
      <c r="C37" s="215"/>
      <c r="D37" s="291">
        <f>D36/System_Size</f>
        <v>835.20182285476653</v>
      </c>
      <c r="E37" s="291"/>
      <c r="F37" s="216" t="s">
        <v>100</v>
      </c>
      <c r="H37" s="212"/>
      <c r="I37" s="217"/>
      <c r="J37" s="213"/>
      <c r="K37" s="8"/>
      <c r="M37" s="218"/>
      <c r="N37" s="219"/>
      <c r="O37" s="219"/>
    </row>
    <row r="38" spans="2:27" x14ac:dyDescent="0.25">
      <c r="H38" s="219"/>
      <c r="I38" s="220"/>
      <c r="J38" s="221"/>
      <c r="M38" s="218"/>
      <c r="N38" s="219"/>
      <c r="O38" s="219"/>
    </row>
    <row r="39" spans="2:27" x14ac:dyDescent="0.25">
      <c r="B39" s="222" t="s">
        <v>101</v>
      </c>
    </row>
    <row r="40" spans="2:27" x14ac:dyDescent="0.25">
      <c r="B40" s="222" t="str">
        <f>"Cash flows are expressed in "&amp;Cash_Flow_Label&amp;"."</f>
        <v>Cash flows are expressed in Nominal Dollars.</v>
      </c>
      <c r="F40" s="223"/>
    </row>
    <row r="41" spans="2:27" x14ac:dyDescent="0.25">
      <c r="B41" s="222"/>
      <c r="F41" s="223"/>
    </row>
    <row r="42" spans="2:27" ht="15" customHeight="1" x14ac:dyDescent="0.25">
      <c r="B42" s="164" t="s">
        <v>102</v>
      </c>
      <c r="F42" s="8"/>
    </row>
    <row r="43" spans="2:27" ht="15" customHeight="1" x14ac:dyDescent="0.25">
      <c r="B43" s="164"/>
    </row>
    <row r="44" spans="2:27" ht="15" customHeight="1" x14ac:dyDescent="0.25">
      <c r="B44" s="164" t="s">
        <v>103</v>
      </c>
    </row>
    <row r="45" spans="2:27" x14ac:dyDescent="0.25">
      <c r="B45" s="111" t="s">
        <v>104</v>
      </c>
      <c r="C45" s="224">
        <f>CHOOSE(Nominal_Real_Switch,1/(1+Loaded_Discount_Rate),1/((1+Loaded_Discount_Rate)*(1+Inflation)))^(Model!C2-Cash_Flow_Base_Year)</f>
        <v>1.4249609603008975</v>
      </c>
      <c r="D45" s="224">
        <f>CHOOSE(Nominal_Real_Switch,1/(1+Loaded_Discount_Rate),1/((1+Loaded_Discount_Rate)*(1+Inflation)))^(Model!D2-Cash_Flow_Base_Year)</f>
        <v>1.266296220820764</v>
      </c>
      <c r="E45" s="224">
        <f>CHOOSE(Nominal_Real_Switch,1/(1+Loaded_Discount_Rate),1/((1+Loaded_Discount_Rate)*(1+Inflation)))^(Model!E2-Cash_Flow_Base_Year)</f>
        <v>1.1252982808219179</v>
      </c>
      <c r="F45" s="224">
        <f>CHOOSE(Nominal_Real_Switch,1/(1+Loaded_Discount_Rate),1/((1+Loaded_Discount_Rate)*(1+Inflation)))^(Model!F2-Cash_Flow_Base_Year)</f>
        <v>1</v>
      </c>
      <c r="G45" s="224">
        <f>CHOOSE(Nominal_Real_Switch,1/(1+Loaded_Discount_Rate),1/((1+Loaded_Discount_Rate)*(1+Inflation)))^(Model!G2-Cash_Flow_Base_Year)</f>
        <v>0.88865327268570959</v>
      </c>
      <c r="H45" s="224">
        <f>CHOOSE(Nominal_Real_Switch,1/(1+Loaded_Discount_Rate),1/((1+Loaded_Discount_Rate)*(1+Inflation)))^(Model!H2-Cash_Flow_Base_Year)</f>
        <v>0.78970463905502208</v>
      </c>
      <c r="I45" s="224">
        <f>CHOOSE(Nominal_Real_Switch,1/(1+Loaded_Discount_Rate),1/((1+Loaded_Discount_Rate)*(1+Inflation)))^(Model!I2-Cash_Flow_Base_Year)</f>
        <v>0.70177361195133237</v>
      </c>
      <c r="J45" s="224">
        <f>CHOOSE(Nominal_Real_Switch,1/(1+Loaded_Discount_Rate),1/((1+Loaded_Discount_Rate)*(1+Inflation)))^(Model!J2-Cash_Flow_Base_Year)</f>
        <v>0.62363341694502272</v>
      </c>
      <c r="K45" s="224">
        <f>CHOOSE(Nominal_Real_Switch,1/(1+Loaded_Discount_Rate),1/((1+Loaded_Discount_Rate)*(1+Inflation)))^(Model!K2-Cash_Flow_Base_Year)</f>
        <v>0.55419387692436606</v>
      </c>
      <c r="L45" s="224">
        <f>CHOOSE(Nominal_Real_Switch,1/(1+Loaded_Discount_Rate),1/((1+Loaded_Discount_Rate)*(1+Inflation)))^(Model!L2-Cash_Flow_Base_Year)</f>
        <v>0.49248620243121927</v>
      </c>
      <c r="M45" s="224">
        <f>CHOOSE(Nominal_Real_Switch,1/(1+Loaded_Discount_Rate),1/((1+Loaded_Discount_Rate)*(1+Inflation)))^(Model!M2-Cash_Flow_Base_Year)</f>
        <v>0.43764947554305983</v>
      </c>
      <c r="N45" s="224">
        <f>CHOOSE(Nominal_Real_Switch,1/(1+Loaded_Discount_Rate),1/((1+Loaded_Discount_Rate)*(1+Inflation)))^(Model!N2-Cash_Flow_Base_Year)</f>
        <v>0.38891863873052457</v>
      </c>
      <c r="O45" s="224">
        <f>CHOOSE(Nominal_Real_Switch,1/(1+Loaded_Discount_Rate),1/((1+Loaded_Discount_Rate)*(1+Inflation)))^(Model!O2-Cash_Flow_Base_Year)</f>
        <v>0.3456138211163518</v>
      </c>
      <c r="P45" s="224">
        <f>CHOOSE(Nominal_Real_Switch,1/(1+Loaded_Discount_Rate),1/((1+Loaded_Discount_Rate)*(1+Inflation)))^(Model!P2-Cash_Flow_Base_Year)</f>
        <v>0.30713085322045941</v>
      </c>
      <c r="Q45" s="224">
        <f>CHOOSE(Nominal_Real_Switch,1/(1+Loaded_Discount_Rate),1/((1+Loaded_Discount_Rate)*(1+Inflation)))^(Model!Q2-Cash_Flow_Base_Year)</f>
        <v>0.27293283785711558</v>
      </c>
      <c r="R45" s="224">
        <f>CHOOSE(Nominal_Real_Switch,1/(1+Loaded_Discount_Rate),1/((1+Loaded_Discount_Rate)*(1+Inflation)))^(Model!R2-Cash_Flow_Base_Year)</f>
        <v>0.24254265958512389</v>
      </c>
      <c r="S45" s="224">
        <f>CHOOSE(Nominal_Real_Switch,1/(1+Loaded_Discount_Rate),1/((1+Loaded_Discount_Rate)*(1+Inflation)))^(Model!S2-Cash_Flow_Base_Year)</f>
        <v>0.21553632820621632</v>
      </c>
      <c r="T45" s="224">
        <f>CHOOSE(Nominal_Real_Switch,1/(1+Loaded_Discount_Rate),1/((1+Loaded_Discount_Rate)*(1+Inflation)))^(Model!T2-Cash_Flow_Base_Year)</f>
        <v>0.19153706344311536</v>
      </c>
      <c r="U45" s="224">
        <f>CHOOSE(Nominal_Real_Switch,1/(1+Loaded_Discount_Rate),1/((1+Loaded_Discount_Rate)*(1+Inflation)))^(Model!U2-Cash_Flow_Base_Year)</f>
        <v>0.17021003826933484</v>
      </c>
      <c r="V45" s="224">
        <f>CHOOSE(Nominal_Real_Switch,1/(1+Loaded_Discount_Rate),1/((1+Loaded_Discount_Rate)*(1+Inflation)))^(Model!V2-Cash_Flow_Base_Year)</f>
        <v>0.15125770755200429</v>
      </c>
      <c r="W45" s="224">
        <f>CHOOSE(Nominal_Real_Switch,1/(1+Loaded_Discount_Rate),1/((1+Loaded_Discount_Rate)*(1+Inflation)))^(Model!W2-Cash_Flow_Base_Year)</f>
        <v>0.1344156568350266</v>
      </c>
      <c r="X45" s="224">
        <f>CHOOSE(Nominal_Real_Switch,1/(1+Loaded_Discount_Rate),1/((1+Loaded_Discount_Rate)*(1+Inflation)))^(Model!X2-Cash_Flow_Base_Year)</f>
        <v>0.11944891334664563</v>
      </c>
      <c r="Y45" s="224">
        <f>CHOOSE(Nominal_Real_Switch,1/(1+Loaded_Discount_Rate),1/((1+Loaded_Discount_Rate)*(1+Inflation)))^(Model!Y2-Cash_Flow_Base_Year)</f>
        <v>0.10614866776424838</v>
      </c>
      <c r="Z45" s="224">
        <f>CHOOSE(Nominal_Real_Switch,1/(1+Loaded_Discount_Rate),1/((1+Loaded_Discount_Rate)*(1+Inflation)))^(Model!Z2-Cash_Flow_Base_Year)</f>
        <v>9.4329360999927406E-2</v>
      </c>
      <c r="AA45" s="224">
        <f>CHOOSE(Nominal_Real_Switch,1/(1+Loaded_Discount_Rate),1/((1+Loaded_Discount_Rate)*(1+Inflation)))^(Model!AA2-Cash_Flow_Base_Year)</f>
        <v>8.3826095362937225E-2</v>
      </c>
    </row>
    <row r="46" spans="2:27" x14ac:dyDescent="0.25">
      <c r="B46" s="111" t="s">
        <v>105</v>
      </c>
      <c r="C46" s="224">
        <f>CHOOSE(Nominal_Real_Switch,(1+Inflation)/(1+Loaded_Discount_Rate),1/(1+Loaded_Discount_Rate))^(Model!C2-Cash_Flow_Base_Year)</f>
        <v>1.3232179083190532</v>
      </c>
      <c r="D46" s="224">
        <f>CHOOSE(Nominal_Real_Switch,(1+Inflation)/(1+Loaded_Discount_Rate),1/(1+Loaded_Discount_Rate))^(Model!D2-Cash_Flow_Base_Year)</f>
        <v>1.2052789728216673</v>
      </c>
      <c r="E46" s="224">
        <f>CHOOSE(Nominal_Real_Switch,(1+Inflation)/(1+Loaded_Discount_Rate),1/(1+Loaded_Discount_Rate))^(Model!E2-Cash_Flow_Base_Year)</f>
        <v>1.0978519812896761</v>
      </c>
      <c r="F46" s="224">
        <f>CHOOSE(Nominal_Real_Switch,(1+Inflation)/(1+Loaded_Discount_Rate),1/(1+Loaded_Discount_Rate))^(Model!F2-Cash_Flow_Base_Year)</f>
        <v>1</v>
      </c>
      <c r="G46" s="224">
        <f>CHOOSE(Nominal_Real_Switch,(1+Inflation)/(1+Loaded_Discount_Rate),1/(1+Loaded_Discount_Rate))^(Model!G2-Cash_Flow_Base_Year)</f>
        <v>0.91086960450285226</v>
      </c>
      <c r="H46" s="224">
        <f>CHOOSE(Nominal_Real_Switch,(1+Inflation)/(1+Loaded_Discount_Rate),1/(1+Loaded_Discount_Rate))^(Model!H2-Cash_Flow_Base_Year)</f>
        <v>0.82968343640718245</v>
      </c>
      <c r="I46" s="224">
        <f>CHOOSE(Nominal_Real_Switch,(1+Inflation)/(1+Loaded_Discount_Rate),1/(1+Loaded_Discount_Rate))^(Model!I2-Cash_Flow_Base_Year)</f>
        <v>0.75573342358277762</v>
      </c>
      <c r="J46" s="224">
        <f>CHOOSE(Nominal_Real_Switch,(1+Inflation)/(1+Loaded_Discount_Rate),1/(1+Loaded_Discount_Rate))^(Model!J2-Cash_Flow_Base_Year)</f>
        <v>0.68837460464843114</v>
      </c>
      <c r="K46" s="224">
        <f>CHOOSE(Nominal_Real_Switch,(1+Inflation)/(1+Loaded_Discount_Rate),1/(1+Loaded_Discount_Rate))^(Model!K2-Cash_Flow_Base_Year)</f>
        <v>0.62701950388592376</v>
      </c>
      <c r="L46" s="224">
        <f>CHOOSE(Nominal_Real_Switch,(1+Inflation)/(1+Loaded_Discount_Rate),1/(1+Loaded_Discount_Rate))^(Model!L2-Cash_Flow_Base_Year)</f>
        <v>0.57113300752014595</v>
      </c>
      <c r="M46" s="224">
        <f>CHOOSE(Nominal_Real_Switch,(1+Inflation)/(1+Loaded_Discount_Rate),1/(1+Loaded_Discount_Rate))^(Model!M2-Cash_Flow_Base_Year)</f>
        <v>0.52022769667839985</v>
      </c>
      <c r="N46" s="224">
        <f>CHOOSE(Nominal_Real_Switch,(1+Inflation)/(1+Loaded_Discount_Rate),1/(1+Loaded_Discount_Rate))^(Model!N2-Cash_Flow_Base_Year)</f>
        <v>0.47385959632488389</v>
      </c>
      <c r="O46" s="224">
        <f>CHOOSE(Nominal_Real_Switch,(1+Inflation)/(1+Loaded_Discount_Rate),1/(1+Loaded_Discount_Rate))^(Model!O2-Cash_Flow_Base_Year)</f>
        <v>0.4316243030943282</v>
      </c>
      <c r="P46" s="224">
        <f>CHOOSE(Nominal_Real_Switch,(1+Inflation)/(1+Loaded_Discount_Rate),1/(1+Loaded_Discount_Rate))^(Model!P2-Cash_Flow_Base_Year)</f>
        <v>0.39315345825334996</v>
      </c>
      <c r="Q46" s="224">
        <f>CHOOSE(Nominal_Real_Switch,(1+Inflation)/(1+Loaded_Discount_Rate),1/(1+Loaded_Discount_Rate))^(Model!Q2-Cash_Flow_Base_Year)</f>
        <v>0.35811153502815751</v>
      </c>
      <c r="R46" s="224">
        <f>CHOOSE(Nominal_Real_Switch,(1+Inflation)/(1+Loaded_Discount_Rate),1/(1+Loaded_Discount_Rate))^(Model!R2-Cash_Flow_Base_Year)</f>
        <v>0.3261929122790071</v>
      </c>
      <c r="S46" s="224">
        <f>CHOOSE(Nominal_Real_Switch,(1+Inflation)/(1+Loaded_Discount_Rate),1/(1+Loaded_Discount_Rate))^(Model!S2-Cash_Flow_Base_Year)</f>
        <v>0.29711920899921279</v>
      </c>
      <c r="T46" s="224">
        <f>CHOOSE(Nominal_Real_Switch,(1+Inflation)/(1+Loaded_Discount_Rate),1/(1+Loaded_Discount_Rate))^(Model!T2-Cash_Flow_Base_Year)</f>
        <v>0.27063685639131324</v>
      </c>
      <c r="U46" s="224">
        <f>CHOOSE(Nominal_Real_Switch,(1+Inflation)/(1+Loaded_Discount_Rate),1/(1+Loaded_Discount_Rate))^(Model!U2-Cash_Flow_Base_Year)</f>
        <v>0.2465148863450507</v>
      </c>
      <c r="V46" s="224">
        <f>CHOOSE(Nominal_Real_Switch,(1+Inflation)/(1+Loaded_Discount_Rate),1/(1+Loaded_Discount_Rate))^(Model!V2-Cash_Flow_Base_Year)</f>
        <v>0.22454291702918192</v>
      </c>
      <c r="W46" s="224">
        <f>CHOOSE(Nominal_Real_Switch,(1+Inflation)/(1+Loaded_Discount_Rate),1/(1+Loaded_Discount_Rate))^(Model!W2-Cash_Flow_Base_Year)</f>
        <v>0.20452931802828769</v>
      </c>
      <c r="X46" s="224">
        <f>CHOOSE(Nominal_Real_Switch,(1+Inflation)/(1+Loaded_Discount_Rate),1/(1+Loaded_Discount_Rate))^(Model!X2-Cash_Flow_Base_Year)</f>
        <v>0.18629953902166449</v>
      </c>
      <c r="Y46" s="224">
        <f>CHOOSE(Nominal_Real_Switch,(1+Inflation)/(1+Loaded_Discount_Rate),1/(1+Loaded_Discount_Rate))^(Model!Y2-Cash_Flow_Base_Year)</f>
        <v>0.16969458742772722</v>
      </c>
      <c r="Z46" s="224">
        <f>CHOOSE(Nominal_Real_Switch,(1+Inflation)/(1+Loaded_Discount_Rate),1/(1+Loaded_Discount_Rate))^(Model!Z2-Cash_Flow_Base_Year)</f>
        <v>0.15456964173656859</v>
      </c>
      <c r="AA46" s="224">
        <f>CHOOSE(Nominal_Real_Switch,(1+Inflation)/(1+Loaded_Discount_Rate),1/(1+Loaded_Discount_Rate))^(Model!AA2-Cash_Flow_Base_Year)</f>
        <v>0.14079278843673579</v>
      </c>
    </row>
    <row r="47" spans="2:27" x14ac:dyDescent="0.25">
      <c r="B47" s="111" t="s">
        <v>106</v>
      </c>
      <c r="C47" s="224">
        <f>1/((1+Inflation)^(Model!C2-Cash_Flow_Base_Year))</f>
        <v>1.0768906249999999</v>
      </c>
      <c r="D47" s="224">
        <f>1/((1+Inflation)^(Model!D2-Cash_Flow_Base_Year))</f>
        <v>1.0506249999999999</v>
      </c>
      <c r="E47" s="224">
        <f>1/((1+Inflation)^(Model!E2-Cash_Flow_Base_Year))</f>
        <v>1.0249999999999999</v>
      </c>
      <c r="F47" s="224">
        <f>1/((1+Inflation)^(Model!F2-Cash_Flow_Base_Year))</f>
        <v>1</v>
      </c>
      <c r="G47" s="224">
        <f>1/((1+Inflation)^(Model!G2-Cash_Flow_Base_Year))</f>
        <v>0.97560975609756106</v>
      </c>
      <c r="H47" s="224">
        <f>1/((1+Inflation)^(Model!H2-Cash_Flow_Base_Year))</f>
        <v>0.95181439619274244</v>
      </c>
      <c r="I47" s="224">
        <f>1/((1+Inflation)^(Model!I2-Cash_Flow_Base_Year))</f>
        <v>0.92859941091974885</v>
      </c>
      <c r="J47" s="224">
        <f>1/((1+Inflation)^(Model!J2-Cash_Flow_Base_Year))</f>
        <v>0.90595064479975507</v>
      </c>
      <c r="K47" s="224">
        <f>1/((1+Inflation)^(Model!K2-Cash_Flow_Base_Year))</f>
        <v>0.88385428760951712</v>
      </c>
      <c r="L47" s="224">
        <f>1/((1+Inflation)^(Model!L2-Cash_Flow_Base_Year))</f>
        <v>0.86229686596050459</v>
      </c>
      <c r="M47" s="224">
        <f>1/((1+Inflation)^(Model!M2-Cash_Flow_Base_Year))</f>
        <v>0.84126523508341911</v>
      </c>
      <c r="N47" s="224">
        <f>1/((1+Inflation)^(Model!N2-Cash_Flow_Base_Year))</f>
        <v>0.82074657081309188</v>
      </c>
      <c r="O47" s="224">
        <f>1/((1+Inflation)^(Model!O2-Cash_Flow_Base_Year))</f>
        <v>0.8007283617688703</v>
      </c>
      <c r="P47" s="224">
        <f>1/((1+Inflation)^(Model!P2-Cash_Flow_Base_Year))</f>
        <v>0.78119840172572708</v>
      </c>
      <c r="Q47" s="224">
        <f>1/((1+Inflation)^(Model!Q2-Cash_Flow_Base_Year))</f>
        <v>0.7621447821714411</v>
      </c>
      <c r="R47" s="224">
        <f>1/((1+Inflation)^(Model!R2-Cash_Flow_Base_Year))</f>
        <v>0.74355588504530845</v>
      </c>
      <c r="S47" s="224">
        <f>1/((1+Inflation)^(Model!S2-Cash_Flow_Base_Year))</f>
        <v>0.72542037565395945</v>
      </c>
      <c r="T47" s="224">
        <f>1/((1+Inflation)^(Model!T2-Cash_Flow_Base_Year))</f>
        <v>0.70772719575996057</v>
      </c>
      <c r="U47" s="224">
        <f>1/((1+Inflation)^(Model!U2-Cash_Flow_Base_Year))</f>
        <v>0.69046555683898581</v>
      </c>
      <c r="V47" s="224">
        <f>1/((1+Inflation)^(Model!V2-Cash_Flow_Base_Year))</f>
        <v>0.67362493350144959</v>
      </c>
      <c r="W47" s="224">
        <f>1/((1+Inflation)^(Model!W2-Cash_Flow_Base_Year))</f>
        <v>0.65719505707458503</v>
      </c>
      <c r="X47" s="224">
        <f>1/((1+Inflation)^(Model!X2-Cash_Flow_Base_Year))</f>
        <v>0.64116590934105855</v>
      </c>
      <c r="Y47" s="224">
        <f>1/((1+Inflation)^(Model!Y2-Cash_Flow_Base_Year))</f>
        <v>0.62552771643030103</v>
      </c>
      <c r="Z47" s="224">
        <f>1/((1+Inflation)^(Model!Z2-Cash_Flow_Base_Year))</f>
        <v>0.61027094285883032</v>
      </c>
      <c r="AA47" s="224">
        <f>1/((1+Inflation)^(Model!AA2-Cash_Flow_Base_Year))</f>
        <v>0.59538628571593211</v>
      </c>
    </row>
    <row r="48" spans="2:27" x14ac:dyDescent="0.25">
      <c r="B48" s="111" t="s">
        <v>107</v>
      </c>
      <c r="C48" s="224">
        <f t="shared" ref="C48:AA48" si="23">(1+Inflation)^(C$2-Cost_Base_Year)</f>
        <v>0.92859941091974885</v>
      </c>
      <c r="D48" s="224">
        <f t="shared" si="23"/>
        <v>0.95181439619274244</v>
      </c>
      <c r="E48" s="224">
        <f t="shared" si="23"/>
        <v>0.97560975609756106</v>
      </c>
      <c r="F48" s="224">
        <f t="shared" si="23"/>
        <v>1</v>
      </c>
      <c r="G48" s="224">
        <f t="shared" si="23"/>
        <v>1.0249999999999999</v>
      </c>
      <c r="H48" s="224">
        <f t="shared" si="23"/>
        <v>1.0506249999999999</v>
      </c>
      <c r="I48" s="224">
        <f t="shared" si="23"/>
        <v>1.0768906249999999</v>
      </c>
      <c r="J48" s="224">
        <f t="shared" si="23"/>
        <v>1.1038128906249998</v>
      </c>
      <c r="K48" s="224">
        <f t="shared" si="23"/>
        <v>1.1314082128906247</v>
      </c>
      <c r="L48" s="224">
        <f t="shared" si="23"/>
        <v>1.1596934182128902</v>
      </c>
      <c r="M48" s="224">
        <f t="shared" si="23"/>
        <v>1.1886857536682125</v>
      </c>
      <c r="N48" s="224">
        <f t="shared" si="23"/>
        <v>1.2184028975099177</v>
      </c>
      <c r="O48" s="224">
        <f t="shared" si="23"/>
        <v>1.2488629699476654</v>
      </c>
      <c r="P48" s="224">
        <f t="shared" si="23"/>
        <v>1.2800845441963571</v>
      </c>
      <c r="Q48" s="224">
        <f t="shared" si="23"/>
        <v>1.312086657801266</v>
      </c>
      <c r="R48" s="224">
        <f t="shared" si="23"/>
        <v>1.3448888242462975</v>
      </c>
      <c r="S48" s="224">
        <f t="shared" si="23"/>
        <v>1.3785110448524549</v>
      </c>
      <c r="T48" s="224">
        <f t="shared" si="23"/>
        <v>1.4129738209737661</v>
      </c>
      <c r="U48" s="224">
        <f t="shared" si="23"/>
        <v>1.4482981664981105</v>
      </c>
      <c r="V48" s="224">
        <f t="shared" si="23"/>
        <v>1.4845056206605631</v>
      </c>
      <c r="W48" s="224">
        <f t="shared" si="23"/>
        <v>1.521618261177077</v>
      </c>
      <c r="X48" s="224">
        <f t="shared" si="23"/>
        <v>1.559658717706504</v>
      </c>
      <c r="Y48" s="224">
        <f t="shared" si="23"/>
        <v>1.5986501856491666</v>
      </c>
      <c r="Z48" s="224">
        <f t="shared" si="23"/>
        <v>1.6386164402903955</v>
      </c>
      <c r="AA48" s="224">
        <f t="shared" si="23"/>
        <v>1.6795818512976552</v>
      </c>
    </row>
    <row r="49" spans="2:27" x14ac:dyDescent="0.25">
      <c r="B49" s="111" t="s">
        <v>108</v>
      </c>
      <c r="C49" s="224">
        <f t="shared" ref="C49:AA49" si="24">(1+Inflation)^(C$2-DRV_Ref_Year)</f>
        <v>0.92859941091974885</v>
      </c>
      <c r="D49" s="224">
        <f t="shared" si="24"/>
        <v>0.95181439619274244</v>
      </c>
      <c r="E49" s="224">
        <f t="shared" si="24"/>
        <v>0.97560975609756106</v>
      </c>
      <c r="F49" s="224">
        <f t="shared" si="24"/>
        <v>1</v>
      </c>
      <c r="G49" s="224">
        <f t="shared" si="24"/>
        <v>1.0249999999999999</v>
      </c>
      <c r="H49" s="224">
        <f t="shared" si="24"/>
        <v>1.0506249999999999</v>
      </c>
      <c r="I49" s="224">
        <f t="shared" si="24"/>
        <v>1.0768906249999999</v>
      </c>
      <c r="J49" s="224">
        <f t="shared" si="24"/>
        <v>1.1038128906249998</v>
      </c>
      <c r="K49" s="224">
        <f t="shared" si="24"/>
        <v>1.1314082128906247</v>
      </c>
      <c r="L49" s="224">
        <f t="shared" si="24"/>
        <v>1.1596934182128902</v>
      </c>
      <c r="M49" s="224">
        <f t="shared" si="24"/>
        <v>1.1886857536682125</v>
      </c>
      <c r="N49" s="224">
        <f t="shared" si="24"/>
        <v>1.2184028975099177</v>
      </c>
      <c r="O49" s="224">
        <f t="shared" si="24"/>
        <v>1.2488629699476654</v>
      </c>
      <c r="P49" s="224">
        <f t="shared" si="24"/>
        <v>1.2800845441963571</v>
      </c>
      <c r="Q49" s="224">
        <f t="shared" si="24"/>
        <v>1.312086657801266</v>
      </c>
      <c r="R49" s="224">
        <f t="shared" si="24"/>
        <v>1.3448888242462975</v>
      </c>
      <c r="S49" s="224">
        <f t="shared" si="24"/>
        <v>1.3785110448524549</v>
      </c>
      <c r="T49" s="224">
        <f t="shared" si="24"/>
        <v>1.4129738209737661</v>
      </c>
      <c r="U49" s="224">
        <f t="shared" si="24"/>
        <v>1.4482981664981105</v>
      </c>
      <c r="V49" s="224">
        <f t="shared" si="24"/>
        <v>1.4845056206605631</v>
      </c>
      <c r="W49" s="224">
        <f t="shared" si="24"/>
        <v>1.521618261177077</v>
      </c>
      <c r="X49" s="224">
        <f t="shared" si="24"/>
        <v>1.559658717706504</v>
      </c>
      <c r="Y49" s="224">
        <f t="shared" si="24"/>
        <v>1.5986501856491666</v>
      </c>
      <c r="Z49" s="224">
        <f t="shared" si="24"/>
        <v>1.6386164402903955</v>
      </c>
      <c r="AA49" s="224">
        <f t="shared" si="24"/>
        <v>1.6795818512976552</v>
      </c>
    </row>
    <row r="50" spans="2:27" x14ac:dyDescent="0.25">
      <c r="B50" s="111" t="s">
        <v>109</v>
      </c>
      <c r="C50" s="224">
        <f t="shared" ref="C50:AA50" si="25">(1+Inflation)^(C$2-Forecast_Base_Year)</f>
        <v>0.92859941091974885</v>
      </c>
      <c r="D50" s="224">
        <f t="shared" si="25"/>
        <v>0.95181439619274244</v>
      </c>
      <c r="E50" s="224">
        <f t="shared" si="25"/>
        <v>0.97560975609756106</v>
      </c>
      <c r="F50" s="224">
        <f t="shared" si="25"/>
        <v>1</v>
      </c>
      <c r="G50" s="224">
        <f t="shared" si="25"/>
        <v>1.0249999999999999</v>
      </c>
      <c r="H50" s="224">
        <f t="shared" si="25"/>
        <v>1.0506249999999999</v>
      </c>
      <c r="I50" s="224">
        <f t="shared" si="25"/>
        <v>1.0768906249999999</v>
      </c>
      <c r="J50" s="224">
        <f t="shared" si="25"/>
        <v>1.1038128906249998</v>
      </c>
      <c r="K50" s="224">
        <f t="shared" si="25"/>
        <v>1.1314082128906247</v>
      </c>
      <c r="L50" s="224">
        <f t="shared" si="25"/>
        <v>1.1596934182128902</v>
      </c>
      <c r="M50" s="224">
        <f t="shared" si="25"/>
        <v>1.1886857536682125</v>
      </c>
      <c r="N50" s="224">
        <f t="shared" si="25"/>
        <v>1.2184028975099177</v>
      </c>
      <c r="O50" s="224">
        <f t="shared" si="25"/>
        <v>1.2488629699476654</v>
      </c>
      <c r="P50" s="224">
        <f t="shared" si="25"/>
        <v>1.2800845441963571</v>
      </c>
      <c r="Q50" s="224">
        <f t="shared" si="25"/>
        <v>1.312086657801266</v>
      </c>
      <c r="R50" s="224">
        <f t="shared" si="25"/>
        <v>1.3448888242462975</v>
      </c>
      <c r="S50" s="224">
        <f t="shared" si="25"/>
        <v>1.3785110448524549</v>
      </c>
      <c r="T50" s="224">
        <f t="shared" si="25"/>
        <v>1.4129738209737661</v>
      </c>
      <c r="U50" s="224">
        <f t="shared" si="25"/>
        <v>1.4482981664981105</v>
      </c>
      <c r="V50" s="224">
        <f t="shared" si="25"/>
        <v>1.4845056206605631</v>
      </c>
      <c r="W50" s="224">
        <f t="shared" si="25"/>
        <v>1.521618261177077</v>
      </c>
      <c r="X50" s="224">
        <f t="shared" si="25"/>
        <v>1.559658717706504</v>
      </c>
      <c r="Y50" s="224">
        <f t="shared" si="25"/>
        <v>1.5986501856491666</v>
      </c>
      <c r="Z50" s="224">
        <f t="shared" si="25"/>
        <v>1.6386164402903955</v>
      </c>
      <c r="AA50" s="224">
        <f t="shared" si="25"/>
        <v>1.6795818512976552</v>
      </c>
    </row>
    <row r="51" spans="2:27" x14ac:dyDescent="0.25">
      <c r="G51" s="224"/>
      <c r="H51" s="224"/>
      <c r="I51" s="224"/>
      <c r="J51" s="224"/>
      <c r="K51" s="224"/>
      <c r="L51" s="224"/>
      <c r="M51" s="224"/>
      <c r="N51" s="224"/>
    </row>
    <row r="52" spans="2:27" x14ac:dyDescent="0.25">
      <c r="B52" s="164" t="s">
        <v>110</v>
      </c>
    </row>
    <row r="53" spans="2:27" x14ac:dyDescent="0.25">
      <c r="B53" s="111" t="s">
        <v>111</v>
      </c>
      <c r="C53" s="225">
        <f>System_Size</f>
        <v>4500</v>
      </c>
    </row>
    <row r="54" spans="2:27" x14ac:dyDescent="0.25">
      <c r="B54" s="111" t="s">
        <v>112</v>
      </c>
      <c r="C54" s="226">
        <f>Zone_Capacity_Factor</f>
        <v>0.2095294751629842</v>
      </c>
    </row>
    <row r="55" spans="2:27" x14ac:dyDescent="0.25">
      <c r="B55" s="111" t="s">
        <v>113</v>
      </c>
      <c r="C55" s="47">
        <f>Degradation</f>
        <v>5.0000000000000001E-3</v>
      </c>
    </row>
    <row r="56" spans="2:27" x14ac:dyDescent="0.25">
      <c r="B56" s="111" t="s">
        <v>114</v>
      </c>
      <c r="C56" s="48">
        <f t="shared" ref="C56:AA56" si="26">1-Degradation*(C$3-1)</f>
        <v>1</v>
      </c>
      <c r="D56" s="48">
        <f t="shared" si="26"/>
        <v>0.995</v>
      </c>
      <c r="E56" s="48">
        <f t="shared" si="26"/>
        <v>0.99</v>
      </c>
      <c r="F56" s="48">
        <f t="shared" si="26"/>
        <v>0.98499999999999999</v>
      </c>
      <c r="G56" s="48">
        <f t="shared" si="26"/>
        <v>0.98</v>
      </c>
      <c r="H56" s="48">
        <f t="shared" si="26"/>
        <v>0.97499999999999998</v>
      </c>
      <c r="I56" s="48">
        <f t="shared" si="26"/>
        <v>0.97</v>
      </c>
      <c r="J56" s="48">
        <f t="shared" si="26"/>
        <v>0.96499999999999997</v>
      </c>
      <c r="K56" s="48">
        <f t="shared" si="26"/>
        <v>0.96</v>
      </c>
      <c r="L56" s="48">
        <f t="shared" si="26"/>
        <v>0.95499999999999996</v>
      </c>
      <c r="M56" s="48">
        <f t="shared" si="26"/>
        <v>0.95</v>
      </c>
      <c r="N56" s="48">
        <f t="shared" si="26"/>
        <v>0.94499999999999995</v>
      </c>
      <c r="O56" s="48">
        <f t="shared" si="26"/>
        <v>0.94</v>
      </c>
      <c r="P56" s="48">
        <f t="shared" si="26"/>
        <v>0.93500000000000005</v>
      </c>
      <c r="Q56" s="48">
        <f t="shared" si="26"/>
        <v>0.92999999999999994</v>
      </c>
      <c r="R56" s="48">
        <f t="shared" si="26"/>
        <v>0.92500000000000004</v>
      </c>
      <c r="S56" s="48">
        <f t="shared" si="26"/>
        <v>0.92</v>
      </c>
      <c r="T56" s="48">
        <f t="shared" si="26"/>
        <v>0.91500000000000004</v>
      </c>
      <c r="U56" s="48">
        <f t="shared" si="26"/>
        <v>0.91</v>
      </c>
      <c r="V56" s="48">
        <f t="shared" si="26"/>
        <v>0.90500000000000003</v>
      </c>
      <c r="W56" s="48">
        <f t="shared" si="26"/>
        <v>0.9</v>
      </c>
      <c r="X56" s="48">
        <f t="shared" si="26"/>
        <v>0.89500000000000002</v>
      </c>
      <c r="Y56" s="48">
        <f t="shared" si="26"/>
        <v>0.89</v>
      </c>
      <c r="Z56" s="48">
        <f t="shared" si="26"/>
        <v>0.88500000000000001</v>
      </c>
      <c r="AA56" s="48">
        <f t="shared" si="26"/>
        <v>0.88</v>
      </c>
    </row>
    <row r="57" spans="2:27" x14ac:dyDescent="0.25">
      <c r="B57" s="111" t="s">
        <v>115</v>
      </c>
      <c r="C57" s="225">
        <f t="shared" ref="C57:AA57" si="27">VLOOKUP(C$2,Days_per_Year,2,FALSE)</f>
        <v>365</v>
      </c>
      <c r="D57" s="225">
        <f t="shared" si="27"/>
        <v>365</v>
      </c>
      <c r="E57" s="225">
        <f t="shared" si="27"/>
        <v>366</v>
      </c>
      <c r="F57" s="225">
        <f t="shared" si="27"/>
        <v>365</v>
      </c>
      <c r="G57" s="225">
        <f t="shared" si="27"/>
        <v>365</v>
      </c>
      <c r="H57" s="225">
        <f t="shared" si="27"/>
        <v>365</v>
      </c>
      <c r="I57" s="225">
        <f t="shared" si="27"/>
        <v>366</v>
      </c>
      <c r="J57" s="225">
        <f t="shared" si="27"/>
        <v>365</v>
      </c>
      <c r="K57" s="225">
        <f t="shared" si="27"/>
        <v>365</v>
      </c>
      <c r="L57" s="225">
        <f t="shared" si="27"/>
        <v>365</v>
      </c>
      <c r="M57" s="225">
        <f t="shared" si="27"/>
        <v>366</v>
      </c>
      <c r="N57" s="225">
        <f t="shared" si="27"/>
        <v>365</v>
      </c>
      <c r="O57" s="225">
        <f t="shared" si="27"/>
        <v>365</v>
      </c>
      <c r="P57" s="225">
        <f t="shared" si="27"/>
        <v>365</v>
      </c>
      <c r="Q57" s="225">
        <f t="shared" si="27"/>
        <v>366</v>
      </c>
      <c r="R57" s="225">
        <f t="shared" si="27"/>
        <v>365</v>
      </c>
      <c r="S57" s="225">
        <f t="shared" si="27"/>
        <v>365</v>
      </c>
      <c r="T57" s="225">
        <f t="shared" si="27"/>
        <v>365</v>
      </c>
      <c r="U57" s="225">
        <f t="shared" si="27"/>
        <v>366</v>
      </c>
      <c r="V57" s="225">
        <f t="shared" si="27"/>
        <v>365</v>
      </c>
      <c r="W57" s="225">
        <f t="shared" si="27"/>
        <v>365</v>
      </c>
      <c r="X57" s="225">
        <f t="shared" si="27"/>
        <v>365</v>
      </c>
      <c r="Y57" s="225">
        <f t="shared" si="27"/>
        <v>366</v>
      </c>
      <c r="Z57" s="225">
        <f t="shared" si="27"/>
        <v>365</v>
      </c>
      <c r="AA57" s="225">
        <f t="shared" si="27"/>
        <v>365</v>
      </c>
    </row>
    <row r="58" spans="2:27" x14ac:dyDescent="0.25">
      <c r="B58" s="111" t="s">
        <v>81</v>
      </c>
      <c r="C58" s="225">
        <f t="shared" ref="C58:AA58" si="28">System_Size*24*C$57*Zone_Capacity_Factor*C$56</f>
        <v>8259651.910924837</v>
      </c>
      <c r="D58" s="225">
        <f t="shared" si="28"/>
        <v>8218353.6513702124</v>
      </c>
      <c r="E58" s="225">
        <f t="shared" si="28"/>
        <v>8199458.2833000151</v>
      </c>
      <c r="F58" s="225">
        <f t="shared" si="28"/>
        <v>8135757.1322609643</v>
      </c>
      <c r="G58" s="225">
        <f t="shared" si="28"/>
        <v>8094458.8727063397</v>
      </c>
      <c r="H58" s="225">
        <f t="shared" si="28"/>
        <v>8053160.6131517161</v>
      </c>
      <c r="I58" s="225">
        <f t="shared" si="28"/>
        <v>8033812.6614151662</v>
      </c>
      <c r="J58" s="225">
        <f t="shared" si="28"/>
        <v>7970564.0940424679</v>
      </c>
      <c r="K58" s="225">
        <f t="shared" si="28"/>
        <v>7929265.8344878433</v>
      </c>
      <c r="L58" s="225">
        <f t="shared" si="28"/>
        <v>7887967.5749332188</v>
      </c>
      <c r="M58" s="225">
        <f t="shared" si="28"/>
        <v>7868167.0395303173</v>
      </c>
      <c r="N58" s="225">
        <f t="shared" si="28"/>
        <v>7805371.0558239706</v>
      </c>
      <c r="O58" s="225">
        <f t="shared" si="28"/>
        <v>7764072.796269346</v>
      </c>
      <c r="P58" s="225">
        <f t="shared" si="28"/>
        <v>7722774.5367147233</v>
      </c>
      <c r="Q58" s="225">
        <f t="shared" si="28"/>
        <v>7702521.4176454684</v>
      </c>
      <c r="R58" s="225">
        <f t="shared" si="28"/>
        <v>7640178.0176054742</v>
      </c>
      <c r="S58" s="225">
        <f t="shared" si="28"/>
        <v>7598879.7580508506</v>
      </c>
      <c r="T58" s="225">
        <f t="shared" si="28"/>
        <v>7557581.498496226</v>
      </c>
      <c r="U58" s="225">
        <f t="shared" si="28"/>
        <v>7536875.7957606204</v>
      </c>
      <c r="V58" s="225">
        <f t="shared" si="28"/>
        <v>7474984.9793869779</v>
      </c>
      <c r="W58" s="225">
        <f t="shared" si="28"/>
        <v>7433686.7198323533</v>
      </c>
      <c r="X58" s="225">
        <f t="shared" si="28"/>
        <v>7392388.4602777297</v>
      </c>
      <c r="Y58" s="225">
        <f t="shared" si="28"/>
        <v>7371230.1738757715</v>
      </c>
      <c r="Z58" s="225">
        <f t="shared" si="28"/>
        <v>7309791.9411684806</v>
      </c>
      <c r="AA58" s="225">
        <f t="shared" si="28"/>
        <v>7268493.6816138569</v>
      </c>
    </row>
    <row r="59" spans="2:27" x14ac:dyDescent="0.25">
      <c r="D59" s="227"/>
      <c r="E59" s="227"/>
      <c r="F59" s="227"/>
      <c r="G59" s="227"/>
      <c r="H59" s="227"/>
      <c r="I59" s="227"/>
      <c r="J59" s="227"/>
      <c r="K59" s="227"/>
      <c r="L59" s="227"/>
      <c r="M59" s="227"/>
      <c r="N59" s="227"/>
      <c r="O59" s="227"/>
      <c r="P59" s="227"/>
      <c r="Q59" s="227"/>
      <c r="R59" s="227"/>
      <c r="S59" s="227"/>
      <c r="T59" s="227"/>
      <c r="U59" s="227"/>
      <c r="V59" s="227"/>
      <c r="W59" s="227"/>
      <c r="X59" s="227"/>
      <c r="Y59" s="227"/>
      <c r="Z59" s="227"/>
      <c r="AA59" s="227"/>
    </row>
    <row r="60" spans="2:27" x14ac:dyDescent="0.25">
      <c r="B60" s="164" t="s">
        <v>116</v>
      </c>
    </row>
    <row r="61" spans="2:27" x14ac:dyDescent="0.25">
      <c r="B61" s="111" t="s">
        <v>117</v>
      </c>
      <c r="C61" s="225">
        <f>BESS_Size_kW</f>
        <v>2500</v>
      </c>
    </row>
    <row r="62" spans="2:27" x14ac:dyDescent="0.25">
      <c r="B62" s="111" t="s">
        <v>113</v>
      </c>
      <c r="C62" s="47">
        <f>StorageDegradation</f>
        <v>0.02</v>
      </c>
    </row>
    <row r="63" spans="2:27" x14ac:dyDescent="0.25">
      <c r="B63" s="111" t="s">
        <v>114</v>
      </c>
      <c r="C63" s="48">
        <f>IF(C$3&gt;Inputs!$C$52,"",1-StorageDegradation*(C$3-1))</f>
        <v>1</v>
      </c>
      <c r="D63" s="48">
        <f>IF(D$3&gt;Inputs!$C$52,"",1-StorageDegradation*(D$3-1))</f>
        <v>0.98</v>
      </c>
      <c r="E63" s="48">
        <f>IF(E$3&gt;Inputs!$C$52,"",1-StorageDegradation*(E$3-1))</f>
        <v>0.96</v>
      </c>
      <c r="F63" s="48">
        <f>IF(F$3&gt;Inputs!$C$52,"",1-StorageDegradation*(F$3-1))</f>
        <v>0.94</v>
      </c>
      <c r="G63" s="48">
        <f>IF(G$3&gt;Inputs!$C$52,"",1-StorageDegradation*(G$3-1))</f>
        <v>0.92</v>
      </c>
      <c r="H63" s="48">
        <f>IF(H$3&gt;Inputs!$C$52,"",1-StorageDegradation*(H$3-1))</f>
        <v>0.9</v>
      </c>
      <c r="I63" s="48">
        <f>IF(I$3&gt;Inputs!$C$52,"",1-StorageDegradation*(I$3-1))</f>
        <v>0.88</v>
      </c>
      <c r="J63" s="48">
        <f>IF(J$3&gt;Inputs!$C$52,"",1-StorageDegradation*(J$3-1))</f>
        <v>0.86</v>
      </c>
      <c r="K63" s="48">
        <f>IF(K$3&gt;Inputs!$C$52,"",1-StorageDegradation*(K$3-1))</f>
        <v>0.84</v>
      </c>
      <c r="L63" s="48">
        <f>IF(L$3&gt;Inputs!$C$52,"",1-StorageDegradation*(L$3-1))</f>
        <v>0.82000000000000006</v>
      </c>
      <c r="M63" s="48">
        <f>IF(M$3&gt;Inputs!$C$52,"",1-StorageDegradation*(M$3-1))</f>
        <v>0.8</v>
      </c>
      <c r="N63" s="48">
        <f>IF(N$3&gt;Inputs!$C$52,"",1-StorageDegradation*(N$3-1))</f>
        <v>0.78</v>
      </c>
      <c r="O63" s="48">
        <f>IF(O$3&gt;Inputs!$C$52,"",1-StorageDegradation*(O$3-1))</f>
        <v>0.76</v>
      </c>
      <c r="P63" s="48">
        <f>IF(P$3&gt;Inputs!$C$52,"",1-StorageDegradation*(P$3-1))</f>
        <v>0.74</v>
      </c>
      <c r="Q63" s="48">
        <f>IF(Q$3&gt;Inputs!$C$52,"",1-StorageDegradation*(Q$3-1))</f>
        <v>0.72</v>
      </c>
      <c r="R63" s="48" t="str">
        <f>IF(R$3&gt;Inputs!$C$52,"",1-StorageDegradation*(R$3-1))</f>
        <v/>
      </c>
      <c r="S63" s="48" t="str">
        <f>IF(S$3&gt;Inputs!$C$52,"",1-StorageDegradation*(S$3-1))</f>
        <v/>
      </c>
      <c r="T63" s="48" t="str">
        <f>IF(T$3&gt;Inputs!$C$52,"",1-StorageDegradation*(T$3-1))</f>
        <v/>
      </c>
      <c r="U63" s="48" t="str">
        <f>IF(U$3&gt;Inputs!$C$52,"",1-StorageDegradation*(U$3-1))</f>
        <v/>
      </c>
      <c r="V63" s="48" t="str">
        <f>IF(V$3&gt;Inputs!$C$52,"",1-StorageDegradation*(V$3-1))</f>
        <v/>
      </c>
      <c r="W63" s="48" t="str">
        <f>IF(W$3&gt;Inputs!$C$52,"",1-StorageDegradation*(W$3-1))</f>
        <v/>
      </c>
      <c r="X63" s="48" t="str">
        <f>IF(X$3&gt;Inputs!$C$52,"",1-StorageDegradation*(X$3-1))</f>
        <v/>
      </c>
      <c r="Y63" s="48" t="str">
        <f>IF(Y$3&gt;Inputs!$C$52,"",1-StorageDegradation*(Y$3-1))</f>
        <v/>
      </c>
      <c r="Z63" s="48" t="str">
        <f>IF(Z$3&gt;Inputs!$C$52,"",1-StorageDegradation*(Z$3-1))</f>
        <v/>
      </c>
      <c r="AA63" s="48" t="str">
        <f>IF(AA$3&gt;Inputs!$C$52,"",1-StorageDegradation*(AA$3-1))</f>
        <v/>
      </c>
    </row>
    <row r="64" spans="2:27" x14ac:dyDescent="0.25">
      <c r="B64" s="111" t="s">
        <v>118</v>
      </c>
      <c r="C64" s="225">
        <f>IF(C$3&gt;Inputs!$C$52,"",BESS_Size_kW*C$63)</f>
        <v>2500</v>
      </c>
      <c r="D64" s="225">
        <f>IF(D$3&gt;Inputs!$C$52,"",BESS_Size_kW*D$63)</f>
        <v>2450</v>
      </c>
      <c r="E64" s="225">
        <f>IF(E$3&gt;Inputs!$C$52,"",BESS_Size_kW*E$63)</f>
        <v>2400</v>
      </c>
      <c r="F64" s="225">
        <f>IF(F$3&gt;Inputs!$C$52,"",BESS_Size_kW*F$63)</f>
        <v>2350</v>
      </c>
      <c r="G64" s="225">
        <f>IF(G$3&gt;Inputs!$C$52,"",BESS_Size_kW*G$63)</f>
        <v>2300</v>
      </c>
      <c r="H64" s="225">
        <f>IF(H$3&gt;Inputs!$C$52,"",BESS_Size_kW*H$63)</f>
        <v>2250</v>
      </c>
      <c r="I64" s="225">
        <f>IF(I$3&gt;Inputs!$C$52,"",BESS_Size_kW*I$63)</f>
        <v>2200</v>
      </c>
      <c r="J64" s="225">
        <f>IF(J$3&gt;Inputs!$C$52,"",BESS_Size_kW*J$63)</f>
        <v>2150</v>
      </c>
      <c r="K64" s="225">
        <f>IF(K$3&gt;Inputs!$C$52,"",BESS_Size_kW*K$63)</f>
        <v>2100</v>
      </c>
      <c r="L64" s="225">
        <f>IF(L$3&gt;Inputs!$C$52,"",BESS_Size_kW*L$63)</f>
        <v>2050</v>
      </c>
      <c r="M64" s="225">
        <f>IF(M$3&gt;Inputs!$C$52,"",BESS_Size_kW*M$63)</f>
        <v>2000</v>
      </c>
      <c r="N64" s="225">
        <f>IF(N$3&gt;Inputs!$C$52,"",BESS_Size_kW*N$63)</f>
        <v>1950</v>
      </c>
      <c r="O64" s="225">
        <f>IF(O$3&gt;Inputs!$C$52,"",BESS_Size_kW*O$63)</f>
        <v>1900</v>
      </c>
      <c r="P64" s="225">
        <f>IF(P$3&gt;Inputs!$C$52,"",BESS_Size_kW*P$63)</f>
        <v>1850</v>
      </c>
      <c r="Q64" s="225">
        <f>IF(Q$3&gt;Inputs!$C$52,"",BESS_Size_kW*Q$63)</f>
        <v>1800</v>
      </c>
      <c r="R64" s="225" t="str">
        <f>IF(R$3&gt;Inputs!$C$52,"",BESS_Size_kW*R$63)</f>
        <v/>
      </c>
      <c r="S64" s="225" t="str">
        <f>IF(S$3&gt;Inputs!$C$52,"",BESS_Size_kW*S$63)</f>
        <v/>
      </c>
      <c r="T64" s="225" t="str">
        <f>IF(T$3&gt;Inputs!$C$52,"",BESS_Size_kW*T$63)</f>
        <v/>
      </c>
      <c r="U64" s="225" t="str">
        <f>IF(U$3&gt;Inputs!$C$52,"",BESS_Size_kW*U$63)</f>
        <v/>
      </c>
      <c r="V64" s="225" t="str">
        <f>IF(V$3&gt;Inputs!$C$52,"",BESS_Size_kW*V$63)</f>
        <v/>
      </c>
      <c r="W64" s="225" t="str">
        <f>IF(W$3&gt;Inputs!$C$52,"",BESS_Size_kW*W$63)</f>
        <v/>
      </c>
      <c r="X64" s="225" t="str">
        <f>IF(X$3&gt;Inputs!$C$52,"",BESS_Size_kW*X$63)</f>
        <v/>
      </c>
      <c r="Y64" s="225" t="str">
        <f>IF(Y$3&gt;Inputs!$C$52,"",BESS_Size_kW*Y$63)</f>
        <v/>
      </c>
      <c r="Z64" s="225" t="str">
        <f>IF(Z$3&gt;Inputs!$C$52,"",BESS_Size_kW*Z$63)</f>
        <v/>
      </c>
      <c r="AA64" s="225" t="str">
        <f>IF(AA$3&gt;Inputs!$C$52,"",BESS_Size_kW*AA$63)</f>
        <v/>
      </c>
    </row>
    <row r="65" spans="2:27" s="225" customFormat="1" x14ac:dyDescent="0.25">
      <c r="B65" s="225" t="s">
        <v>119</v>
      </c>
      <c r="C65" s="225">
        <f>IF(C$3&gt;Inputs!$C$52,"",MROUND(C$64/(System_Size*C$56),0.05))</f>
        <v>0.55000000000000004</v>
      </c>
      <c r="D65" s="225">
        <f>IF(D$3&gt;Inputs!$C$52,"",MROUND(D$64/(System_Size*D$56),0.05))</f>
        <v>0.55000000000000004</v>
      </c>
      <c r="E65" s="225">
        <f>IF(E$3&gt;Inputs!$C$52,"",MROUND(E$64/(System_Size*E$56),0.05))</f>
        <v>0.55000000000000004</v>
      </c>
      <c r="F65" s="225">
        <f>IF(F$3&gt;Inputs!$C$52,"",MROUND(F$64/(System_Size*F$56),0.05))</f>
        <v>0.55000000000000004</v>
      </c>
      <c r="G65" s="225">
        <f>IF(G$3&gt;Inputs!$C$52,"",MROUND(G$64/(System_Size*G$56),0.05))</f>
        <v>0.5</v>
      </c>
      <c r="H65" s="225">
        <f>IF(H$3&gt;Inputs!$C$52,"",MROUND(H$64/(System_Size*H$56),0.05))</f>
        <v>0.5</v>
      </c>
      <c r="I65" s="225">
        <f>IF(I$3&gt;Inputs!$C$52,"",MROUND(I$64/(System_Size*I$56),0.05))</f>
        <v>0.5</v>
      </c>
      <c r="J65" s="225">
        <f>IF(J$3&gt;Inputs!$C$52,"",MROUND(J$64/(System_Size*J$56),0.05))</f>
        <v>0.5</v>
      </c>
      <c r="K65" s="225">
        <f>IF(K$3&gt;Inputs!$C$52,"",MROUND(K$64/(System_Size*K$56),0.05))</f>
        <v>0.5</v>
      </c>
      <c r="L65" s="225">
        <f>IF(L$3&gt;Inputs!$C$52,"",MROUND(L$64/(System_Size*L$56),0.05))</f>
        <v>0.5</v>
      </c>
      <c r="M65" s="225">
        <f>IF(M$3&gt;Inputs!$C$52,"",MROUND(M$64/(System_Size*M$56),0.05))</f>
        <v>0.45</v>
      </c>
      <c r="N65" s="225">
        <f>IF(N$3&gt;Inputs!$C$52,"",MROUND(N$64/(System_Size*N$56),0.05))</f>
        <v>0.45</v>
      </c>
      <c r="O65" s="225">
        <f>IF(O$3&gt;Inputs!$C$52,"",MROUND(O$64/(System_Size*O$56),0.05))</f>
        <v>0.45</v>
      </c>
      <c r="P65" s="225">
        <f>IF(P$3&gt;Inputs!$C$52,"",MROUND(P$64/(System_Size*P$56),0.05))</f>
        <v>0.45</v>
      </c>
      <c r="Q65" s="225">
        <f>IF(Q$3&gt;Inputs!$C$52,"",MROUND(Q$64/(System_Size*Q$56),0.05))</f>
        <v>0.45</v>
      </c>
      <c r="R65" s="225" t="str">
        <f>IF(R$3&gt;Inputs!$C$52,"",MROUND(R$64/(System_Size*R$56),0.05))</f>
        <v/>
      </c>
      <c r="S65" s="225" t="str">
        <f>IF(S$3&gt;Inputs!$C$52,"",MROUND(S$64/(System_Size*S$56),0.05))</f>
        <v/>
      </c>
      <c r="T65" s="225" t="str">
        <f>IF(T$3&gt;Inputs!$C$52,"",MROUND(T$64/(System_Size*T$56),0.05))</f>
        <v/>
      </c>
      <c r="U65" s="225" t="str">
        <f>IF(U$3&gt;Inputs!$C$52,"",MROUND(U$64/(System_Size*U$56),0.05))</f>
        <v/>
      </c>
      <c r="V65" s="225" t="str">
        <f>IF(V$3&gt;Inputs!$C$52,"",MROUND(V$64/(System_Size*V$56),0.05))</f>
        <v/>
      </c>
      <c r="W65" s="225" t="str">
        <f>IF(W$3&gt;Inputs!$C$52,"",MROUND(W$64/(System_Size*W$56),0.05))</f>
        <v/>
      </c>
      <c r="X65" s="225" t="str">
        <f>IF(X$3&gt;Inputs!$C$52,"",MROUND(X$64/(System_Size*X$56),0.05))</f>
        <v/>
      </c>
      <c r="Y65" s="225" t="str">
        <f>IF(Y$3&gt;Inputs!$C$52,"",MROUND(Y$64/(System_Size*Y$56),0.05))</f>
        <v/>
      </c>
      <c r="Z65" s="225" t="str">
        <f>IF(Z$3&gt;Inputs!$C$52,"",MROUND(Z$64/(System_Size*Z$56),0.05))</f>
        <v/>
      </c>
      <c r="AA65" s="225" t="str">
        <f>IF(AA$3&gt;Inputs!$C$52,"",MROUND(AA$64/(System_Size*AA$56),0.05))</f>
        <v/>
      </c>
    </row>
    <row r="66" spans="2:27" s="225" customFormat="1" x14ac:dyDescent="0.25">
      <c r="B66" s="225" t="s">
        <v>120</v>
      </c>
      <c r="C66" s="225" cm="1">
        <f t="array" ref="C66">IF(Plant_Type&lt;&gt;"Hybrid Solar Plus Storage",1,
MAX(IF(C$3&gt;Inputs!$C$52,1,
IF(C$65&lt;MIN(ModelFactors!$AI$3:$CK$3),1,(INDEX(ModelFactors!$AI$4:$CK$31,MATCH(Model!C$2,ModelFactors!$AH$4:$AH$31,0),MATCH(1,(ModelFactors!$AI$1:$CK$1=Revenue_Model)*(ModelFactors!$AI$2:$CK$2=$B66)*(ModelFactors!$AI$3:$CK$3=Model!C$65),0))))), 1))</f>
        <v>1</v>
      </c>
      <c r="D66" s="225" cm="1">
        <f t="array" ref="D66">IF(Plant_Type&lt;&gt;"Hybrid Solar Plus Storage",1,
MAX(IF(D$3&gt;Inputs!$C$52,1,
IF(D$65&lt;MIN(ModelFactors!$AI$3:$CK$3),1+(_xlfn.RRI(COUNTA($C66:C66),$C66,C66)),(INDEX(ModelFactors!$AI$4:$CK$31,MATCH(Model!D$2,ModelFactors!$AH$4:$AH$31,0),MATCH(1,(ModelFactors!$AI$1:$CK$1=Revenue_Model)*(ModelFactors!$AI$2:$CK$2=$B66)*(ModelFactors!$AI$3:$CK$3=Model!D$65),0))))), 1))</f>
        <v>1</v>
      </c>
      <c r="E66" s="225" cm="1">
        <f t="array" ref="E66">IF(Plant_Type&lt;&gt;"Hybrid Solar Plus Storage",1,
MAX(IF(E$3&gt;Inputs!$C$52,1,
IF(E$65&lt;MIN(ModelFactors!$AI$3:$CK$3),1+(_xlfn.RRI(COUNTA($C66:D66),$C66,D66)),(INDEX(ModelFactors!$AI$4:$CK$31,MATCH(Model!E$2,ModelFactors!$AH$4:$AH$31,0),MATCH(1,(ModelFactors!$AI$1:$CK$1=Revenue_Model)*(ModelFactors!$AI$2:$CK$2=$B66)*(ModelFactors!$AI$3:$CK$3=Model!E$65),0))))), 1))</f>
        <v>1</v>
      </c>
      <c r="F66" s="225" cm="1">
        <f t="array" ref="F66">IF(Plant_Type&lt;&gt;"Hybrid Solar Plus Storage",1,
MAX(IF(F$3&gt;Inputs!$C$52,1,
IF(F$65&lt;MIN(ModelFactors!$AI$3:$CK$3),1+(_xlfn.RRI(COUNTA($C66:E66),$C66,E66)),(INDEX(ModelFactors!$AI$4:$CK$31,MATCH(Model!F$2,ModelFactors!$AH$4:$AH$31,0),MATCH(1,(ModelFactors!$AI$1:$CK$1=Revenue_Model)*(ModelFactors!$AI$2:$CK$2=$B66)*(ModelFactors!$AI$3:$CK$3=Model!F$65),0))))), 1))</f>
        <v>1</v>
      </c>
      <c r="G66" s="225" cm="1">
        <f t="array" ref="G66">IF(Plant_Type&lt;&gt;"Hybrid Solar Plus Storage",1,
MAX(IF(G$3&gt;Inputs!$C$52,1,
IF(G$65&lt;MIN(ModelFactors!$AI$3:$CK$3),1+(_xlfn.RRI(COUNTA($C66:F66),$C66,F66)),(INDEX(ModelFactors!$AI$4:$CK$31,MATCH(Model!G$2,ModelFactors!$AH$4:$AH$31,0),MATCH(1,(ModelFactors!$AI$1:$CK$1=Revenue_Model)*(ModelFactors!$AI$2:$CK$2=$B66)*(ModelFactors!$AI$3:$CK$3=Model!G$65),0))))), 1))</f>
        <v>1</v>
      </c>
      <c r="H66" s="225" cm="1">
        <f t="array" ref="H66">IF(Plant_Type&lt;&gt;"Hybrid Solar Plus Storage",1,
MAX(IF(H$3&gt;Inputs!$C$52,1,
IF(H$65&lt;MIN(ModelFactors!$AI$3:$CK$3),1+(_xlfn.RRI(COUNTA($C66:G66),$C66,G66)),(INDEX(ModelFactors!$AI$4:$CK$31,MATCH(Model!H$2,ModelFactors!$AH$4:$AH$31,0),MATCH(1,(ModelFactors!$AI$1:$CK$1=Revenue_Model)*(ModelFactors!$AI$2:$CK$2=$B66)*(ModelFactors!$AI$3:$CK$3=Model!H$65),0))))), 1))</f>
        <v>1</v>
      </c>
      <c r="I66" s="225" cm="1">
        <f t="array" ref="I66">IF(Plant_Type&lt;&gt;"Hybrid Solar Plus Storage",1,
MAX(IF(I$3&gt;Inputs!$C$52,1,
IF(I$65&lt;MIN(ModelFactors!$AI$3:$CK$3),1+(_xlfn.RRI(5,C66,H66)),(INDEX(ModelFactors!$AI$4:$CK$31,MATCH(Model!I$2,ModelFactors!$AH$4:$AH$31,0),MATCH(1,(ModelFactors!$AI$1:$CK$1=Revenue_Model)*(ModelFactors!$AI$2:$CK$2=$B66)*(ModelFactors!$AI$3:$CK$3=Model!I$65),0))))), 1))</f>
        <v>1</v>
      </c>
      <c r="J66" s="225" cm="1">
        <f t="array" ref="J66">IF(Plant_Type&lt;&gt;"Hybrid Solar Plus Storage",1,
MAX(IF(J$3&gt;Inputs!$C$52,1,
IF(J$65&lt;MIN(ModelFactors!$AI$3:$CK$3),1+(_xlfn.RRI(5,D66,I66)),(INDEX(ModelFactors!$AI$4:$CK$31,MATCH(Model!J$2,ModelFactors!$AH$4:$AH$31,0),MATCH(1,(ModelFactors!$AI$1:$CK$1=Revenue_Model)*(ModelFactors!$AI$2:$CK$2=$B66)*(ModelFactors!$AI$3:$CK$3=Model!J$65),0))))), 1))</f>
        <v>1</v>
      </c>
      <c r="K66" s="225" cm="1">
        <f t="array" ref="K66">IF(Plant_Type&lt;&gt;"Hybrid Solar Plus Storage",1,
MAX(IF(K$3&gt;Inputs!$C$52,1,
IF(K$65&lt;MIN(ModelFactors!$AI$3:$CK$3),1+(_xlfn.RRI(5,E66,J66)),(INDEX(ModelFactors!$AI$4:$CK$31,MATCH(Model!K$2,ModelFactors!$AH$4:$AH$31,0),MATCH(1,(ModelFactors!$AI$1:$CK$1=Revenue_Model)*(ModelFactors!$AI$2:$CK$2=$B66)*(ModelFactors!$AI$3:$CK$3=Model!K$65),0))))), 1))</f>
        <v>1</v>
      </c>
      <c r="L66" s="225" cm="1">
        <f t="array" ref="L66">IF(Plant_Type&lt;&gt;"Hybrid Solar Plus Storage",1,
MAX(IF(L$3&gt;Inputs!$C$52,1,
IF(L$65&lt;MIN(ModelFactors!$AI$3:$CK$3),1+(_xlfn.RRI(5,F66,K66)),(INDEX(ModelFactors!$AI$4:$CK$31,MATCH(Model!L$2,ModelFactors!$AH$4:$AH$31,0),MATCH(1,(ModelFactors!$AI$1:$CK$1=Revenue_Model)*(ModelFactors!$AI$2:$CK$2=$B66)*(ModelFactors!$AI$3:$CK$3=Model!L$65),0))))), 1))</f>
        <v>1</v>
      </c>
      <c r="M66" s="225" cm="1">
        <f t="array" ref="M66">IF(Plant_Type&lt;&gt;"Hybrid Solar Plus Storage",1,
MAX(IF(M$3&gt;Inputs!$C$52,1,
IF(M$65&lt;MIN(ModelFactors!$AI$3:$CK$3),1+(_xlfn.RRI(5,G66,L66)),(INDEX(ModelFactors!$AI$4:$CK$31,MATCH(Model!M$2,ModelFactors!$AH$4:$AH$31,0),MATCH(1,(ModelFactors!$AI$1:$CK$1=Revenue_Model)*(ModelFactors!$AI$2:$CK$2=$B66)*(ModelFactors!$AI$3:$CK$3=Model!M$65),0))))), 1))</f>
        <v>1</v>
      </c>
      <c r="N66" s="225" cm="1">
        <f t="array" ref="N66">IF(Plant_Type&lt;&gt;"Hybrid Solar Plus Storage",1,
MAX(IF(N$3&gt;Inputs!$C$52,1,
IF(N$65&lt;MIN(ModelFactors!$AI$3:$CK$3),1+(_xlfn.RRI(5,H66,M66)),(INDEX(ModelFactors!$AI$4:$CK$31,MATCH(Model!N$2,ModelFactors!$AH$4:$AH$31,0),MATCH(1,(ModelFactors!$AI$1:$CK$1=Revenue_Model)*(ModelFactors!$AI$2:$CK$2=$B66)*(ModelFactors!$AI$3:$CK$3=Model!N$65),0))))), 1))</f>
        <v>1</v>
      </c>
      <c r="O66" s="225" cm="1">
        <f t="array" ref="O66">IF(Plant_Type&lt;&gt;"Hybrid Solar Plus Storage",1,
MAX(IF(O$3&gt;Inputs!$C$52,1,
IF(O$65&lt;MIN(ModelFactors!$AI$3:$CK$3),1+(_xlfn.RRI(5,I66,N66)),(INDEX(ModelFactors!$AI$4:$CK$31,MATCH(Model!O$2,ModelFactors!$AH$4:$AH$31,0),MATCH(1,(ModelFactors!$AI$1:$CK$1=Revenue_Model)*(ModelFactors!$AI$2:$CK$2=$B66)*(ModelFactors!$AI$3:$CK$3=Model!O$65),0))))), 1))</f>
        <v>1</v>
      </c>
      <c r="P66" s="225" cm="1">
        <f t="array" ref="P66">IF(Plant_Type&lt;&gt;"Hybrid Solar Plus Storage",1,
MAX(IF(P$3&gt;Inputs!$C$52,1,
IF(P$65&lt;MIN(ModelFactors!$AI$3:$CK$3),1+(_xlfn.RRI(5,J66,O66)),(INDEX(ModelFactors!$AI$4:$CK$31,MATCH(Model!P$2,ModelFactors!$AH$4:$AH$31,0),MATCH(1,(ModelFactors!$AI$1:$CK$1=Revenue_Model)*(ModelFactors!$AI$2:$CK$2=$B66)*(ModelFactors!$AI$3:$CK$3=Model!P$65),0))))), 1))</f>
        <v>1</v>
      </c>
      <c r="Q66" s="225" cm="1">
        <f t="array" ref="Q66">IF(Plant_Type&lt;&gt;"Hybrid Solar Plus Storage",1,
MAX(IF(Q$3&gt;Inputs!$C$52,1,
IF(Q$65&lt;MIN(ModelFactors!$AI$3:$CK$3),1+(_xlfn.RRI(5,K66,P66)),(INDEX(ModelFactors!$AI$4:$CK$31,MATCH(Model!Q$2,ModelFactors!$AH$4:$AH$31,0),MATCH(1,(ModelFactors!$AI$1:$CK$1=Revenue_Model)*(ModelFactors!$AI$2:$CK$2=$B66)*(ModelFactors!$AI$3:$CK$3=Model!Q$65),0))))), 1))</f>
        <v>1</v>
      </c>
      <c r="R66" s="225" cm="1">
        <f t="array" ref="R66">IF(Plant_Type&lt;&gt;"Hybrid Solar Plus Storage",1,
MAX(IF(R$3&gt;Inputs!$C$52,1,
IF(R$65&lt;MIN(ModelFactors!$AI$3:$CK$3),1+(_xlfn.RRI(5,L66,Q66)),(INDEX(ModelFactors!$AI$4:$CK$31,MATCH(Model!R$2,ModelFactors!$AH$4:$AH$31,0),MATCH(1,(ModelFactors!$AI$1:$CK$1=Revenue_Model)*(ModelFactors!$AI$2:$CK$2=$B66)*(ModelFactors!$AI$3:$CK$3=Model!R$65),0))))), 1))</f>
        <v>1</v>
      </c>
      <c r="S66" s="225" cm="1">
        <f t="array" ref="S66">IF(Plant_Type&lt;&gt;"Hybrid Solar Plus Storage",1,
MAX(IF(S$3&gt;Inputs!$C$52,1,
IF(S$65&lt;MIN(ModelFactors!$AI$3:$CK$3),1+(_xlfn.RRI(5,M66,R66)),(INDEX(ModelFactors!$AI$4:$CK$31,MATCH(Model!S$2,ModelFactors!$AH$4:$AH$31,0),MATCH(1,(ModelFactors!$AI$1:$CK$1=Revenue_Model)*(ModelFactors!$AI$2:$CK$2=$B66)*(ModelFactors!$AI$3:$CK$3=Model!S$65),0))))), 1))</f>
        <v>1</v>
      </c>
      <c r="T66" s="225" cm="1">
        <f t="array" ref="T66">IF(Plant_Type&lt;&gt;"Hybrid Solar Plus Storage",1,
MAX(IF(T$3&gt;Inputs!$C$52,1,
IF(T$65&lt;MIN(ModelFactors!$AI$3:$CK$3),1+(_xlfn.RRI(5,N66,S66)),(INDEX(ModelFactors!$AI$4:$CK$31,MATCH(Model!T$2,ModelFactors!$AH$4:$AH$31,0),MATCH(1,(ModelFactors!$AI$1:$CK$1=Revenue_Model)*(ModelFactors!$AI$2:$CK$2=$B66)*(ModelFactors!$AI$3:$CK$3=Model!T$65),0))))), 1))</f>
        <v>1</v>
      </c>
      <c r="U66" s="225" cm="1">
        <f t="array" ref="U66">IF(Plant_Type&lt;&gt;"Hybrid Solar Plus Storage",1,
MAX(IF(U$3&gt;Inputs!$C$52,1,
IF(U$65&lt;MIN(ModelFactors!$AI$3:$CK$3),1+(_xlfn.RRI(5,O66,T66)),(INDEX(ModelFactors!$AI$4:$CK$31,MATCH(Model!U$2,ModelFactors!$AH$4:$AH$31,0),MATCH(1,(ModelFactors!$AI$1:$CK$1=Revenue_Model)*(ModelFactors!$AI$2:$CK$2=$B66)*(ModelFactors!$AI$3:$CK$3=Model!U$65),0))))), 1))</f>
        <v>1</v>
      </c>
      <c r="V66" s="225" cm="1">
        <f t="array" ref="V66">IF(Plant_Type&lt;&gt;"Hybrid Solar Plus Storage",1,
MAX(IF(V$3&gt;Inputs!$C$52,1,
IF(V$65&lt;MIN(ModelFactors!$AI$3:$CK$3),1+(_xlfn.RRI(5,P66,U66)),(INDEX(ModelFactors!$AI$4:$CK$31,MATCH(Model!V$2,ModelFactors!$AH$4:$AH$31,0),MATCH(1,(ModelFactors!$AI$1:$CK$1=Revenue_Model)*(ModelFactors!$AI$2:$CK$2=$B66)*(ModelFactors!$AI$3:$CK$3=Model!V$65),0))))), 1))</f>
        <v>1</v>
      </c>
      <c r="W66" s="225" cm="1">
        <f t="array" ref="W66">IF(Plant_Type&lt;&gt;"Hybrid Solar Plus Storage",1,
MAX(IF(W$3&gt;Inputs!$C$52,1,
IF(W$65&lt;MIN(ModelFactors!$AI$3:$CK$3),1+(_xlfn.RRI(5,Q66,V66)),(INDEX(ModelFactors!$AI$4:$CK$31,MATCH(Model!W$2,ModelFactors!$AH$4:$AH$31,0),MATCH(1,(ModelFactors!$AI$1:$CK$1=Revenue_Model)*(ModelFactors!$AI$2:$CK$2=$B66)*(ModelFactors!$AI$3:$CK$3=Model!W$65),0))))), 1))</f>
        <v>1</v>
      </c>
      <c r="X66" s="225" cm="1">
        <f t="array" ref="X66">IF(Plant_Type&lt;&gt;"Hybrid Solar Plus Storage",1,
MAX(IF(X$3&gt;Inputs!$C$52,1,
IF(X$65&lt;MIN(ModelFactors!$AI$3:$CK$3),1+(_xlfn.RRI(5,R66,W66)),(INDEX(ModelFactors!$AI$4:$CK$31,MATCH(Model!X$2,ModelFactors!$AH$4:$AH$31,0),MATCH(1,(ModelFactors!$AI$1:$CK$1=Revenue_Model)*(ModelFactors!$AI$2:$CK$2=$B66)*(ModelFactors!$AI$3:$CK$3=Model!X$65),0))))), 1))</f>
        <v>1</v>
      </c>
      <c r="Y66" s="225" cm="1">
        <f t="array" ref="Y66">IF(Plant_Type&lt;&gt;"Hybrid Solar Plus Storage",1,
MAX(IF(Y$3&gt;Inputs!$C$52,1,
IF(Y$65&lt;MIN(ModelFactors!$AI$3:$CK$3),1+(_xlfn.RRI(5,S66,X66)),(INDEX(ModelFactors!$AI$4:$CK$31,MATCH(Model!Y$2,ModelFactors!$AH$4:$AH$31,0),MATCH(1,(ModelFactors!$AI$1:$CK$1=Revenue_Model)*(ModelFactors!$AI$2:$CK$2=$B66)*(ModelFactors!$AI$3:$CK$3=Model!Y$65),0))))), 1))</f>
        <v>1</v>
      </c>
      <c r="Z66" s="225" cm="1">
        <f t="array" ref="Z66">IF(Plant_Type&lt;&gt;"Hybrid Solar Plus Storage",1,
MAX(IF(Z$3&gt;Inputs!$C$52,1,
IF(Z$65&lt;MIN(ModelFactors!$AI$3:$CK$3),1+(_xlfn.RRI(5,T66,Y66)),(INDEX(ModelFactors!$AI$4:$CK$31,MATCH(Model!Z$2,ModelFactors!$AH$4:$AH$31,0),MATCH(1,(ModelFactors!$AI$1:$CK$1=Revenue_Model)*(ModelFactors!$AI$2:$CK$2=$B66)*(ModelFactors!$AI$3:$CK$3=Model!Z$65),0))))), 1))</f>
        <v>1</v>
      </c>
      <c r="AA66" s="225" cm="1">
        <f t="array" ref="AA66">IF(Plant_Type&lt;&gt;"Hybrid Solar Plus Storage",1,
MAX(IF(AA$3&gt;Inputs!$C$52,1,
IF(AA$65&lt;MIN(ModelFactors!$AI$3:$CK$3),1+(_xlfn.RRI(5,U66,Z66)),(INDEX(ModelFactors!$AI$4:$CK$31,MATCH(Model!AA$2,ModelFactors!$AH$4:$AH$31,0),MATCH(1,(ModelFactors!$AI$1:$CK$1=Revenue_Model)*(ModelFactors!$AI$2:$CK$2=$B66)*(ModelFactors!$AI$3:$CK$3=Model!AA$65),0))))), 1))</f>
        <v>1</v>
      </c>
    </row>
    <row r="67" spans="2:27" s="225" customFormat="1" x14ac:dyDescent="0.25">
      <c r="B67" s="225" t="s">
        <v>121</v>
      </c>
      <c r="C67" s="225" cm="1">
        <f t="array" ref="C67">IF(Plant_Type&lt;&gt;"Hybrid Solar Plus Storage",1,
MAX(IF(C$3&gt;Inputs!$C$52,1,
IF(C$65&lt;MIN(ModelFactors!$AI$3:$CK$3),1,(INDEX(ModelFactors!$AI$4:$CK$31,MATCH(Model!C$2,ModelFactors!$AH$4:$AH$31,0),MATCH(1,(ModelFactors!$AI$1:$CK$1=Revenue_Model)*(ModelFactors!$AI$2:$CK$2=$B67)*(ModelFactors!$AI$3:$CK$3=Model!C$65),0))))), 1))</f>
        <v>1</v>
      </c>
      <c r="D67" s="225" cm="1">
        <f t="array" ref="D67">IF(Plant_Type&lt;&gt;"Hybrid Solar Plus Storage",1,
MAX(IF(D$3&gt;Inputs!$C$52,1,
IF(D$65&lt;MIN(ModelFactors!$AI$3:$CK$3),1+(_xlfn.RRI(COUNTA($C67:C67),$C67,C67)),(INDEX(ModelFactors!$AI$4:$CK$31,MATCH(Model!D$2,ModelFactors!$AH$4:$AH$31,0),MATCH(1,(ModelFactors!$AI$1:$CK$1=Revenue_Model)*(ModelFactors!$AI$2:$CK$2=$B67)*(ModelFactors!$AI$3:$CK$3=Model!D$65),0))))), 1))</f>
        <v>1</v>
      </c>
      <c r="E67" s="225" cm="1">
        <f t="array" ref="E67">IF(Plant_Type&lt;&gt;"Hybrid Solar Plus Storage",1,
MAX(IF(E$3&gt;Inputs!$C$52,1,
IF(E$65&lt;MIN(ModelFactors!$AI$3:$CK$3),1+(_xlfn.RRI(COUNTA($C67:D67),$C67,D67)),(INDEX(ModelFactors!$AI$4:$CK$31,MATCH(Model!E$2,ModelFactors!$AH$4:$AH$31,0),MATCH(1,(ModelFactors!$AI$1:$CK$1=Revenue_Model)*(ModelFactors!$AI$2:$CK$2=$B67)*(ModelFactors!$AI$3:$CK$3=Model!E$65),0))))), 1))</f>
        <v>1</v>
      </c>
      <c r="F67" s="225" cm="1">
        <f t="array" ref="F67">IF(Plant_Type&lt;&gt;"Hybrid Solar Plus Storage",1,
MAX(IF(F$3&gt;Inputs!$C$52,1,
IF(F$65&lt;MIN(ModelFactors!$AI$3:$CK$3),1+(_xlfn.RRI(COUNTA($C67:E67),$C67,E67)),(INDEX(ModelFactors!$AI$4:$CK$31,MATCH(Model!F$2,ModelFactors!$AH$4:$AH$31,0),MATCH(1,(ModelFactors!$AI$1:$CK$1=Revenue_Model)*(ModelFactors!$AI$2:$CK$2=$B67)*(ModelFactors!$AI$3:$CK$3=Model!F$65),0))))), 1))</f>
        <v>1</v>
      </c>
      <c r="G67" s="225" cm="1">
        <f t="array" ref="G67">IF(Plant_Type&lt;&gt;"Hybrid Solar Plus Storage",1,
MAX(IF(G$3&gt;Inputs!$C$52,1,
IF(G$65&lt;MIN(ModelFactors!$AI$3:$CK$3),1+(_xlfn.RRI(COUNTA($C67:F67),$C67,F67)),(INDEX(ModelFactors!$AI$4:$CK$31,MATCH(Model!G$2,ModelFactors!$AH$4:$AH$31,0),MATCH(1,(ModelFactors!$AI$1:$CK$1=Revenue_Model)*(ModelFactors!$AI$2:$CK$2=$B67)*(ModelFactors!$AI$3:$CK$3=Model!G$65),0))))), 1))</f>
        <v>1</v>
      </c>
      <c r="H67" s="225" cm="1">
        <f t="array" ref="H67">IF(Plant_Type&lt;&gt;"Hybrid Solar Plus Storage",1,
MAX(IF(H$3&gt;Inputs!$C$52,1,
IF(H$65&lt;MIN(ModelFactors!$AI$3:$CK$3),1+(_xlfn.RRI(COUNTA($C67:G67),$C67,G67)),(INDEX(ModelFactors!$AI$4:$CK$31,MATCH(Model!H$2,ModelFactors!$AH$4:$AH$31,0),MATCH(1,(ModelFactors!$AI$1:$CK$1=Revenue_Model)*(ModelFactors!$AI$2:$CK$2=$B67)*(ModelFactors!$AI$3:$CK$3=Model!H$65),0))))), 1))</f>
        <v>1</v>
      </c>
      <c r="I67" s="225" cm="1">
        <f t="array" ref="I67">IF(Plant_Type&lt;&gt;"Hybrid Solar Plus Storage",1,
MAX(IF(I$3&gt;Inputs!$C$52,1,
IF(I$65&lt;MIN(ModelFactors!$AI$3:$CK$3),1+(_xlfn.RRI(5,C67,H67)),(INDEX(ModelFactors!$AI$4:$CK$31,MATCH(Model!I$2,ModelFactors!$AH$4:$AH$31,0),MATCH(1,(ModelFactors!$AI$1:$CK$1=Revenue_Model)*(ModelFactors!$AI$2:$CK$2=$B67)*(ModelFactors!$AI$3:$CK$3=Model!I$65),0))))), 1))</f>
        <v>1</v>
      </c>
      <c r="J67" s="225" cm="1">
        <f t="array" ref="J67">IF(Plant_Type&lt;&gt;"Hybrid Solar Plus Storage",1,
MAX(IF(J$3&gt;Inputs!$C$52,1,
IF(J$65&lt;MIN(ModelFactors!$AI$3:$CK$3),1+(_xlfn.RRI(5,D67,I67)),(INDEX(ModelFactors!$AI$4:$CK$31,MATCH(Model!J$2,ModelFactors!$AH$4:$AH$31,0),MATCH(1,(ModelFactors!$AI$1:$CK$1=Revenue_Model)*(ModelFactors!$AI$2:$CK$2=$B67)*(ModelFactors!$AI$3:$CK$3=Model!J$65),0))))), 1))</f>
        <v>1</v>
      </c>
      <c r="K67" s="225" cm="1">
        <f t="array" ref="K67">IF(Plant_Type&lt;&gt;"Hybrid Solar Plus Storage",1,
MAX(IF(K$3&gt;Inputs!$C$52,1,
IF(K$65&lt;MIN(ModelFactors!$AI$3:$CK$3),1+(_xlfn.RRI(5,E67,J67)),(INDEX(ModelFactors!$AI$4:$CK$31,MATCH(Model!K$2,ModelFactors!$AH$4:$AH$31,0),MATCH(1,(ModelFactors!$AI$1:$CK$1=Revenue_Model)*(ModelFactors!$AI$2:$CK$2=$B67)*(ModelFactors!$AI$3:$CK$3=Model!K$65),0))))), 1))</f>
        <v>1</v>
      </c>
      <c r="L67" s="225" cm="1">
        <f t="array" ref="L67">IF(Plant_Type&lt;&gt;"Hybrid Solar Plus Storage",1,
MAX(IF(L$3&gt;Inputs!$C$52,1,
IF(L$65&lt;MIN(ModelFactors!$AI$3:$CK$3),1+(_xlfn.RRI(5,F67,K67)),(INDEX(ModelFactors!$AI$4:$CK$31,MATCH(Model!L$2,ModelFactors!$AH$4:$AH$31,0),MATCH(1,(ModelFactors!$AI$1:$CK$1=Revenue_Model)*(ModelFactors!$AI$2:$CK$2=$B67)*(ModelFactors!$AI$3:$CK$3=Model!L$65),0))))), 1))</f>
        <v>1</v>
      </c>
      <c r="M67" s="225" cm="1">
        <f t="array" ref="M67">IF(Plant_Type&lt;&gt;"Hybrid Solar Plus Storage",1,
MAX(IF(M$3&gt;Inputs!$C$52,1,
IF(M$65&lt;MIN(ModelFactors!$AI$3:$CK$3),1+(_xlfn.RRI(5,G67,L67)),(INDEX(ModelFactors!$AI$4:$CK$31,MATCH(Model!M$2,ModelFactors!$AH$4:$AH$31,0),MATCH(1,(ModelFactors!$AI$1:$CK$1=Revenue_Model)*(ModelFactors!$AI$2:$CK$2=$B67)*(ModelFactors!$AI$3:$CK$3=Model!M$65),0))))), 1))</f>
        <v>1</v>
      </c>
      <c r="N67" s="225" cm="1">
        <f t="array" ref="N67">IF(Plant_Type&lt;&gt;"Hybrid Solar Plus Storage",1,
MAX(IF(N$3&gt;Inputs!$C$52,1,
IF(N$65&lt;MIN(ModelFactors!$AI$3:$CK$3),1+(_xlfn.RRI(5,H67,M67)),(INDEX(ModelFactors!$AI$4:$CK$31,MATCH(Model!N$2,ModelFactors!$AH$4:$AH$31,0),MATCH(1,(ModelFactors!$AI$1:$CK$1=Revenue_Model)*(ModelFactors!$AI$2:$CK$2=$B67)*(ModelFactors!$AI$3:$CK$3=Model!N$65),0))))), 1))</f>
        <v>1</v>
      </c>
      <c r="O67" s="225" cm="1">
        <f t="array" ref="O67">IF(Plant_Type&lt;&gt;"Hybrid Solar Plus Storage",1,
MAX(IF(O$3&gt;Inputs!$C$52,1,
IF(O$65&lt;MIN(ModelFactors!$AI$3:$CK$3),1+(_xlfn.RRI(5,I67,N67)),(INDEX(ModelFactors!$AI$4:$CK$31,MATCH(Model!O$2,ModelFactors!$AH$4:$AH$31,0),MATCH(1,(ModelFactors!$AI$1:$CK$1=Revenue_Model)*(ModelFactors!$AI$2:$CK$2=$B67)*(ModelFactors!$AI$3:$CK$3=Model!O$65),0))))), 1))</f>
        <v>1</v>
      </c>
      <c r="P67" s="225" cm="1">
        <f t="array" ref="P67">IF(Plant_Type&lt;&gt;"Hybrid Solar Plus Storage",1,
MAX(IF(P$3&gt;Inputs!$C$52,1,
IF(P$65&lt;MIN(ModelFactors!$AI$3:$CK$3),1+(_xlfn.RRI(5,J67,O67)),(INDEX(ModelFactors!$AI$4:$CK$31,MATCH(Model!P$2,ModelFactors!$AH$4:$AH$31,0),MATCH(1,(ModelFactors!$AI$1:$CK$1=Revenue_Model)*(ModelFactors!$AI$2:$CK$2=$B67)*(ModelFactors!$AI$3:$CK$3=Model!P$65),0))))), 1))</f>
        <v>1</v>
      </c>
      <c r="Q67" s="225" cm="1">
        <f t="array" ref="Q67">IF(Plant_Type&lt;&gt;"Hybrid Solar Plus Storage",1,
MAX(IF(Q$3&gt;Inputs!$C$52,1,
IF(Q$65&lt;MIN(ModelFactors!$AI$3:$CK$3),1+(_xlfn.RRI(5,K67,P67)),(INDEX(ModelFactors!$AI$4:$CK$31,MATCH(Model!Q$2,ModelFactors!$AH$4:$AH$31,0),MATCH(1,(ModelFactors!$AI$1:$CK$1=Revenue_Model)*(ModelFactors!$AI$2:$CK$2=$B67)*(ModelFactors!$AI$3:$CK$3=Model!Q$65),0))))), 1))</f>
        <v>1</v>
      </c>
      <c r="R67" s="225" cm="1">
        <f t="array" ref="R67">IF(Plant_Type&lt;&gt;"Hybrid Solar Plus Storage",1,
MAX(IF(R$3&gt;Inputs!$C$52,1,
IF(R$65&lt;MIN(ModelFactors!$AI$3:$CK$3),1+(_xlfn.RRI(5,L67,Q67)),(INDEX(ModelFactors!$AI$4:$CK$31,MATCH(Model!R$2,ModelFactors!$AH$4:$AH$31,0),MATCH(1,(ModelFactors!$AI$1:$CK$1=Revenue_Model)*(ModelFactors!$AI$2:$CK$2=$B67)*(ModelFactors!$AI$3:$CK$3=Model!R$65),0))))), 1))</f>
        <v>1</v>
      </c>
      <c r="S67" s="225" cm="1">
        <f t="array" ref="S67">IF(Plant_Type&lt;&gt;"Hybrid Solar Plus Storage",1,
MAX(IF(S$3&gt;Inputs!$C$52,1,
IF(S$65&lt;MIN(ModelFactors!$AI$3:$CK$3),1+(_xlfn.RRI(5,M67,R67)),(INDEX(ModelFactors!$AI$4:$CK$31,MATCH(Model!S$2,ModelFactors!$AH$4:$AH$31,0),MATCH(1,(ModelFactors!$AI$1:$CK$1=Revenue_Model)*(ModelFactors!$AI$2:$CK$2=$B67)*(ModelFactors!$AI$3:$CK$3=Model!S$65),0))))), 1))</f>
        <v>1</v>
      </c>
      <c r="T67" s="225" cm="1">
        <f t="array" ref="T67">IF(Plant_Type&lt;&gt;"Hybrid Solar Plus Storage",1,
MAX(IF(T$3&gt;Inputs!$C$52,1,
IF(T$65&lt;MIN(ModelFactors!$AI$3:$CK$3),1+(_xlfn.RRI(5,N67,S67)),(INDEX(ModelFactors!$AI$4:$CK$31,MATCH(Model!T$2,ModelFactors!$AH$4:$AH$31,0),MATCH(1,(ModelFactors!$AI$1:$CK$1=Revenue_Model)*(ModelFactors!$AI$2:$CK$2=$B67)*(ModelFactors!$AI$3:$CK$3=Model!T$65),0))))), 1))</f>
        <v>1</v>
      </c>
      <c r="U67" s="225" cm="1">
        <f t="array" ref="U67">IF(Plant_Type&lt;&gt;"Hybrid Solar Plus Storage",1,
MAX(IF(U$3&gt;Inputs!$C$52,1,
IF(U$65&lt;MIN(ModelFactors!$AI$3:$CK$3),1+(_xlfn.RRI(5,O67,T67)),(INDEX(ModelFactors!$AI$4:$CK$31,MATCH(Model!U$2,ModelFactors!$AH$4:$AH$31,0),MATCH(1,(ModelFactors!$AI$1:$CK$1=Revenue_Model)*(ModelFactors!$AI$2:$CK$2=$B67)*(ModelFactors!$AI$3:$CK$3=Model!U$65),0))))), 1))</f>
        <v>1</v>
      </c>
      <c r="V67" s="225" cm="1">
        <f t="array" ref="V67">IF(Plant_Type&lt;&gt;"Hybrid Solar Plus Storage",1,
MAX(IF(V$3&gt;Inputs!$C$52,1,
IF(V$65&lt;MIN(ModelFactors!$AI$3:$CK$3),1+(_xlfn.RRI(5,P67,U67)),(INDEX(ModelFactors!$AI$4:$CK$31,MATCH(Model!V$2,ModelFactors!$AH$4:$AH$31,0),MATCH(1,(ModelFactors!$AI$1:$CK$1=Revenue_Model)*(ModelFactors!$AI$2:$CK$2=$B67)*(ModelFactors!$AI$3:$CK$3=Model!V$65),0))))), 1))</f>
        <v>1</v>
      </c>
      <c r="W67" s="225" cm="1">
        <f t="array" ref="W67">IF(Plant_Type&lt;&gt;"Hybrid Solar Plus Storage",1,
MAX(IF(W$3&gt;Inputs!$C$52,1,
IF(W$65&lt;MIN(ModelFactors!$AI$3:$CK$3),1+(_xlfn.RRI(5,Q67,V67)),(INDEX(ModelFactors!$AI$4:$CK$31,MATCH(Model!W$2,ModelFactors!$AH$4:$AH$31,0),MATCH(1,(ModelFactors!$AI$1:$CK$1=Revenue_Model)*(ModelFactors!$AI$2:$CK$2=$B67)*(ModelFactors!$AI$3:$CK$3=Model!W$65),0))))), 1))</f>
        <v>1</v>
      </c>
      <c r="X67" s="225" cm="1">
        <f t="array" ref="X67">IF(Plant_Type&lt;&gt;"Hybrid Solar Plus Storage",1,
MAX(IF(X$3&gt;Inputs!$C$52,1,
IF(X$65&lt;MIN(ModelFactors!$AI$3:$CK$3),1+(_xlfn.RRI(5,R67,W67)),(INDEX(ModelFactors!$AI$4:$CK$31,MATCH(Model!X$2,ModelFactors!$AH$4:$AH$31,0),MATCH(1,(ModelFactors!$AI$1:$CK$1=Revenue_Model)*(ModelFactors!$AI$2:$CK$2=$B67)*(ModelFactors!$AI$3:$CK$3=Model!X$65),0))))), 1))</f>
        <v>1</v>
      </c>
      <c r="Y67" s="225" cm="1">
        <f t="array" ref="Y67">IF(Plant_Type&lt;&gt;"Hybrid Solar Plus Storage",1,
MAX(IF(Y$3&gt;Inputs!$C$52,1,
IF(Y$65&lt;MIN(ModelFactors!$AI$3:$CK$3),1+(_xlfn.RRI(5,S67,X67)),(INDEX(ModelFactors!$AI$4:$CK$31,MATCH(Model!Y$2,ModelFactors!$AH$4:$AH$31,0),MATCH(1,(ModelFactors!$AI$1:$CK$1=Revenue_Model)*(ModelFactors!$AI$2:$CK$2=$B67)*(ModelFactors!$AI$3:$CK$3=Model!Y$65),0))))), 1))</f>
        <v>1</v>
      </c>
      <c r="Z67" s="225" cm="1">
        <f t="array" ref="Z67">IF(Plant_Type&lt;&gt;"Hybrid Solar Plus Storage",1,
MAX(IF(Z$3&gt;Inputs!$C$52,1,
IF(Z$65&lt;MIN(ModelFactors!$AI$3:$CK$3),1+(_xlfn.RRI(5,T67,Y67)),(INDEX(ModelFactors!$AI$4:$CK$31,MATCH(Model!Z$2,ModelFactors!$AH$4:$AH$31,0),MATCH(1,(ModelFactors!$AI$1:$CK$1=Revenue_Model)*(ModelFactors!$AI$2:$CK$2=$B67)*(ModelFactors!$AI$3:$CK$3=Model!Z$65),0))))), 1))</f>
        <v>1</v>
      </c>
      <c r="AA67" s="225" cm="1">
        <f t="array" ref="AA67">IF(Plant_Type&lt;&gt;"Hybrid Solar Plus Storage",1,
MAX(IF(AA$3&gt;Inputs!$C$52,1,
IF(AA$65&lt;MIN(ModelFactors!$AI$3:$CK$3),1+(_xlfn.RRI(5,U67,Z67)),(INDEX(ModelFactors!$AI$4:$CK$31,MATCH(Model!AA$2,ModelFactors!$AH$4:$AH$31,0),MATCH(1,(ModelFactors!$AI$1:$CK$1=Revenue_Model)*(ModelFactors!$AI$2:$CK$2=$B67)*(ModelFactors!$AI$3:$CK$3=Model!AA$65),0))))), 1))</f>
        <v>1</v>
      </c>
    </row>
    <row r="68" spans="2:27" s="225" customFormat="1" x14ac:dyDescent="0.25">
      <c r="B68" s="225" t="s">
        <v>122</v>
      </c>
      <c r="C68" s="225" cm="1">
        <f t="array" ref="C68">IF(OR(Plant_Type&lt;&gt;"Hybrid Solar Plus Storage",Revenue_Model&lt;&gt;"VDER - Value of Distributed Energy Resources"),1,
MAX(IF(C$3&gt;Inputs!$C$52,1,
IF(C$65&lt;MIN(ModelFactors!$AI$3:$CK$3),1,(INDEX(ModelFactors!$AI$4:$CK$31,MATCH(Model!C$2,ModelFactors!$AH$4:$AH$31,0),MATCH(1,(ModelFactors!$AI$1:$CK$1=Revenue_Model)*(ModelFactors!$AI$2:$CK$2=$B68)*(ModelFactors!$AI$3:$CK$3=Model!C$65),0))))), 1))</f>
        <v>1</v>
      </c>
      <c r="D68" s="225" cm="1">
        <f t="array" ref="D68">IF(OR(Plant_Type&lt;&gt;"Hybrid Solar Plus Storage",Revenue_Model&lt;&gt;"VDER - Value of Distributed Energy Resources"),1,
MAX(IF(D$3&gt;Inputs!$C$52,1,
IF(D$65&lt;MIN(ModelFactors!$AI$3:$CK$3),1+(_xlfn.RRI(COUNTA($C68:C68),$C68,C68)),(INDEX(ModelFactors!$AI$4:$CK$31,MATCH(Model!D$2,ModelFactors!$AH$4:$AH$31,0),MATCH(1,(ModelFactors!$AI$1:$CK$1=Revenue_Model)*(ModelFactors!$AI$2:$CK$2=$B68)*(ModelFactors!$AI$3:$CK$3=Model!D$65),0))))), 1))</f>
        <v>1</v>
      </c>
      <c r="E68" s="225" cm="1">
        <f t="array" ref="E68">IF(OR(Plant_Type&lt;&gt;"Hybrid Solar Plus Storage",Revenue_Model&lt;&gt;"VDER - Value of Distributed Energy Resources"),1,
MAX(IF(E$3&gt;Inputs!$C$52,1,
IF(E$65&lt;MIN(ModelFactors!$AI$3:$CK$3),1+(_xlfn.RRI(COUNTA($C68:D68),$C68,D68)),(INDEX(ModelFactors!$AI$4:$CK$31,MATCH(Model!E$2,ModelFactors!$AH$4:$AH$31,0),MATCH(1,(ModelFactors!$AI$1:$CK$1=Revenue_Model)*(ModelFactors!$AI$2:$CK$2=$B68)*(ModelFactors!$AI$3:$CK$3=Model!E$65),0))))), 1))</f>
        <v>1</v>
      </c>
      <c r="F68" s="225" cm="1">
        <f t="array" ref="F68">IF(OR(Plant_Type&lt;&gt;"Hybrid Solar Plus Storage",Revenue_Model&lt;&gt;"VDER - Value of Distributed Energy Resources"),1,
MAX(IF(F$3&gt;Inputs!$C$52,1,
IF(F$65&lt;MIN(ModelFactors!$AI$3:$CK$3),1+(_xlfn.RRI(COUNTA($C68:E68),$C68,E68)),(INDEX(ModelFactors!$AI$4:$CK$31,MATCH(Model!F$2,ModelFactors!$AH$4:$AH$31,0),MATCH(1,(ModelFactors!$AI$1:$CK$1=Revenue_Model)*(ModelFactors!$AI$2:$CK$2=$B68)*(ModelFactors!$AI$3:$CK$3=Model!F$65),0))))), 1))</f>
        <v>1</v>
      </c>
      <c r="G68" s="225" cm="1">
        <f t="array" ref="G68">IF(OR(Plant_Type&lt;&gt;"Hybrid Solar Plus Storage",Revenue_Model&lt;&gt;"VDER - Value of Distributed Energy Resources"),1,
MAX(IF(G$3&gt;Inputs!$C$52,1,
IF(G$65&lt;MIN(ModelFactors!$AI$3:$CK$3),1+(_xlfn.RRI(COUNTA($C68:F68),$C68,F68)),(INDEX(ModelFactors!$AI$4:$CK$31,MATCH(Model!G$2,ModelFactors!$AH$4:$AH$31,0),MATCH(1,(ModelFactors!$AI$1:$CK$1=Revenue_Model)*(ModelFactors!$AI$2:$CK$2=$B68)*(ModelFactors!$AI$3:$CK$3=Model!G$65),0))))), 1))</f>
        <v>1</v>
      </c>
      <c r="H68" s="225" cm="1">
        <f t="array" ref="H68">IF(OR(Plant_Type&lt;&gt;"Hybrid Solar Plus Storage",Revenue_Model&lt;&gt;"VDER - Value of Distributed Energy Resources"),1,
MAX(IF(H$3&gt;Inputs!$C$52,1,
IF(H$65&lt;MIN(ModelFactors!$AI$3:$CK$3),1+(_xlfn.RRI(COUNTA($C68:G68),$C68,G68)),(INDEX(ModelFactors!$AI$4:$CK$31,MATCH(Model!H$2,ModelFactors!$AH$4:$AH$31,0),MATCH(1,(ModelFactors!$AI$1:$CK$1=Revenue_Model)*(ModelFactors!$AI$2:$CK$2=$B68)*(ModelFactors!$AI$3:$CK$3=Model!H$65),0))))), 1))</f>
        <v>1</v>
      </c>
      <c r="I68" s="225" cm="1">
        <f t="array" ref="I68">IF(OR(Plant_Type&lt;&gt;"Hybrid Solar Plus Storage",Revenue_Model&lt;&gt;"VDER - Value of Distributed Energy Resources"),1,
MAX(IF(I$3&gt;Inputs!$C$52,1,
IF(I$65&lt;MIN(ModelFactors!$AI$3:$CK$3),1+(_xlfn.RRI(5,C68,H68)),(INDEX(ModelFactors!$AI$4:$CK$31,MATCH(Model!I$2,ModelFactors!$AH$4:$AH$31,0),MATCH(1,(ModelFactors!$AI$1:$CK$1=Revenue_Model)*(ModelFactors!$AI$2:$CK$2=$B68)*(ModelFactors!$AI$3:$CK$3=Model!I$65),0))))), 1))</f>
        <v>1</v>
      </c>
      <c r="J68" s="225" cm="1">
        <f t="array" ref="J68">IF(OR(Plant_Type&lt;&gt;"Hybrid Solar Plus Storage",Revenue_Model&lt;&gt;"VDER - Value of Distributed Energy Resources"),1,
MAX(IF(J$3&gt;Inputs!$C$52,1,
IF(J$65&lt;MIN(ModelFactors!$AI$3:$CK$3),1+(_xlfn.RRI(5,D68,I68)),(INDEX(ModelFactors!$AI$4:$CK$31,MATCH(Model!J$2,ModelFactors!$AH$4:$AH$31,0),MATCH(1,(ModelFactors!$AI$1:$CK$1=Revenue_Model)*(ModelFactors!$AI$2:$CK$2=$B68)*(ModelFactors!$AI$3:$CK$3=Model!J$65),0))))), 1))</f>
        <v>1</v>
      </c>
      <c r="K68" s="225" cm="1">
        <f t="array" ref="K68">IF(OR(Plant_Type&lt;&gt;"Hybrid Solar Plus Storage",Revenue_Model&lt;&gt;"VDER - Value of Distributed Energy Resources"),1,
MAX(IF(K$3&gt;Inputs!$C$52,1,
IF(K$65&lt;MIN(ModelFactors!$AI$3:$CK$3),1+(_xlfn.RRI(5,E68,J68)),(INDEX(ModelFactors!$AI$4:$CK$31,MATCH(Model!K$2,ModelFactors!$AH$4:$AH$31,0),MATCH(1,(ModelFactors!$AI$1:$CK$1=Revenue_Model)*(ModelFactors!$AI$2:$CK$2=$B68)*(ModelFactors!$AI$3:$CK$3=Model!K$65),0))))), 1))</f>
        <v>1</v>
      </c>
      <c r="L68" s="225" cm="1">
        <f t="array" ref="L68">IF(OR(Plant_Type&lt;&gt;"Hybrid Solar Plus Storage",Revenue_Model&lt;&gt;"VDER - Value of Distributed Energy Resources"),1,
MAX(IF(L$3&gt;Inputs!$C$52,1,
IF(L$65&lt;MIN(ModelFactors!$AI$3:$CK$3),1+(_xlfn.RRI(5,F68,K68)),(INDEX(ModelFactors!$AI$4:$CK$31,MATCH(Model!L$2,ModelFactors!$AH$4:$AH$31,0),MATCH(1,(ModelFactors!$AI$1:$CK$1=Revenue_Model)*(ModelFactors!$AI$2:$CK$2=$B68)*(ModelFactors!$AI$3:$CK$3=Model!L$65),0))))), 1))</f>
        <v>1</v>
      </c>
      <c r="M68" s="225" cm="1">
        <f t="array" ref="M68">IF(OR(Plant_Type&lt;&gt;"Hybrid Solar Plus Storage",Revenue_Model&lt;&gt;"VDER - Value of Distributed Energy Resources"),1,
MAX(IF(M$3&gt;Inputs!$C$52,1,
IF(M$65&lt;MIN(ModelFactors!$AI$3:$CK$3),1+(_xlfn.RRI(5,G68,L68)),(INDEX(ModelFactors!$AI$4:$CK$31,MATCH(Model!M$2,ModelFactors!$AH$4:$AH$31,0),MATCH(1,(ModelFactors!$AI$1:$CK$1=Revenue_Model)*(ModelFactors!$AI$2:$CK$2=$B68)*(ModelFactors!$AI$3:$CK$3=Model!M$65),0))))), 1))</f>
        <v>1</v>
      </c>
      <c r="N68" s="225" cm="1">
        <f t="array" ref="N68">IF(OR(Plant_Type&lt;&gt;"Hybrid Solar Plus Storage",Revenue_Model&lt;&gt;"VDER - Value of Distributed Energy Resources"),1,
MAX(IF(N$3&gt;Inputs!$C$52,1,
IF(N$65&lt;MIN(ModelFactors!$AI$3:$CK$3),1+(_xlfn.RRI(5,H68,M68)),(INDEX(ModelFactors!$AI$4:$CK$31,MATCH(Model!N$2,ModelFactors!$AH$4:$AH$31,0),MATCH(1,(ModelFactors!$AI$1:$CK$1=Revenue_Model)*(ModelFactors!$AI$2:$CK$2=$B68)*(ModelFactors!$AI$3:$CK$3=Model!N$65),0))))), 1))</f>
        <v>1</v>
      </c>
      <c r="O68" s="225" cm="1">
        <f t="array" ref="O68">IF(OR(Plant_Type&lt;&gt;"Hybrid Solar Plus Storage",Revenue_Model&lt;&gt;"VDER - Value of Distributed Energy Resources"),1,
MAX(IF(O$3&gt;Inputs!$C$52,1,
IF(O$65&lt;MIN(ModelFactors!$AI$3:$CK$3),1+(_xlfn.RRI(5,I68,N68)),(INDEX(ModelFactors!$AI$4:$CK$31,MATCH(Model!O$2,ModelFactors!$AH$4:$AH$31,0),MATCH(1,(ModelFactors!$AI$1:$CK$1=Revenue_Model)*(ModelFactors!$AI$2:$CK$2=$B68)*(ModelFactors!$AI$3:$CK$3=Model!O$65),0))))), 1))</f>
        <v>1</v>
      </c>
      <c r="P68" s="225" cm="1">
        <f t="array" ref="P68">IF(OR(Plant_Type&lt;&gt;"Hybrid Solar Plus Storage",Revenue_Model&lt;&gt;"VDER - Value of Distributed Energy Resources"),1,
MAX(IF(P$3&gt;Inputs!$C$52,1,
IF(P$65&lt;MIN(ModelFactors!$AI$3:$CK$3),1+(_xlfn.RRI(5,J68,O68)),(INDEX(ModelFactors!$AI$4:$CK$31,MATCH(Model!P$2,ModelFactors!$AH$4:$AH$31,0),MATCH(1,(ModelFactors!$AI$1:$CK$1=Revenue_Model)*(ModelFactors!$AI$2:$CK$2=$B68)*(ModelFactors!$AI$3:$CK$3=Model!P$65),0))))), 1))</f>
        <v>1</v>
      </c>
      <c r="Q68" s="225" cm="1">
        <f t="array" ref="Q68">IF(OR(Plant_Type&lt;&gt;"Hybrid Solar Plus Storage",Revenue_Model&lt;&gt;"VDER - Value of Distributed Energy Resources"),1,
MAX(IF(Q$3&gt;Inputs!$C$52,1,
IF(Q$65&lt;MIN(ModelFactors!$AI$3:$CK$3),1+(_xlfn.RRI(5,K68,P68)),(INDEX(ModelFactors!$AI$4:$CK$31,MATCH(Model!Q$2,ModelFactors!$AH$4:$AH$31,0),MATCH(1,(ModelFactors!$AI$1:$CK$1=Revenue_Model)*(ModelFactors!$AI$2:$CK$2=$B68)*(ModelFactors!$AI$3:$CK$3=Model!Q$65),0))))), 1))</f>
        <v>1</v>
      </c>
      <c r="R68" s="225" cm="1">
        <f t="array" ref="R68">IF(OR(Plant_Type&lt;&gt;"Hybrid Solar Plus Storage",Revenue_Model&lt;&gt;"VDER - Value of Distributed Energy Resources"),1,
MAX(IF(R$3&gt;Inputs!$C$52,1,
IF(R$65&lt;MIN(ModelFactors!$AI$3:$CK$3),1+(_xlfn.RRI(5,L68,Q68)),(INDEX(ModelFactors!$AI$4:$CK$31,MATCH(Model!R$2,ModelFactors!$AH$4:$AH$31,0),MATCH(1,(ModelFactors!$AI$1:$CK$1=Revenue_Model)*(ModelFactors!$AI$2:$CK$2=$B68)*(ModelFactors!$AI$3:$CK$3=Model!R$65),0))))), 1))</f>
        <v>1</v>
      </c>
      <c r="S68" s="225" cm="1">
        <f t="array" ref="S68">IF(OR(Plant_Type&lt;&gt;"Hybrid Solar Plus Storage",Revenue_Model&lt;&gt;"VDER - Value of Distributed Energy Resources"),1,
MAX(IF(S$3&gt;Inputs!$C$52,1,
IF(S$65&lt;MIN(ModelFactors!$AI$3:$CK$3),1+(_xlfn.RRI(5,M68,R68)),(INDEX(ModelFactors!$AI$4:$CK$31,MATCH(Model!S$2,ModelFactors!$AH$4:$AH$31,0),MATCH(1,(ModelFactors!$AI$1:$CK$1=Revenue_Model)*(ModelFactors!$AI$2:$CK$2=$B68)*(ModelFactors!$AI$3:$CK$3=Model!S$65),0))))), 1))</f>
        <v>1</v>
      </c>
      <c r="T68" s="225" cm="1">
        <f t="array" ref="T68">IF(OR(Plant_Type&lt;&gt;"Hybrid Solar Plus Storage",Revenue_Model&lt;&gt;"VDER - Value of Distributed Energy Resources"),1,
MAX(IF(T$3&gt;Inputs!$C$52,1,
IF(T$65&lt;MIN(ModelFactors!$AI$3:$CK$3),1+(_xlfn.RRI(5,N68,S68)),(INDEX(ModelFactors!$AI$4:$CK$31,MATCH(Model!T$2,ModelFactors!$AH$4:$AH$31,0),MATCH(1,(ModelFactors!$AI$1:$CK$1=Revenue_Model)*(ModelFactors!$AI$2:$CK$2=$B68)*(ModelFactors!$AI$3:$CK$3=Model!T$65),0))))), 1))</f>
        <v>1</v>
      </c>
      <c r="U68" s="225" cm="1">
        <f t="array" ref="U68">IF(OR(Plant_Type&lt;&gt;"Hybrid Solar Plus Storage",Revenue_Model&lt;&gt;"VDER - Value of Distributed Energy Resources"),1,
MAX(IF(U$3&gt;Inputs!$C$52,1,
IF(U$65&lt;MIN(ModelFactors!$AI$3:$CK$3),1+(_xlfn.RRI(5,O68,T68)),(INDEX(ModelFactors!$AI$4:$CK$31,MATCH(Model!U$2,ModelFactors!$AH$4:$AH$31,0),MATCH(1,(ModelFactors!$AI$1:$CK$1=Revenue_Model)*(ModelFactors!$AI$2:$CK$2=$B68)*(ModelFactors!$AI$3:$CK$3=Model!U$65),0))))), 1))</f>
        <v>1</v>
      </c>
      <c r="V68" s="225" cm="1">
        <f t="array" ref="V68">IF(OR(Plant_Type&lt;&gt;"Hybrid Solar Plus Storage",Revenue_Model&lt;&gt;"VDER - Value of Distributed Energy Resources"),1,
MAX(IF(V$3&gt;Inputs!$C$52,1,
IF(V$65&lt;MIN(ModelFactors!$AI$3:$CK$3),1+(_xlfn.RRI(5,P68,U68)),(INDEX(ModelFactors!$AI$4:$CK$31,MATCH(Model!V$2,ModelFactors!$AH$4:$AH$31,0),MATCH(1,(ModelFactors!$AI$1:$CK$1=Revenue_Model)*(ModelFactors!$AI$2:$CK$2=$B68)*(ModelFactors!$AI$3:$CK$3=Model!V$65),0))))), 1))</f>
        <v>1</v>
      </c>
      <c r="W68" s="225" cm="1">
        <f t="array" ref="W68">IF(OR(Plant_Type&lt;&gt;"Hybrid Solar Plus Storage",Revenue_Model&lt;&gt;"VDER - Value of Distributed Energy Resources"),1,
MAX(IF(W$3&gt;Inputs!$C$52,1,
IF(W$65&lt;MIN(ModelFactors!$AI$3:$CK$3),1+(_xlfn.RRI(5,Q68,V68)),(INDEX(ModelFactors!$AI$4:$CK$31,MATCH(Model!W$2,ModelFactors!$AH$4:$AH$31,0),MATCH(1,(ModelFactors!$AI$1:$CK$1=Revenue_Model)*(ModelFactors!$AI$2:$CK$2=$B68)*(ModelFactors!$AI$3:$CK$3=Model!W$65),0))))), 1))</f>
        <v>1</v>
      </c>
      <c r="X68" s="225" cm="1">
        <f t="array" ref="X68">IF(OR(Plant_Type&lt;&gt;"Hybrid Solar Plus Storage",Revenue_Model&lt;&gt;"VDER - Value of Distributed Energy Resources"),1,
MAX(IF(X$3&gt;Inputs!$C$52,1,
IF(X$65&lt;MIN(ModelFactors!$AI$3:$CK$3),1+(_xlfn.RRI(5,R68,W68)),(INDEX(ModelFactors!$AI$4:$CK$31,MATCH(Model!X$2,ModelFactors!$AH$4:$AH$31,0),MATCH(1,(ModelFactors!$AI$1:$CK$1=Revenue_Model)*(ModelFactors!$AI$2:$CK$2=$B68)*(ModelFactors!$AI$3:$CK$3=Model!X$65),0))))), 1))</f>
        <v>1</v>
      </c>
      <c r="Y68" s="225" cm="1">
        <f t="array" ref="Y68">IF(OR(Plant_Type&lt;&gt;"Hybrid Solar Plus Storage",Revenue_Model&lt;&gt;"VDER - Value of Distributed Energy Resources"),1,
MAX(IF(Y$3&gt;Inputs!$C$52,1,
IF(Y$65&lt;MIN(ModelFactors!$AI$3:$CK$3),1+(_xlfn.RRI(5,S68,X68)),(INDEX(ModelFactors!$AI$4:$CK$31,MATCH(Model!Y$2,ModelFactors!$AH$4:$AH$31,0),MATCH(1,(ModelFactors!$AI$1:$CK$1=Revenue_Model)*(ModelFactors!$AI$2:$CK$2=$B68)*(ModelFactors!$AI$3:$CK$3=Model!Y$65),0))))), 1))</f>
        <v>1</v>
      </c>
      <c r="Z68" s="225" cm="1">
        <f t="array" ref="Z68">IF(OR(Plant_Type&lt;&gt;"Hybrid Solar Plus Storage",Revenue_Model&lt;&gt;"VDER - Value of Distributed Energy Resources"),1,
MAX(IF(Z$3&gt;Inputs!$C$52,1,
IF(Z$65&lt;MIN(ModelFactors!$AI$3:$CK$3),1+(_xlfn.RRI(5,T68,Y68)),(INDEX(ModelFactors!$AI$4:$CK$31,MATCH(Model!Z$2,ModelFactors!$AH$4:$AH$31,0),MATCH(1,(ModelFactors!$AI$1:$CK$1=Revenue_Model)*(ModelFactors!$AI$2:$CK$2=$B68)*(ModelFactors!$AI$3:$CK$3=Model!Z$65),0))))), 1))</f>
        <v>1</v>
      </c>
      <c r="AA68" s="225" cm="1">
        <f t="array" ref="AA68">IF(OR(Plant_Type&lt;&gt;"Hybrid Solar Plus Storage",Revenue_Model&lt;&gt;"VDER - Value of Distributed Energy Resources"),1,
MAX(IF(AA$3&gt;Inputs!$C$52,1,
IF(AA$65&lt;MIN(ModelFactors!$AI$3:$CK$3),1+(_xlfn.RRI(5,U68,Z68)),(INDEX(ModelFactors!$AI$4:$CK$31,MATCH(Model!AA$2,ModelFactors!$AH$4:$AH$31,0),MATCH(1,(ModelFactors!$AI$1:$CK$1=Revenue_Model)*(ModelFactors!$AI$2:$CK$2=$B68)*(ModelFactors!$AI$3:$CK$3=Model!AA$65),0))))), 1))</f>
        <v>1</v>
      </c>
    </row>
    <row r="69" spans="2:27" x14ac:dyDescent="0.25">
      <c r="C69" s="228"/>
      <c r="D69" s="228"/>
      <c r="E69" s="228"/>
      <c r="F69" s="228"/>
      <c r="G69" s="228"/>
      <c r="H69" s="228"/>
      <c r="I69" s="228"/>
      <c r="J69" s="229"/>
      <c r="K69" s="229"/>
      <c r="L69" s="229"/>
      <c r="M69" s="227"/>
      <c r="N69" s="227"/>
      <c r="O69" s="227"/>
      <c r="P69" s="227"/>
      <c r="Q69" s="227"/>
      <c r="R69" s="227"/>
      <c r="S69" s="227"/>
      <c r="T69" s="227"/>
      <c r="U69" s="227"/>
      <c r="V69" s="227"/>
      <c r="W69" s="227"/>
      <c r="X69" s="227"/>
      <c r="Y69" s="227"/>
      <c r="Z69" s="227"/>
      <c r="AA69" s="227"/>
    </row>
    <row r="70" spans="2:27" x14ac:dyDescent="0.25">
      <c r="B70" s="164" t="s">
        <v>123</v>
      </c>
      <c r="L70" s="185"/>
    </row>
    <row r="71" spans="2:27" x14ac:dyDescent="0.25">
      <c r="B71" s="111" t="s">
        <v>124</v>
      </c>
      <c r="C71" s="111">
        <f>Utility_Loss_Adjustment</f>
        <v>1.0840000000000001</v>
      </c>
    </row>
    <row r="72" spans="2:27" x14ac:dyDescent="0.25">
      <c r="B72" s="111" t="s">
        <v>125</v>
      </c>
      <c r="C72" s="226">
        <f>Fraction_of_Credits</f>
        <v>0.92500000000000004</v>
      </c>
    </row>
    <row r="73" spans="2:27" x14ac:dyDescent="0.25">
      <c r="B73" s="77" t="s">
        <v>126</v>
      </c>
      <c r="C73" s="18">
        <f t="shared" ref="C73:AA73" si="29">IF(C$3&lt;=System_Age,0,VLOOKUP(Plant_Type&amp;" - "&amp;NYISO_Zone,Forecast_Energy_VDER,MATCH(C$2,Forecast_Energy_Header,0),FALSE))</f>
        <v>0</v>
      </c>
      <c r="D73" s="18">
        <f t="shared" si="29"/>
        <v>0</v>
      </c>
      <c r="E73" s="18">
        <f t="shared" si="29"/>
        <v>0</v>
      </c>
      <c r="F73" s="18">
        <f t="shared" si="29"/>
        <v>0</v>
      </c>
      <c r="G73" s="18">
        <f t="shared" si="29"/>
        <v>52.114809939608378</v>
      </c>
      <c r="H73" s="18">
        <f t="shared" si="29"/>
        <v>48.473347891595338</v>
      </c>
      <c r="I73" s="18">
        <f t="shared" si="29"/>
        <v>46.223436761808053</v>
      </c>
      <c r="J73" s="18">
        <f t="shared" si="29"/>
        <v>44.35656633478596</v>
      </c>
      <c r="K73" s="18">
        <f t="shared" si="29"/>
        <v>41.896528093646175</v>
      </c>
      <c r="L73" s="18">
        <f t="shared" si="29"/>
        <v>42.602283348178325</v>
      </c>
      <c r="M73" s="18">
        <f t="shared" si="29"/>
        <v>43.15345698835678</v>
      </c>
      <c r="N73" s="18">
        <f t="shared" si="29"/>
        <v>42.322563429588321</v>
      </c>
      <c r="O73" s="18">
        <f t="shared" si="29"/>
        <v>41.675030719482237</v>
      </c>
      <c r="P73" s="18">
        <f t="shared" si="29"/>
        <v>40.608844707782168</v>
      </c>
      <c r="Q73" s="18">
        <f t="shared" si="29"/>
        <v>40.291602149114972</v>
      </c>
      <c r="R73" s="18">
        <f t="shared" si="29"/>
        <v>39.776385910371026</v>
      </c>
      <c r="S73" s="18">
        <f t="shared" si="29"/>
        <v>40.088940760433317</v>
      </c>
      <c r="T73" s="18">
        <f t="shared" si="29"/>
        <v>39.151342458654277</v>
      </c>
      <c r="U73" s="18">
        <f t="shared" si="29"/>
        <v>38.674870620486161</v>
      </c>
      <c r="V73" s="18">
        <f t="shared" si="29"/>
        <v>39.098733928161323</v>
      </c>
      <c r="W73" s="18">
        <f t="shared" si="29"/>
        <v>38.894032014057316</v>
      </c>
      <c r="X73" s="18">
        <f t="shared" si="29"/>
        <v>38.66715291224638</v>
      </c>
      <c r="Y73" s="18">
        <f t="shared" si="29"/>
        <v>38.245197662855354</v>
      </c>
      <c r="Z73" s="18">
        <f t="shared" si="29"/>
        <v>38.585335707278098</v>
      </c>
      <c r="AA73" s="18">
        <f t="shared" si="29"/>
        <v>39.075680714826802</v>
      </c>
    </row>
    <row r="74" spans="2:27" x14ac:dyDescent="0.25">
      <c r="B74" s="111" t="s">
        <v>127</v>
      </c>
      <c r="C74" s="230"/>
      <c r="D74" s="230"/>
      <c r="E74" s="230"/>
      <c r="F74" s="230"/>
      <c r="G74" s="230"/>
      <c r="H74" s="230"/>
      <c r="I74" s="230"/>
      <c r="J74" s="230"/>
      <c r="K74" s="230"/>
      <c r="L74" s="230"/>
      <c r="M74" s="230"/>
      <c r="N74" s="230"/>
      <c r="O74" s="230"/>
      <c r="P74" s="230"/>
      <c r="Q74" s="230"/>
      <c r="R74" s="230"/>
      <c r="S74" s="230"/>
      <c r="T74" s="230"/>
      <c r="U74" s="230"/>
      <c r="V74" s="230"/>
      <c r="W74" s="230"/>
      <c r="X74" s="230"/>
      <c r="Y74" s="230"/>
      <c r="Z74" s="230"/>
      <c r="AA74" s="230"/>
    </row>
    <row r="75" spans="2:27" x14ac:dyDescent="0.25">
      <c r="B75" s="231" t="s">
        <v>128</v>
      </c>
      <c r="C75" s="232">
        <f t="shared" ref="C75:AA75" si="30">(C$58/1000)*Fraction_of_Credits*Utility_Loss_Adjustment*C$73*C$50*C$66</f>
        <v>0</v>
      </c>
      <c r="D75" s="232">
        <f t="shared" si="30"/>
        <v>0</v>
      </c>
      <c r="E75" s="232">
        <f t="shared" si="30"/>
        <v>0</v>
      </c>
      <c r="F75" s="232">
        <f t="shared" si="30"/>
        <v>0</v>
      </c>
      <c r="G75" s="232">
        <f t="shared" si="30"/>
        <v>433554.66083941073</v>
      </c>
      <c r="H75" s="232">
        <f t="shared" si="30"/>
        <v>411233.15581813332</v>
      </c>
      <c r="I75" s="232">
        <f t="shared" si="30"/>
        <v>400983.5385394147</v>
      </c>
      <c r="J75" s="232">
        <f t="shared" si="30"/>
        <v>391303.24980321049</v>
      </c>
      <c r="K75" s="232">
        <f t="shared" si="30"/>
        <v>376878.49341239402</v>
      </c>
      <c r="L75" s="232">
        <f t="shared" si="30"/>
        <v>390761.8891242572</v>
      </c>
      <c r="M75" s="232">
        <f t="shared" si="30"/>
        <v>404694.43875830236</v>
      </c>
      <c r="N75" s="232">
        <f t="shared" si="30"/>
        <v>403577.97439806681</v>
      </c>
      <c r="O75" s="232">
        <f t="shared" si="30"/>
        <v>405183.10741647228</v>
      </c>
      <c r="P75" s="232">
        <f t="shared" si="30"/>
        <v>402535.0105044489</v>
      </c>
      <c r="Q75" s="232">
        <f t="shared" si="30"/>
        <v>408301.50975405041</v>
      </c>
      <c r="R75" s="232">
        <f t="shared" si="30"/>
        <v>409813.44077536528</v>
      </c>
      <c r="S75" s="232">
        <f t="shared" si="30"/>
        <v>421071.08447298803</v>
      </c>
      <c r="T75" s="232">
        <f t="shared" si="30"/>
        <v>419212.88983960618</v>
      </c>
      <c r="U75" s="232">
        <f t="shared" si="30"/>
        <v>423300.93104389159</v>
      </c>
      <c r="V75" s="232">
        <f t="shared" si="30"/>
        <v>435036.68415987107</v>
      </c>
      <c r="W75" s="232">
        <f t="shared" si="30"/>
        <v>441127.31292764825</v>
      </c>
      <c r="X75" s="232">
        <f t="shared" si="30"/>
        <v>447020.63204715884</v>
      </c>
      <c r="Y75" s="232">
        <f t="shared" si="30"/>
        <v>451898.95797099953</v>
      </c>
      <c r="Z75" s="232">
        <f t="shared" si="30"/>
        <v>463420.90575491119</v>
      </c>
      <c r="AA75" s="232">
        <f t="shared" si="30"/>
        <v>478325.08545550075</v>
      </c>
    </row>
    <row r="76" spans="2:27" x14ac:dyDescent="0.25">
      <c r="B76" s="233" t="str">
        <f>"Real "&amp;TEXT(Cash_Flow_Base_Year,"0000")&amp;" $"</f>
        <v>Real 2025 $</v>
      </c>
      <c r="C76" s="232">
        <f t="shared" ref="C76:AA76" si="31">C$75*C$47</f>
        <v>0</v>
      </c>
      <c r="D76" s="232">
        <f t="shared" si="31"/>
        <v>0</v>
      </c>
      <c r="E76" s="232">
        <f t="shared" si="31"/>
        <v>0</v>
      </c>
      <c r="F76" s="232">
        <f t="shared" si="31"/>
        <v>0</v>
      </c>
      <c r="G76" s="232">
        <f t="shared" si="31"/>
        <v>422980.15691649832</v>
      </c>
      <c r="H76" s="232">
        <f t="shared" si="31"/>
        <v>391417.63789947255</v>
      </c>
      <c r="I76" s="232">
        <f t="shared" si="31"/>
        <v>372353.0776762169</v>
      </c>
      <c r="J76" s="232">
        <f t="shared" si="31"/>
        <v>354501.43147145817</v>
      </c>
      <c r="K76" s="232">
        <f t="shared" si="31"/>
        <v>333105.6723103596</v>
      </c>
      <c r="L76" s="232">
        <f t="shared" si="31"/>
        <v>336952.75232865318</v>
      </c>
      <c r="M76" s="232">
        <f t="shared" si="31"/>
        <v>340455.3621589556</v>
      </c>
      <c r="N76" s="232">
        <f t="shared" si="31"/>
        <v>331235.23854290711</v>
      </c>
      <c r="O76" s="232">
        <f t="shared" si="31"/>
        <v>324441.60581801203</v>
      </c>
      <c r="P76" s="232">
        <f t="shared" si="31"/>
        <v>314459.70684472425</v>
      </c>
      <c r="Q76" s="232">
        <f t="shared" si="31"/>
        <v>311184.86521177128</v>
      </c>
      <c r="R76" s="232">
        <f t="shared" si="31"/>
        <v>304719.19565918983</v>
      </c>
      <c r="S76" s="232">
        <f t="shared" si="31"/>
        <v>305453.54427541507</v>
      </c>
      <c r="T76" s="232">
        <f t="shared" si="31"/>
        <v>296688.36295261374</v>
      </c>
      <c r="U76" s="232">
        <f t="shared" si="31"/>
        <v>292274.71306368173</v>
      </c>
      <c r="V76" s="232">
        <f t="shared" si="31"/>
        <v>293051.55743788427</v>
      </c>
      <c r="W76" s="232">
        <f t="shared" si="31"/>
        <v>289906.68959664414</v>
      </c>
      <c r="X76" s="232">
        <f t="shared" si="31"/>
        <v>286614.39004073135</v>
      </c>
      <c r="Y76" s="232">
        <f t="shared" si="31"/>
        <v>282675.32323683193</v>
      </c>
      <c r="Z76" s="232">
        <f t="shared" si="31"/>
        <v>282812.31309554278</v>
      </c>
      <c r="AA76" s="232">
        <f t="shared" si="31"/>
        <v>284788.19599410641</v>
      </c>
    </row>
    <row r="78" spans="2:27" x14ac:dyDescent="0.25">
      <c r="B78" s="164" t="s">
        <v>129</v>
      </c>
    </row>
    <row r="79" spans="2:27" x14ac:dyDescent="0.25">
      <c r="B79" s="111" t="s">
        <v>125</v>
      </c>
      <c r="C79" s="226">
        <f>Fraction_of_Credits</f>
        <v>0.92500000000000004</v>
      </c>
    </row>
    <row r="80" spans="2:27" x14ac:dyDescent="0.25">
      <c r="B80" s="111" t="s">
        <v>111</v>
      </c>
      <c r="C80" s="225">
        <f>System_Size</f>
        <v>4500</v>
      </c>
      <c r="D80" s="234" t="s">
        <v>130</v>
      </c>
    </row>
    <row r="81" spans="2:27" x14ac:dyDescent="0.25">
      <c r="B81" s="111" t="s">
        <v>114</v>
      </c>
      <c r="C81" s="235">
        <f t="shared" ref="C81:AA81" si="32">1-Degradation*(C$3-1)</f>
        <v>1</v>
      </c>
      <c r="D81" s="235">
        <f t="shared" si="32"/>
        <v>0.995</v>
      </c>
      <c r="E81" s="235">
        <f t="shared" si="32"/>
        <v>0.99</v>
      </c>
      <c r="F81" s="235">
        <f t="shared" si="32"/>
        <v>0.98499999999999999</v>
      </c>
      <c r="G81" s="235">
        <f t="shared" si="32"/>
        <v>0.98</v>
      </c>
      <c r="H81" s="235">
        <f t="shared" si="32"/>
        <v>0.97499999999999998</v>
      </c>
      <c r="I81" s="235">
        <f t="shared" si="32"/>
        <v>0.97</v>
      </c>
      <c r="J81" s="235">
        <f t="shared" si="32"/>
        <v>0.96499999999999997</v>
      </c>
      <c r="K81" s="235">
        <f t="shared" si="32"/>
        <v>0.96</v>
      </c>
      <c r="L81" s="235">
        <f t="shared" si="32"/>
        <v>0.95499999999999996</v>
      </c>
      <c r="M81" s="235">
        <f t="shared" si="32"/>
        <v>0.95</v>
      </c>
      <c r="N81" s="235">
        <f t="shared" si="32"/>
        <v>0.94499999999999995</v>
      </c>
      <c r="O81" s="235">
        <f t="shared" si="32"/>
        <v>0.94</v>
      </c>
      <c r="P81" s="235">
        <f t="shared" si="32"/>
        <v>0.93500000000000005</v>
      </c>
      <c r="Q81" s="235">
        <f t="shared" si="32"/>
        <v>0.92999999999999994</v>
      </c>
      <c r="R81" s="235">
        <f t="shared" si="32"/>
        <v>0.92500000000000004</v>
      </c>
      <c r="S81" s="235">
        <f t="shared" si="32"/>
        <v>0.92</v>
      </c>
      <c r="T81" s="235">
        <f t="shared" si="32"/>
        <v>0.91500000000000004</v>
      </c>
      <c r="U81" s="235">
        <f t="shared" si="32"/>
        <v>0.91</v>
      </c>
      <c r="V81" s="235">
        <f t="shared" si="32"/>
        <v>0.90500000000000003</v>
      </c>
      <c r="W81" s="235">
        <f t="shared" si="32"/>
        <v>0.9</v>
      </c>
      <c r="X81" s="235">
        <f t="shared" si="32"/>
        <v>0.89500000000000002</v>
      </c>
      <c r="Y81" s="235">
        <f t="shared" si="32"/>
        <v>0.89</v>
      </c>
      <c r="Z81" s="235">
        <f t="shared" si="32"/>
        <v>0.88500000000000001</v>
      </c>
      <c r="AA81" s="235">
        <f t="shared" si="32"/>
        <v>0.88</v>
      </c>
    </row>
    <row r="82" spans="2:27" x14ac:dyDescent="0.25">
      <c r="B82" s="111" t="s">
        <v>131</v>
      </c>
      <c r="C82" s="18">
        <f t="shared" ref="C82:AA82" si="33">IF((C$3&lt;=System_Age),0,VLOOKUP(Plant_Type&amp;" - "&amp;NYISO_Zone,Forecast_ICAP,MATCH(C$2,Forecast_ICAP_Header,0),FALSE))</f>
        <v>0</v>
      </c>
      <c r="D82" s="18">
        <f t="shared" si="33"/>
        <v>0</v>
      </c>
      <c r="E82" s="18">
        <f t="shared" si="33"/>
        <v>0</v>
      </c>
      <c r="F82" s="18">
        <f t="shared" si="33"/>
        <v>0</v>
      </c>
      <c r="G82" s="18">
        <f t="shared" si="33"/>
        <v>6.0709223002604711</v>
      </c>
      <c r="H82" s="18">
        <f t="shared" si="33"/>
        <v>6.2417408114743802</v>
      </c>
      <c r="I82" s="18">
        <f t="shared" si="33"/>
        <v>6.3994156977316674</v>
      </c>
      <c r="J82" s="18">
        <f t="shared" si="33"/>
        <v>5.7437385323331052</v>
      </c>
      <c r="K82" s="18">
        <f t="shared" si="33"/>
        <v>5.4954593890000574</v>
      </c>
      <c r="L82" s="18">
        <f t="shared" si="33"/>
        <v>5.7404111693458812</v>
      </c>
      <c r="M82" s="18">
        <f t="shared" si="33"/>
        <v>5.9254573231502343</v>
      </c>
      <c r="N82" s="18">
        <f t="shared" si="33"/>
        <v>5.9048533132089407</v>
      </c>
      <c r="O82" s="18">
        <f t="shared" si="33"/>
        <v>4.971402864663041</v>
      </c>
      <c r="P82" s="18">
        <f t="shared" si="33"/>
        <v>5.2558386470328129</v>
      </c>
      <c r="Q82" s="18">
        <f t="shared" si="33"/>
        <v>5.5360566299188001</v>
      </c>
      <c r="R82" s="18">
        <f t="shared" si="33"/>
        <v>5.7367719272852442</v>
      </c>
      <c r="S82" s="18">
        <f t="shared" si="33"/>
        <v>5.957773816663007</v>
      </c>
      <c r="T82" s="18">
        <f t="shared" si="33"/>
        <v>5.9872192297782503</v>
      </c>
      <c r="U82" s="18">
        <f t="shared" si="33"/>
        <v>5.8130103372257329</v>
      </c>
      <c r="V82" s="18">
        <f t="shared" si="33"/>
        <v>5.9206939506227192</v>
      </c>
      <c r="W82" s="18">
        <f t="shared" si="33"/>
        <v>5.8471310464569211</v>
      </c>
      <c r="X82" s="18">
        <f t="shared" si="33"/>
        <v>5.7990505664033947</v>
      </c>
      <c r="Y82" s="18">
        <f t="shared" si="33"/>
        <v>5.8512442936578388</v>
      </c>
      <c r="Z82" s="18">
        <f t="shared" si="33"/>
        <v>5.9180754890246368</v>
      </c>
      <c r="AA82" s="18">
        <f t="shared" si="33"/>
        <v>5.827330155627175</v>
      </c>
    </row>
    <row r="83" spans="2:27" x14ac:dyDescent="0.25">
      <c r="B83" s="111" t="s">
        <v>132</v>
      </c>
      <c r="C83" s="18"/>
      <c r="D83" s="18"/>
      <c r="E83" s="18"/>
      <c r="F83" s="18"/>
      <c r="G83" s="18"/>
      <c r="H83" s="18"/>
      <c r="I83" s="18"/>
      <c r="J83" s="18"/>
      <c r="K83" s="18"/>
      <c r="L83" s="18"/>
      <c r="M83" s="18"/>
      <c r="N83" s="18"/>
      <c r="O83" s="18"/>
      <c r="P83" s="18"/>
      <c r="Q83" s="18"/>
      <c r="R83" s="18"/>
      <c r="S83" s="18"/>
      <c r="T83" s="18"/>
      <c r="U83" s="18"/>
      <c r="V83" s="18"/>
      <c r="W83" s="18"/>
      <c r="X83" s="18"/>
      <c r="Y83" s="18"/>
      <c r="Z83" s="18"/>
      <c r="AA83" s="18"/>
    </row>
    <row r="84" spans="2:27" x14ac:dyDescent="0.25">
      <c r="B84" s="231" t="s">
        <v>128</v>
      </c>
      <c r="C84" s="232">
        <f t="shared" ref="C84:AA84" si="34">System_Size*C$81*Fraction_of_Credits*C$82*C$50*C$67</f>
        <v>0</v>
      </c>
      <c r="D84" s="232">
        <f t="shared" si="34"/>
        <v>0</v>
      </c>
      <c r="E84" s="232">
        <f t="shared" si="34"/>
        <v>0</v>
      </c>
      <c r="F84" s="232">
        <f t="shared" si="34"/>
        <v>0</v>
      </c>
      <c r="G84" s="232">
        <f t="shared" si="34"/>
        <v>25383.930038170965</v>
      </c>
      <c r="H84" s="232">
        <f t="shared" si="34"/>
        <v>26614.133045155559</v>
      </c>
      <c r="I84" s="232">
        <f t="shared" si="34"/>
        <v>27825.174669195247</v>
      </c>
      <c r="J84" s="232">
        <f t="shared" si="34"/>
        <v>25466.641991856894</v>
      </c>
      <c r="K84" s="232">
        <f t="shared" si="34"/>
        <v>24845.561113740951</v>
      </c>
      <c r="L84" s="232">
        <f t="shared" si="34"/>
        <v>26463.28848687861</v>
      </c>
      <c r="M84" s="232">
        <f t="shared" si="34"/>
        <v>27852.666822620769</v>
      </c>
      <c r="N84" s="232">
        <f t="shared" si="34"/>
        <v>28299.97758970709</v>
      </c>
      <c r="O84" s="232">
        <f t="shared" si="34"/>
        <v>24292.703352906938</v>
      </c>
      <c r="P84" s="232">
        <f t="shared" si="34"/>
        <v>26184.635656126196</v>
      </c>
      <c r="Q84" s="232">
        <f t="shared" si="34"/>
        <v>28119.023737767529</v>
      </c>
      <c r="R84" s="232">
        <f t="shared" si="34"/>
        <v>29706.39477882623</v>
      </c>
      <c r="S84" s="232">
        <f t="shared" si="34"/>
        <v>31451.135915975916</v>
      </c>
      <c r="T84" s="232">
        <f t="shared" si="34"/>
        <v>32220.673695786991</v>
      </c>
      <c r="U84" s="232">
        <f t="shared" si="34"/>
        <v>31890.014372221129</v>
      </c>
      <c r="V84" s="232">
        <f t="shared" si="34"/>
        <v>33109.855419744046</v>
      </c>
      <c r="W84" s="232">
        <f t="shared" si="34"/>
        <v>33330.766029031874</v>
      </c>
      <c r="X84" s="232">
        <f t="shared" si="34"/>
        <v>33694.867630561312</v>
      </c>
      <c r="Y84" s="232">
        <f t="shared" si="34"/>
        <v>34653.40595152905</v>
      </c>
      <c r="Z84" s="232">
        <f t="shared" si="34"/>
        <v>35723.608861802975</v>
      </c>
      <c r="AA84" s="232">
        <f t="shared" si="34"/>
        <v>35851.531807446787</v>
      </c>
    </row>
    <row r="85" spans="2:27" x14ac:dyDescent="0.25">
      <c r="B85" s="233" t="str">
        <f>"Real "&amp;TEXT(Cash_Flow_Base_Year,"0000")&amp;" $"</f>
        <v>Real 2025 $</v>
      </c>
      <c r="C85" s="232">
        <f t="shared" ref="C85:AA85" si="35">C$84*C$47</f>
        <v>0</v>
      </c>
      <c r="D85" s="232">
        <f t="shared" si="35"/>
        <v>0</v>
      </c>
      <c r="E85" s="232">
        <f t="shared" si="35"/>
        <v>0</v>
      </c>
      <c r="F85" s="232">
        <f t="shared" si="35"/>
        <v>0</v>
      </c>
      <c r="G85" s="232">
        <f t="shared" si="35"/>
        <v>24764.809793337528</v>
      </c>
      <c r="H85" s="232">
        <f t="shared" si="35"/>
        <v>25331.714974568051</v>
      </c>
      <c r="I85" s="232">
        <f t="shared" si="35"/>
        <v>25838.440806553823</v>
      </c>
      <c r="J85" s="232">
        <f t="shared" si="35"/>
        <v>23071.520733407273</v>
      </c>
      <c r="K85" s="232">
        <f t="shared" si="35"/>
        <v>21959.855718444229</v>
      </c>
      <c r="L85" s="232">
        <f t="shared" si="35"/>
        <v>22819.210725244127</v>
      </c>
      <c r="M85" s="232">
        <f t="shared" si="35"/>
        <v>23431.480302232208</v>
      </c>
      <c r="N85" s="232">
        <f t="shared" si="35"/>
        <v>23227.109560839443</v>
      </c>
      <c r="O85" s="232">
        <f t="shared" si="35"/>
        <v>19451.856558710315</v>
      </c>
      <c r="P85" s="232">
        <f t="shared" si="35"/>
        <v>20455.395524336269</v>
      </c>
      <c r="Q85" s="232">
        <f t="shared" si="35"/>
        <v>21430.767221494414</v>
      </c>
      <c r="R85" s="232">
        <f t="shared" si="35"/>
        <v>22088.364661275467</v>
      </c>
      <c r="S85" s="232">
        <f t="shared" si="35"/>
        <v>22815.294830910985</v>
      </c>
      <c r="T85" s="232">
        <f t="shared" si="35"/>
        <v>22803.447040216051</v>
      </c>
      <c r="U85" s="232">
        <f t="shared" si="35"/>
        <v>22018.956531118922</v>
      </c>
      <c r="V85" s="232">
        <f t="shared" si="35"/>
        <v>22303.624155367692</v>
      </c>
      <c r="W85" s="232">
        <f t="shared" si="35"/>
        <v>21904.814682789241</v>
      </c>
      <c r="X85" s="232">
        <f t="shared" si="35"/>
        <v>21604.000444475441</v>
      </c>
      <c r="Y85" s="232">
        <f t="shared" si="35"/>
        <v>21676.665891392171</v>
      </c>
      <c r="Z85" s="232">
        <f t="shared" si="35"/>
        <v>21801.080462412567</v>
      </c>
      <c r="AA85" s="232">
        <f t="shared" si="35"/>
        <v>21345.510360062341</v>
      </c>
    </row>
    <row r="87" spans="2:27" x14ac:dyDescent="0.25">
      <c r="B87" s="164" t="s">
        <v>133</v>
      </c>
    </row>
    <row r="88" spans="2:27" x14ac:dyDescent="0.25">
      <c r="B88" s="111" t="s">
        <v>125</v>
      </c>
      <c r="C88" s="226">
        <f>Fraction_of_Credits</f>
        <v>0.92500000000000004</v>
      </c>
    </row>
    <row r="89" spans="2:27" x14ac:dyDescent="0.25">
      <c r="B89" s="111" t="s">
        <v>111</v>
      </c>
      <c r="C89" s="225">
        <f>System_Size</f>
        <v>4500</v>
      </c>
    </row>
    <row r="90" spans="2:27" x14ac:dyDescent="0.25">
      <c r="B90" s="111" t="s">
        <v>134</v>
      </c>
      <c r="C90" s="236" t="str">
        <f>VDER_Utility_Name</f>
        <v>National Grid</v>
      </c>
    </row>
    <row r="91" spans="2:27" x14ac:dyDescent="0.25">
      <c r="B91" s="111" t="s">
        <v>135</v>
      </c>
      <c r="C91" s="19">
        <f>DRV_Rate</f>
        <v>0.21</v>
      </c>
    </row>
    <row r="92" spans="2:27" x14ac:dyDescent="0.25">
      <c r="B92" s="111" t="s">
        <v>136</v>
      </c>
      <c r="C92" s="177">
        <f>DRV_Renewal_Rate</f>
        <v>0.5</v>
      </c>
    </row>
    <row r="93" spans="2:27" x14ac:dyDescent="0.25">
      <c r="B93" s="111" t="s">
        <v>137</v>
      </c>
      <c r="C93" s="17">
        <f>C$3</f>
        <v>1</v>
      </c>
      <c r="D93" s="17">
        <f t="shared" ref="D93:AA93" si="36">D$3</f>
        <v>2</v>
      </c>
      <c r="E93" s="17">
        <f t="shared" si="36"/>
        <v>3</v>
      </c>
      <c r="F93" s="17">
        <f t="shared" si="36"/>
        <v>4</v>
      </c>
      <c r="G93" s="17">
        <f t="shared" si="36"/>
        <v>5</v>
      </c>
      <c r="H93" s="17">
        <f t="shared" si="36"/>
        <v>6</v>
      </c>
      <c r="I93" s="17">
        <f t="shared" si="36"/>
        <v>7</v>
      </c>
      <c r="J93" s="17">
        <f t="shared" si="36"/>
        <v>8</v>
      </c>
      <c r="K93" s="17">
        <f t="shared" si="36"/>
        <v>9</v>
      </c>
      <c r="L93" s="17">
        <f t="shared" si="36"/>
        <v>10</v>
      </c>
      <c r="M93" s="17">
        <f t="shared" si="36"/>
        <v>11</v>
      </c>
      <c r="N93" s="17">
        <f t="shared" si="36"/>
        <v>12</v>
      </c>
      <c r="O93" s="17">
        <f t="shared" si="36"/>
        <v>13</v>
      </c>
      <c r="P93" s="17">
        <f t="shared" si="36"/>
        <v>14</v>
      </c>
      <c r="Q93" s="17">
        <f t="shared" si="36"/>
        <v>15</v>
      </c>
      <c r="R93" s="17">
        <f t="shared" si="36"/>
        <v>16</v>
      </c>
      <c r="S93" s="17">
        <f t="shared" si="36"/>
        <v>17</v>
      </c>
      <c r="T93" s="17">
        <f t="shared" si="36"/>
        <v>18</v>
      </c>
      <c r="U93" s="17">
        <f t="shared" si="36"/>
        <v>19</v>
      </c>
      <c r="V93" s="17">
        <f t="shared" si="36"/>
        <v>20</v>
      </c>
      <c r="W93" s="17">
        <f t="shared" si="36"/>
        <v>21</v>
      </c>
      <c r="X93" s="17">
        <f t="shared" si="36"/>
        <v>22</v>
      </c>
      <c r="Y93" s="17">
        <f t="shared" si="36"/>
        <v>23</v>
      </c>
      <c r="Z93" s="17">
        <f t="shared" si="36"/>
        <v>24</v>
      </c>
      <c r="AA93" s="17">
        <f t="shared" si="36"/>
        <v>25</v>
      </c>
    </row>
    <row r="94" spans="2:27" x14ac:dyDescent="0.25">
      <c r="B94" s="111" t="s">
        <v>114</v>
      </c>
      <c r="C94" s="235">
        <f t="shared" ref="C94:AA94" si="37">1-Degradation*(C$3-1)</f>
        <v>1</v>
      </c>
      <c r="D94" s="235">
        <f t="shared" si="37"/>
        <v>0.995</v>
      </c>
      <c r="E94" s="235">
        <f t="shared" si="37"/>
        <v>0.99</v>
      </c>
      <c r="F94" s="235">
        <f t="shared" si="37"/>
        <v>0.98499999999999999</v>
      </c>
      <c r="G94" s="235">
        <f t="shared" si="37"/>
        <v>0.98</v>
      </c>
      <c r="H94" s="235">
        <f t="shared" si="37"/>
        <v>0.97499999999999998</v>
      </c>
      <c r="I94" s="235">
        <f t="shared" si="37"/>
        <v>0.97</v>
      </c>
      <c r="J94" s="235">
        <f t="shared" si="37"/>
        <v>0.96499999999999997</v>
      </c>
      <c r="K94" s="235">
        <f t="shared" si="37"/>
        <v>0.96</v>
      </c>
      <c r="L94" s="235">
        <f t="shared" si="37"/>
        <v>0.95499999999999996</v>
      </c>
      <c r="M94" s="235">
        <f t="shared" si="37"/>
        <v>0.95</v>
      </c>
      <c r="N94" s="235">
        <f t="shared" si="37"/>
        <v>0.94499999999999995</v>
      </c>
      <c r="O94" s="235">
        <f t="shared" si="37"/>
        <v>0.94</v>
      </c>
      <c r="P94" s="235">
        <f t="shared" si="37"/>
        <v>0.93500000000000005</v>
      </c>
      <c r="Q94" s="235">
        <f t="shared" si="37"/>
        <v>0.92999999999999994</v>
      </c>
      <c r="R94" s="235">
        <f t="shared" si="37"/>
        <v>0.92500000000000004</v>
      </c>
      <c r="S94" s="235">
        <f t="shared" si="37"/>
        <v>0.92</v>
      </c>
      <c r="T94" s="235">
        <f t="shared" si="37"/>
        <v>0.91500000000000004</v>
      </c>
      <c r="U94" s="235">
        <f t="shared" si="37"/>
        <v>0.91</v>
      </c>
      <c r="V94" s="235">
        <f t="shared" si="37"/>
        <v>0.90500000000000003</v>
      </c>
      <c r="W94" s="235">
        <f t="shared" si="37"/>
        <v>0.9</v>
      </c>
      <c r="X94" s="235">
        <f t="shared" si="37"/>
        <v>0.89500000000000002</v>
      </c>
      <c r="Y94" s="235">
        <f t="shared" si="37"/>
        <v>0.89</v>
      </c>
      <c r="Z94" s="235">
        <f t="shared" si="37"/>
        <v>0.88500000000000001</v>
      </c>
      <c r="AA94" s="235">
        <f t="shared" si="37"/>
        <v>0.88</v>
      </c>
    </row>
    <row r="95" spans="2:27" x14ac:dyDescent="0.25">
      <c r="B95" s="111" t="s">
        <v>138</v>
      </c>
      <c r="C95" s="17">
        <f>IF(ValGroup&lt;&gt;8,IF(C$3&lt;=System_Age,0,IF(C$2&lt;'2026_Forecasts'!$F$126,0,VLOOKUP(IF(LEFT(VDER_Utility_Name,5)="ConEd",VDER_Utility_Name,"Default")&amp;" - "&amp;Plant_Type&amp;" - "&amp;NYISO_Zone,DRV_Factors,MATCH(C$2,Forecast_Energy_Header,0),FALSE))),0)</f>
        <v>0</v>
      </c>
      <c r="D95" s="17">
        <f>IF(ValGroup&lt;&gt;8,IF(D$3&lt;=System_Age,0,IF(D$2&lt;'2026_Forecasts'!$F$126,0,VLOOKUP(IF(LEFT(VDER_Utility_Name,5)="ConEd",VDER_Utility_Name,"Default")&amp;" - "&amp;Plant_Type&amp;" - "&amp;NYISO_Zone,DRV_Factors,MATCH(D$2,Forecast_Energy_Header,0),FALSE))),0)</f>
        <v>0</v>
      </c>
      <c r="E95" s="17">
        <f>IF(ValGroup&lt;&gt;8,IF(E$3&lt;=System_Age,0,IF(E$2&lt;'2026_Forecasts'!$F$126,0,VLOOKUP(IF(LEFT(VDER_Utility_Name,5)="ConEd",VDER_Utility_Name,"Default")&amp;" - "&amp;Plant_Type&amp;" - "&amp;NYISO_Zone,DRV_Factors,MATCH(E$2,Forecast_Energy_Header,0),FALSE))),0)</f>
        <v>0</v>
      </c>
      <c r="F95" s="17">
        <f>IF(ValGroup&lt;&gt;8,IF(F$3&lt;=System_Age,0,IF(F$2&lt;'2026_Forecasts'!$F$126,0,VLOOKUP(IF(LEFT(VDER_Utility_Name,5)="ConEd",VDER_Utility_Name,"Default")&amp;" - "&amp;Plant_Type&amp;" - "&amp;NYISO_Zone,DRV_Factors,MATCH(F$2,Forecast_Energy_Header,0),FALSE))),0)</f>
        <v>0</v>
      </c>
      <c r="G95" s="17">
        <f>IF(ValGroup&lt;&gt;8,IF(G$3&lt;=System_Age,0,IF(G$2&lt;'2026_Forecasts'!$F$126,0,VLOOKUP(IF(LEFT(VDER_Utility_Name,5)="ConEd",VDER_Utility_Name,"Default")&amp;" - "&amp;Plant_Type&amp;" - "&amp;NYISO_Zone,DRV_Factors,MATCH(G$2,Forecast_Energy_Header,0),FALSE))),0)</f>
        <v>160.60230584862012</v>
      </c>
      <c r="H95" s="17">
        <f>IF(ValGroup&lt;&gt;8,IF(H$3&lt;=System_Age,0,IF(H$2&lt;'2026_Forecasts'!$F$126,0,VLOOKUP(IF(LEFT(VDER_Utility_Name,5)="ConEd",VDER_Utility_Name,"Default")&amp;" - "&amp;Plant_Type&amp;" - "&amp;NYISO_Zone,DRV_Factors,MATCH(H$2,Forecast_Energy_Header,0),FALSE))),0)</f>
        <v>160.15633113684015</v>
      </c>
      <c r="I95" s="17">
        <f>IF(ValGroup&lt;&gt;8,IF(I$3&lt;=System_Age,0,IF(I$2&lt;'2026_Forecasts'!$F$126,0,VLOOKUP(IF(LEFT(VDER_Utility_Name,5)="ConEd",VDER_Utility_Name,"Default")&amp;" - "&amp;Plant_Type&amp;" - "&amp;NYISO_Zone,DRV_Factors,MATCH(I$2,Forecast_Energy_Header,0),FALSE))),0)</f>
        <v>156.62698748346025</v>
      </c>
      <c r="J95" s="17">
        <f>IF(ValGroup&lt;&gt;8,IF(J$3&lt;=System_Age,0,IF(J$2&lt;'2026_Forecasts'!$F$126,0,VLOOKUP(IF(LEFT(VDER_Utility_Name,5)="ConEd",VDER_Utility_Name,"Default")&amp;" - "&amp;Plant_Type&amp;" - "&amp;NYISO_Zone,DRV_Factors,MATCH(J$2,Forecast_Energy_Header,0),FALSE))),0)</f>
        <v>157.6514639691602</v>
      </c>
      <c r="K95" s="17">
        <f>IF(ValGroup&lt;&gt;8,IF(K$3&lt;=System_Age,0,IF(K$2&lt;'2026_Forecasts'!$F$126,0,VLOOKUP(IF(LEFT(VDER_Utility_Name,5)="ConEd",VDER_Utility_Name,"Default")&amp;" - "&amp;Plant_Type&amp;" - "&amp;NYISO_Zone,DRV_Factors,MATCH(K$2,Forecast_Energy_Header,0),FALSE))),0)</f>
        <v>158.09743868094014</v>
      </c>
      <c r="L95" s="17">
        <f>IF(ValGroup&lt;&gt;8,IF(L$3&lt;=System_Age,0,IF(L$2&lt;'2026_Forecasts'!$F$126,0,VLOOKUP(IF(LEFT(VDER_Utility_Name,5)="ConEd",VDER_Utility_Name,"Default")&amp;" - "&amp;Plant_Type&amp;" - "&amp;NYISO_Zone,DRV_Factors,MATCH(L$2,Forecast_Energy_Header,0),FALSE))),0)</f>
        <v>157.51893690702016</v>
      </c>
      <c r="M95" s="17">
        <f>IF(ValGroup&lt;&gt;8,IF(M$3&lt;=System_Age,0,IF(M$2&lt;'2026_Forecasts'!$F$126,0,VLOOKUP(IF(LEFT(VDER_Utility_Name,5)="ConEd",VDER_Utility_Name,"Default")&amp;" - "&amp;Plant_Type&amp;" - "&amp;NYISO_Zone,DRV_Factors,MATCH(M$2,Forecast_Energy_Header,0),FALSE))),0)</f>
        <v>160.15633113684015</v>
      </c>
      <c r="N95" s="17">
        <f>IF(ValGroup&lt;&gt;8,IF(N$3&lt;=System_Age,0,IF(N$2&lt;'2026_Forecasts'!$F$126,0,VLOOKUP(IF(LEFT(VDER_Utility_Name,5)="ConEd",VDER_Utility_Name,"Default")&amp;" - "&amp;Plant_Type&amp;" - "&amp;NYISO_Zone,DRV_Factors,MATCH(N$2,Forecast_Energy_Header,0),FALSE))),0)</f>
        <v>156.62698748346025</v>
      </c>
      <c r="O95" s="17">
        <f>IF(ValGroup&lt;&gt;8,IF(O$3&lt;=System_Age,0,IF(O$2&lt;'2026_Forecasts'!$F$126,0,VLOOKUP(IF(LEFT(VDER_Utility_Name,5)="ConEd",VDER_Utility_Name,"Default")&amp;" - "&amp;Plant_Type&amp;" - "&amp;NYISO_Zone,DRV_Factors,MATCH(O$2,Forecast_Energy_Header,0),FALSE))),0)</f>
        <v>156.62698748346025</v>
      </c>
      <c r="P95" s="17">
        <f>IF(ValGroup&lt;&gt;8,IF(P$3&lt;=System_Age,0,IF(P$2&lt;'2026_Forecasts'!$F$126,0,VLOOKUP(IF(LEFT(VDER_Utility_Name,5)="ConEd",VDER_Utility_Name,"Default")&amp;" - "&amp;Plant_Type&amp;" - "&amp;NYISO_Zone,DRV_Factors,MATCH(P$2,Forecast_Energy_Header,0),FALSE))),0)</f>
        <v>157.6514639691602</v>
      </c>
      <c r="Q95" s="17">
        <f>IF(ValGroup&lt;&gt;8,IF(Q$3&lt;=System_Age,0,IF(Q$2&lt;'2026_Forecasts'!$F$126,0,VLOOKUP(IF(LEFT(VDER_Utility_Name,5)="ConEd",VDER_Utility_Name,"Default")&amp;" - "&amp;Plant_Type&amp;" - "&amp;NYISO_Zone,DRV_Factors,MATCH(Q$2,Forecast_Energy_Header,0),FALSE))),0)</f>
        <v>157.51893690702016</v>
      </c>
      <c r="R95" s="17">
        <f>IF(ValGroup&lt;&gt;8,IF(R$3&lt;=System_Age,0,IF(R$2&lt;'2026_Forecasts'!$F$126,0,VLOOKUP(IF(LEFT(VDER_Utility_Name,5)="ConEd",VDER_Utility_Name,"Default")&amp;" - "&amp;Plant_Type&amp;" - "&amp;NYISO_Zone,DRV_Factors,MATCH(R$2,Forecast_Energy_Header,0),FALSE))),0)</f>
        <v>160.60230584862012</v>
      </c>
      <c r="S95" s="17">
        <f>IF(ValGroup&lt;&gt;8,IF(S$3&lt;=System_Age,0,IF(S$2&lt;'2026_Forecasts'!$F$126,0,VLOOKUP(IF(LEFT(VDER_Utility_Name,5)="ConEd",VDER_Utility_Name,"Default")&amp;" - "&amp;Plant_Type&amp;" - "&amp;NYISO_Zone,DRV_Factors,MATCH(S$2,Forecast_Energy_Header,0),FALSE))),0)</f>
        <v>160.15633113684015</v>
      </c>
      <c r="T95" s="17">
        <f>IF(ValGroup&lt;&gt;8,IF(T$3&lt;=System_Age,0,IF(T$2&lt;'2026_Forecasts'!$F$126,0,VLOOKUP(IF(LEFT(VDER_Utility_Name,5)="ConEd",VDER_Utility_Name,"Default")&amp;" - "&amp;Plant_Type&amp;" - "&amp;NYISO_Zone,DRV_Factors,MATCH(T$2,Forecast_Energy_Header,0),FALSE))),0)</f>
        <v>156.62698748346025</v>
      </c>
      <c r="U95" s="17">
        <f>IF(ValGroup&lt;&gt;8,IF(U$3&lt;=System_Age,0,IF(U$2&lt;'2026_Forecasts'!$F$126,0,VLOOKUP(IF(LEFT(VDER_Utility_Name,5)="ConEd",VDER_Utility_Name,"Default")&amp;" - "&amp;Plant_Type&amp;" - "&amp;NYISO_Zone,DRV_Factors,MATCH(U$2,Forecast_Energy_Header,0),FALSE))),0)</f>
        <v>157.6514639691602</v>
      </c>
      <c r="V95" s="17">
        <f>IF(ValGroup&lt;&gt;8,IF(V$3&lt;=System_Age,0,IF(V$2&lt;'2026_Forecasts'!$F$126,0,VLOOKUP(IF(LEFT(VDER_Utility_Name,5)="ConEd",VDER_Utility_Name,"Default")&amp;" - "&amp;Plant_Type&amp;" - "&amp;NYISO_Zone,DRV_Factors,MATCH(V$2,Forecast_Energy_Header,0),FALSE))),0)</f>
        <v>158.09743868094014</v>
      </c>
      <c r="W95" s="17">
        <f>IF(ValGroup&lt;&gt;8,IF(W$3&lt;=System_Age,0,IF(W$2&lt;'2026_Forecasts'!$F$126,0,VLOOKUP(IF(LEFT(VDER_Utility_Name,5)="ConEd",VDER_Utility_Name,"Default")&amp;" - "&amp;Plant_Type&amp;" - "&amp;NYISO_Zone,DRV_Factors,MATCH(W$2,Forecast_Energy_Header,0),FALSE))),0)</f>
        <v>157.51893690702016</v>
      </c>
      <c r="X95" s="17">
        <f>IF(ValGroup&lt;&gt;8,IF(X$3&lt;=System_Age,0,IF(X$2&lt;'2026_Forecasts'!$F$126,0,VLOOKUP(IF(LEFT(VDER_Utility_Name,5)="ConEd",VDER_Utility_Name,"Default")&amp;" - "&amp;Plant_Type&amp;" - "&amp;NYISO_Zone,DRV_Factors,MATCH(X$2,Forecast_Energy_Header,0),FALSE))),0)</f>
        <v>160.60230584862012</v>
      </c>
      <c r="Y95" s="17">
        <f>IF(ValGroup&lt;&gt;8,IF(Y$3&lt;=System_Age,0,IF(Y$2&lt;'2026_Forecasts'!$F$126,0,VLOOKUP(IF(LEFT(VDER_Utility_Name,5)="ConEd",VDER_Utility_Name,"Default")&amp;" - "&amp;Plant_Type&amp;" - "&amp;NYISO_Zone,DRV_Factors,MATCH(Y$2,Forecast_Energy_Header,0),FALSE))),0)</f>
        <v>156.62698748346025</v>
      </c>
      <c r="Z95" s="17">
        <f>IF(ValGroup&lt;&gt;8,IF(Z$3&lt;=System_Age,0,IF(Z$2&lt;'2026_Forecasts'!$F$126,0,VLOOKUP(IF(LEFT(VDER_Utility_Name,5)="ConEd",VDER_Utility_Name,"Default")&amp;" - "&amp;Plant_Type&amp;" - "&amp;NYISO_Zone,DRV_Factors,MATCH(Z$2,Forecast_Energy_Header,0),FALSE))),0)</f>
        <v>156.62698748346025</v>
      </c>
      <c r="AA95" s="17">
        <f>IF(ValGroup&lt;&gt;8,IF(AA$3&lt;=System_Age,0,IF(AA$2&lt;'2026_Forecasts'!$F$126,0,VLOOKUP(IF(LEFT(VDER_Utility_Name,5)="ConEd",VDER_Utility_Name,"Default")&amp;" - "&amp;Plant_Type&amp;" - "&amp;NYISO_Zone,DRV_Factors,MATCH(AA$2,Forecast_Energy_Header,0),FALSE))),0)</f>
        <v>157.6514639691602</v>
      </c>
    </row>
    <row r="96" spans="2:27" x14ac:dyDescent="0.25">
      <c r="B96" s="111" t="s">
        <v>139</v>
      </c>
      <c r="C96" s="235">
        <f t="shared" ref="C96:AA96" si="38">IF(C$2&lt;DRV_Ref_Year,0,DRV_Rate*IF(C$3&gt;10,DRV_Renewal_Rate,1))</f>
        <v>0</v>
      </c>
      <c r="D96" s="235">
        <f t="shared" si="38"/>
        <v>0</v>
      </c>
      <c r="E96" s="235">
        <f t="shared" si="38"/>
        <v>0</v>
      </c>
      <c r="F96" s="235">
        <f t="shared" si="38"/>
        <v>0.21</v>
      </c>
      <c r="G96" s="235">
        <f t="shared" si="38"/>
        <v>0.21</v>
      </c>
      <c r="H96" s="235">
        <f t="shared" si="38"/>
        <v>0.21</v>
      </c>
      <c r="I96" s="235">
        <f t="shared" si="38"/>
        <v>0.21</v>
      </c>
      <c r="J96" s="235">
        <f t="shared" si="38"/>
        <v>0.21</v>
      </c>
      <c r="K96" s="235">
        <f t="shared" si="38"/>
        <v>0.21</v>
      </c>
      <c r="L96" s="235">
        <f t="shared" si="38"/>
        <v>0.21</v>
      </c>
      <c r="M96" s="235">
        <f t="shared" si="38"/>
        <v>0.105</v>
      </c>
      <c r="N96" s="235">
        <f t="shared" si="38"/>
        <v>0.105</v>
      </c>
      <c r="O96" s="235">
        <f t="shared" si="38"/>
        <v>0.105</v>
      </c>
      <c r="P96" s="235">
        <f t="shared" si="38"/>
        <v>0.105</v>
      </c>
      <c r="Q96" s="235">
        <f t="shared" si="38"/>
        <v>0.105</v>
      </c>
      <c r="R96" s="235">
        <f t="shared" si="38"/>
        <v>0.105</v>
      </c>
      <c r="S96" s="235">
        <f t="shared" si="38"/>
        <v>0.105</v>
      </c>
      <c r="T96" s="235">
        <f t="shared" si="38"/>
        <v>0.105</v>
      </c>
      <c r="U96" s="235">
        <f t="shared" si="38"/>
        <v>0.105</v>
      </c>
      <c r="V96" s="235">
        <f t="shared" si="38"/>
        <v>0.105</v>
      </c>
      <c r="W96" s="235">
        <f t="shared" si="38"/>
        <v>0.105</v>
      </c>
      <c r="X96" s="235">
        <f t="shared" si="38"/>
        <v>0.105</v>
      </c>
      <c r="Y96" s="235">
        <f t="shared" si="38"/>
        <v>0.105</v>
      </c>
      <c r="Z96" s="235">
        <f t="shared" si="38"/>
        <v>0.105</v>
      </c>
      <c r="AA96" s="235">
        <f t="shared" si="38"/>
        <v>0.105</v>
      </c>
    </row>
    <row r="97" spans="2:27" x14ac:dyDescent="0.25">
      <c r="B97" s="111" t="s">
        <v>140</v>
      </c>
      <c r="C97" s="235"/>
      <c r="D97" s="235"/>
      <c r="E97" s="235"/>
      <c r="F97" s="235"/>
      <c r="G97" s="235"/>
      <c r="H97" s="235"/>
      <c r="I97" s="235"/>
      <c r="J97" s="235"/>
      <c r="K97" s="235"/>
      <c r="L97" s="235"/>
      <c r="M97" s="235"/>
      <c r="N97" s="235"/>
      <c r="O97" s="235"/>
      <c r="P97" s="235"/>
      <c r="Q97" s="235"/>
      <c r="R97" s="235"/>
      <c r="S97" s="235"/>
      <c r="T97" s="235"/>
      <c r="U97" s="235"/>
      <c r="V97" s="235"/>
      <c r="W97" s="235"/>
      <c r="X97" s="235"/>
      <c r="Y97" s="235"/>
      <c r="Z97" s="235"/>
      <c r="AA97" s="235"/>
    </row>
    <row r="98" spans="2:27" x14ac:dyDescent="0.25">
      <c r="B98" s="231" t="s">
        <v>128</v>
      </c>
      <c r="C98" s="232">
        <f t="shared" ref="C98:AA98" si="39">System_Size*Fraction_of_Credits*C$94*C$95*C$96*C$68</f>
        <v>0</v>
      </c>
      <c r="D98" s="232">
        <f t="shared" si="39"/>
        <v>0</v>
      </c>
      <c r="E98" s="232">
        <f t="shared" si="39"/>
        <v>0</v>
      </c>
      <c r="F98" s="232">
        <f t="shared" si="39"/>
        <v>0</v>
      </c>
      <c r="G98" s="232">
        <f t="shared" si="39"/>
        <v>137578.76078792656</v>
      </c>
      <c r="H98" s="232">
        <f t="shared" si="39"/>
        <v>136496.73663111564</v>
      </c>
      <c r="I98" s="232">
        <f t="shared" si="39"/>
        <v>132804.2184709603</v>
      </c>
      <c r="J98" s="232">
        <f t="shared" si="39"/>
        <v>132983.83793407067</v>
      </c>
      <c r="K98" s="232">
        <f t="shared" si="39"/>
        <v>132669.04664349771</v>
      </c>
      <c r="L98" s="232">
        <f t="shared" si="39"/>
        <v>131495.13489127581</v>
      </c>
      <c r="M98" s="232">
        <f t="shared" si="39"/>
        <v>66498.41015362044</v>
      </c>
      <c r="N98" s="232">
        <f t="shared" si="39"/>
        <v>64690.71466755541</v>
      </c>
      <c r="O98" s="232">
        <f t="shared" si="39"/>
        <v>64348.435753970451</v>
      </c>
      <c r="P98" s="232">
        <f t="shared" si="39"/>
        <v>64424.812677904709</v>
      </c>
      <c r="Q98" s="232">
        <f t="shared" si="39"/>
        <v>64026.426936589778</v>
      </c>
      <c r="R98" s="232">
        <f t="shared" si="39"/>
        <v>64928.751902465337</v>
      </c>
      <c r="S98" s="232">
        <f t="shared" si="39"/>
        <v>64398.460359295583</v>
      </c>
      <c r="T98" s="232">
        <f t="shared" si="39"/>
        <v>62637.04118604571</v>
      </c>
      <c r="U98" s="232">
        <f t="shared" si="39"/>
        <v>62702.224103629182</v>
      </c>
      <c r="V98" s="232">
        <f t="shared" si="39"/>
        <v>62534.107923106996</v>
      </c>
      <c r="W98" s="232">
        <f t="shared" si="39"/>
        <v>61961.058325732047</v>
      </c>
      <c r="X98" s="232">
        <f t="shared" si="39"/>
        <v>62822.954543466461</v>
      </c>
      <c r="Y98" s="232">
        <f t="shared" si="39"/>
        <v>60925.646618120954</v>
      </c>
      <c r="Z98" s="232">
        <f t="shared" si="39"/>
        <v>60583.367704536009</v>
      </c>
      <c r="AA98" s="232">
        <f t="shared" si="39"/>
        <v>60635.117814498546</v>
      </c>
    </row>
    <row r="99" spans="2:27" x14ac:dyDescent="0.25">
      <c r="B99" s="233" t="str">
        <f>"Real "&amp;TEXT(Cash_Flow_Base_Year,"0000")&amp;" $"</f>
        <v>Real 2025 $</v>
      </c>
      <c r="C99" s="232">
        <f t="shared" ref="C99:AA99" si="40">C$98*C$47</f>
        <v>0</v>
      </c>
      <c r="D99" s="232">
        <f t="shared" si="40"/>
        <v>0</v>
      </c>
      <c r="E99" s="232">
        <f t="shared" si="40"/>
        <v>0</v>
      </c>
      <c r="F99" s="232">
        <f t="shared" si="40"/>
        <v>0</v>
      </c>
      <c r="G99" s="232">
        <f t="shared" si="40"/>
        <v>134223.18125651372</v>
      </c>
      <c r="H99" s="232">
        <f t="shared" si="40"/>
        <v>129919.55895882512</v>
      </c>
      <c r="I99" s="232">
        <f t="shared" si="40"/>
        <v>123321.91903979136</v>
      </c>
      <c r="J99" s="232">
        <f t="shared" si="40"/>
        <v>120476.79372431745</v>
      </c>
      <c r="K99" s="232">
        <f t="shared" si="40"/>
        <v>117260.10570892246</v>
      </c>
      <c r="L99" s="232">
        <f t="shared" si="40"/>
        <v>113387.84270580093</v>
      </c>
      <c r="M99" s="232">
        <f t="shared" si="40"/>
        <v>55942.800650559126</v>
      </c>
      <c r="N99" s="232">
        <f t="shared" si="40"/>
        <v>53094.682226844285</v>
      </c>
      <c r="O99" s="232">
        <f t="shared" si="40"/>
        <v>51525.617543666158</v>
      </c>
      <c r="P99" s="232">
        <f t="shared" si="40"/>
        <v>50328.560695458516</v>
      </c>
      <c r="Q99" s="232">
        <f t="shared" si="40"/>
        <v>48797.407210802907</v>
      </c>
      <c r="R99" s="232">
        <f t="shared" si="40"/>
        <v>48278.155585724868</v>
      </c>
      <c r="S99" s="232">
        <f t="shared" si="40"/>
        <v>46715.955305376818</v>
      </c>
      <c r="T99" s="232">
        <f t="shared" si="40"/>
        <v>44329.937509301286</v>
      </c>
      <c r="U99" s="232">
        <f t="shared" si="40"/>
        <v>43293.726080755201</v>
      </c>
      <c r="V99" s="232">
        <f t="shared" si="40"/>
        <v>42124.53429127542</v>
      </c>
      <c r="W99" s="232">
        <f t="shared" si="40"/>
        <v>40720.501262781167</v>
      </c>
      <c r="X99" s="232">
        <f t="shared" si="40"/>
        <v>40279.936777353658</v>
      </c>
      <c r="Y99" s="232">
        <f t="shared" si="40"/>
        <v>38110.680601072694</v>
      </c>
      <c r="Z99" s="232">
        <f t="shared" si="40"/>
        <v>36972.2689306104</v>
      </c>
      <c r="AA99" s="232">
        <f t="shared" si="40"/>
        <v>36101.317579522234</v>
      </c>
    </row>
    <row r="101" spans="2:27" x14ac:dyDescent="0.25">
      <c r="B101" s="164" t="s">
        <v>141</v>
      </c>
    </row>
    <row r="102" spans="2:27" x14ac:dyDescent="0.25">
      <c r="B102" s="111" t="s">
        <v>125</v>
      </c>
      <c r="C102" s="226">
        <f>Fraction_of_Credits</f>
        <v>0.92500000000000004</v>
      </c>
    </row>
    <row r="103" spans="2:27" x14ac:dyDescent="0.25">
      <c r="B103" s="111" t="s">
        <v>142</v>
      </c>
      <c r="C103" s="111">
        <f>System_Age</f>
        <v>4</v>
      </c>
    </row>
    <row r="104" spans="2:27" x14ac:dyDescent="0.25">
      <c r="B104" s="111" t="s">
        <v>143</v>
      </c>
      <c r="C104" s="19">
        <f>CC_MTC</f>
        <v>2.8199999999999999E-2</v>
      </c>
    </row>
    <row r="105" spans="2:27" x14ac:dyDescent="0.25">
      <c r="B105" s="111" t="s">
        <v>144</v>
      </c>
      <c r="C105" s="225">
        <v>25</v>
      </c>
    </row>
    <row r="106" spans="2:27" x14ac:dyDescent="0.25">
      <c r="B106" s="111" t="s">
        <v>145</v>
      </c>
    </row>
    <row r="107" spans="2:27" x14ac:dyDescent="0.25">
      <c r="B107" s="233" t="s">
        <v>128</v>
      </c>
      <c r="C107" s="232">
        <f t="shared" ref="C107:AA107" si="41">IF(OR(C$3&lt;=System_Age,C$3&gt;$C$105),0,C$58*Fraction_of_Credits*CC_MTC)</f>
        <v>0</v>
      </c>
      <c r="D107" s="232">
        <f t="shared" si="41"/>
        <v>0</v>
      </c>
      <c r="E107" s="232">
        <f t="shared" si="41"/>
        <v>0</v>
      </c>
      <c r="F107" s="232">
        <f t="shared" si="41"/>
        <v>0</v>
      </c>
      <c r="G107" s="232">
        <f t="shared" si="41"/>
        <v>211143.95969454487</v>
      </c>
      <c r="H107" s="232">
        <f t="shared" si="41"/>
        <v>210066.69459406252</v>
      </c>
      <c r="I107" s="232">
        <f t="shared" si="41"/>
        <v>209562.00327301462</v>
      </c>
      <c r="J107" s="232">
        <f t="shared" si="41"/>
        <v>207912.16439309777</v>
      </c>
      <c r="K107" s="232">
        <f t="shared" si="41"/>
        <v>206834.89929261539</v>
      </c>
      <c r="L107" s="232">
        <f t="shared" si="41"/>
        <v>205757.63419213303</v>
      </c>
      <c r="M107" s="232">
        <f t="shared" si="41"/>
        <v>205241.13722614833</v>
      </c>
      <c r="N107" s="232">
        <f t="shared" si="41"/>
        <v>203603.10399116829</v>
      </c>
      <c r="O107" s="232">
        <f t="shared" si="41"/>
        <v>202525.8388906859</v>
      </c>
      <c r="P107" s="232">
        <f t="shared" si="41"/>
        <v>201448.57379020358</v>
      </c>
      <c r="Q107" s="232">
        <f t="shared" si="41"/>
        <v>200920.27117928205</v>
      </c>
      <c r="R107" s="232">
        <f t="shared" si="41"/>
        <v>199294.0435892388</v>
      </c>
      <c r="S107" s="232">
        <f t="shared" si="41"/>
        <v>198216.77848875642</v>
      </c>
      <c r="T107" s="232">
        <f t="shared" si="41"/>
        <v>197139.51338827406</v>
      </c>
      <c r="U107" s="232">
        <f t="shared" si="41"/>
        <v>196599.40513241579</v>
      </c>
      <c r="V107" s="232">
        <f t="shared" si="41"/>
        <v>194984.98318730932</v>
      </c>
      <c r="W107" s="232">
        <f t="shared" si="41"/>
        <v>193907.71808682694</v>
      </c>
      <c r="X107" s="232">
        <f t="shared" si="41"/>
        <v>192830.45298634458</v>
      </c>
      <c r="Y107" s="232">
        <f t="shared" si="41"/>
        <v>192278.53908554951</v>
      </c>
      <c r="Z107" s="232">
        <f t="shared" si="41"/>
        <v>190675.92278537981</v>
      </c>
      <c r="AA107" s="232">
        <f t="shared" si="41"/>
        <v>189598.65768489745</v>
      </c>
    </row>
    <row r="108" spans="2:27" x14ac:dyDescent="0.25">
      <c r="B108" s="233" t="str">
        <f>"Real "&amp;TEXT(Cash_Flow_Base_Year,"0000")&amp;" $"</f>
        <v>Real 2025 $</v>
      </c>
      <c r="C108" s="232">
        <f t="shared" ref="C108:AA108" si="42">C$107*C$47</f>
        <v>0</v>
      </c>
      <c r="D108" s="232">
        <f t="shared" si="42"/>
        <v>0</v>
      </c>
      <c r="E108" s="232">
        <f t="shared" si="42"/>
        <v>0</v>
      </c>
      <c r="F108" s="232">
        <f t="shared" si="42"/>
        <v>0</v>
      </c>
      <c r="G108" s="232">
        <f t="shared" si="42"/>
        <v>205994.10701906818</v>
      </c>
      <c r="H108" s="232">
        <f t="shared" si="42"/>
        <v>199944.50407525286</v>
      </c>
      <c r="I108" s="232">
        <f t="shared" si="42"/>
        <v>194599.15279048384</v>
      </c>
      <c r="J108" s="232">
        <f t="shared" si="42"/>
        <v>188358.15939363959</v>
      </c>
      <c r="K108" s="232">
        <f t="shared" si="42"/>
        <v>182811.91256706079</v>
      </c>
      <c r="L108" s="232">
        <f t="shared" si="42"/>
        <v>177424.16311132428</v>
      </c>
      <c r="M108" s="232">
        <f t="shared" si="42"/>
        <v>172662.23355734395</v>
      </c>
      <c r="N108" s="232">
        <f t="shared" si="42"/>
        <v>167106.54940765272</v>
      </c>
      <c r="O108" s="232">
        <f t="shared" si="42"/>
        <v>162168.18319080508</v>
      </c>
      <c r="P108" s="232">
        <f t="shared" si="42"/>
        <v>157371.30387483424</v>
      </c>
      <c r="Q108" s="232">
        <f t="shared" si="42"/>
        <v>153130.3363117608</v>
      </c>
      <c r="R108" s="232">
        <f t="shared" si="42"/>
        <v>148186.25896525473</v>
      </c>
      <c r="S108" s="232">
        <f t="shared" si="42"/>
        <v>143790.48991223134</v>
      </c>
      <c r="T108" s="232">
        <f t="shared" si="42"/>
        <v>139520.9949837664</v>
      </c>
      <c r="U108" s="232">
        <f t="shared" si="42"/>
        <v>135745.11773896683</v>
      </c>
      <c r="V108" s="232">
        <f t="shared" si="42"/>
        <v>131346.7463333325</v>
      </c>
      <c r="W108" s="232">
        <f t="shared" si="42"/>
        <v>127435.19385527477</v>
      </c>
      <c r="X108" s="232">
        <f t="shared" si="42"/>
        <v>123636.31273763785</v>
      </c>
      <c r="Y108" s="232">
        <f t="shared" si="42"/>
        <v>120275.55547273817</v>
      </c>
      <c r="Z108" s="232">
        <f t="shared" si="42"/>
        <v>116363.97517871126</v>
      </c>
      <c r="AA108" s="232">
        <f t="shared" si="42"/>
        <v>112884.44057573756</v>
      </c>
    </row>
    <row r="110" spans="2:27" x14ac:dyDescent="0.25">
      <c r="B110" s="164" t="s">
        <v>146</v>
      </c>
    </row>
    <row r="111" spans="2:27" x14ac:dyDescent="0.25">
      <c r="B111" s="111" t="s">
        <v>125</v>
      </c>
      <c r="C111" s="226">
        <f>Fraction_of_Credits</f>
        <v>0.92500000000000004</v>
      </c>
    </row>
    <row r="112" spans="2:27" x14ac:dyDescent="0.25">
      <c r="B112" s="111" t="s">
        <v>142</v>
      </c>
      <c r="C112" s="111">
        <f>System_Age</f>
        <v>4</v>
      </c>
    </row>
    <row r="113" spans="2:27" x14ac:dyDescent="0.25">
      <c r="B113" s="111" t="s">
        <v>147</v>
      </c>
      <c r="C113" s="232">
        <f>Community_Adder</f>
        <v>0</v>
      </c>
    </row>
    <row r="114" spans="2:27" x14ac:dyDescent="0.25">
      <c r="B114" s="111" t="s">
        <v>148</v>
      </c>
      <c r="C114" s="177">
        <v>0.5</v>
      </c>
      <c r="D114" s="177">
        <v>0.25</v>
      </c>
      <c r="E114" s="177">
        <v>0.25</v>
      </c>
      <c r="F114" s="177">
        <v>0</v>
      </c>
      <c r="G114" s="177">
        <v>0</v>
      </c>
      <c r="H114" s="177">
        <v>0</v>
      </c>
      <c r="I114" s="177">
        <v>0</v>
      </c>
      <c r="J114" s="177">
        <v>0</v>
      </c>
      <c r="K114" s="177">
        <v>0</v>
      </c>
      <c r="L114" s="177">
        <v>0</v>
      </c>
      <c r="M114" s="177">
        <v>0</v>
      </c>
      <c r="N114" s="177">
        <v>0</v>
      </c>
      <c r="O114" s="177">
        <v>0</v>
      </c>
      <c r="P114" s="177">
        <v>0</v>
      </c>
      <c r="Q114" s="177">
        <v>0</v>
      </c>
      <c r="R114" s="177">
        <v>0</v>
      </c>
      <c r="S114" s="177">
        <v>0</v>
      </c>
      <c r="T114" s="177">
        <v>0</v>
      </c>
      <c r="U114" s="177">
        <v>0</v>
      </c>
      <c r="V114" s="177">
        <v>0</v>
      </c>
      <c r="W114" s="177">
        <v>0</v>
      </c>
      <c r="X114" s="177">
        <v>0</v>
      </c>
      <c r="Y114" s="177">
        <v>0</v>
      </c>
      <c r="Z114" s="177">
        <v>0</v>
      </c>
      <c r="AA114" s="177">
        <v>0</v>
      </c>
    </row>
    <row r="115" spans="2:27" x14ac:dyDescent="0.25">
      <c r="B115" s="111" t="s">
        <v>149</v>
      </c>
    </row>
    <row r="116" spans="2:27" x14ac:dyDescent="0.25">
      <c r="B116" s="233" t="s">
        <v>128</v>
      </c>
      <c r="C116" s="232">
        <f t="shared" ref="C116:AA116" si="43">IF(C$3&lt;=System_Age,0,IF(C$3&gt;3,0,Community_Adder*C$114)*Fraction_of_Credits)</f>
        <v>0</v>
      </c>
      <c r="D116" s="232">
        <f t="shared" si="43"/>
        <v>0</v>
      </c>
      <c r="E116" s="232">
        <f t="shared" si="43"/>
        <v>0</v>
      </c>
      <c r="F116" s="232">
        <f t="shared" si="43"/>
        <v>0</v>
      </c>
      <c r="G116" s="232">
        <f t="shared" si="43"/>
        <v>0</v>
      </c>
      <c r="H116" s="232">
        <f t="shared" si="43"/>
        <v>0</v>
      </c>
      <c r="I116" s="232">
        <f t="shared" si="43"/>
        <v>0</v>
      </c>
      <c r="J116" s="232">
        <f t="shared" si="43"/>
        <v>0</v>
      </c>
      <c r="K116" s="232">
        <f t="shared" si="43"/>
        <v>0</v>
      </c>
      <c r="L116" s="232">
        <f t="shared" si="43"/>
        <v>0</v>
      </c>
      <c r="M116" s="232">
        <f t="shared" si="43"/>
        <v>0</v>
      </c>
      <c r="N116" s="232">
        <f t="shared" si="43"/>
        <v>0</v>
      </c>
      <c r="O116" s="232">
        <f t="shared" si="43"/>
        <v>0</v>
      </c>
      <c r="P116" s="232">
        <f t="shared" si="43"/>
        <v>0</v>
      </c>
      <c r="Q116" s="232">
        <f t="shared" si="43"/>
        <v>0</v>
      </c>
      <c r="R116" s="232">
        <f t="shared" si="43"/>
        <v>0</v>
      </c>
      <c r="S116" s="232">
        <f t="shared" si="43"/>
        <v>0</v>
      </c>
      <c r="T116" s="232">
        <f t="shared" si="43"/>
        <v>0</v>
      </c>
      <c r="U116" s="232">
        <f t="shared" si="43"/>
        <v>0</v>
      </c>
      <c r="V116" s="232">
        <f t="shared" si="43"/>
        <v>0</v>
      </c>
      <c r="W116" s="232">
        <f t="shared" si="43"/>
        <v>0</v>
      </c>
      <c r="X116" s="232">
        <f t="shared" si="43"/>
        <v>0</v>
      </c>
      <c r="Y116" s="232">
        <f t="shared" si="43"/>
        <v>0</v>
      </c>
      <c r="Z116" s="232">
        <f t="shared" si="43"/>
        <v>0</v>
      </c>
      <c r="AA116" s="232">
        <f t="shared" si="43"/>
        <v>0</v>
      </c>
    </row>
    <row r="117" spans="2:27" x14ac:dyDescent="0.25">
      <c r="B117" s="233" t="str">
        <f>"Real "&amp;TEXT(Cash_Flow_Base_Year,"0000")&amp;" $"</f>
        <v>Real 2025 $</v>
      </c>
      <c r="C117" s="232">
        <f t="shared" ref="C117:AA117" si="44">C$116*C$47</f>
        <v>0</v>
      </c>
      <c r="D117" s="232">
        <f t="shared" si="44"/>
        <v>0</v>
      </c>
      <c r="E117" s="232">
        <f t="shared" si="44"/>
        <v>0</v>
      </c>
      <c r="F117" s="232">
        <f t="shared" si="44"/>
        <v>0</v>
      </c>
      <c r="G117" s="232">
        <f t="shared" si="44"/>
        <v>0</v>
      </c>
      <c r="H117" s="232">
        <f t="shared" si="44"/>
        <v>0</v>
      </c>
      <c r="I117" s="232">
        <f t="shared" si="44"/>
        <v>0</v>
      </c>
      <c r="J117" s="232">
        <f t="shared" si="44"/>
        <v>0</v>
      </c>
      <c r="K117" s="232">
        <f t="shared" si="44"/>
        <v>0</v>
      </c>
      <c r="L117" s="232">
        <f t="shared" si="44"/>
        <v>0</v>
      </c>
      <c r="M117" s="232">
        <f t="shared" si="44"/>
        <v>0</v>
      </c>
      <c r="N117" s="232">
        <f t="shared" si="44"/>
        <v>0</v>
      </c>
      <c r="O117" s="232">
        <f t="shared" si="44"/>
        <v>0</v>
      </c>
      <c r="P117" s="232">
        <f t="shared" si="44"/>
        <v>0</v>
      </c>
      <c r="Q117" s="232">
        <f t="shared" si="44"/>
        <v>0</v>
      </c>
      <c r="R117" s="232">
        <f t="shared" si="44"/>
        <v>0</v>
      </c>
      <c r="S117" s="232">
        <f t="shared" si="44"/>
        <v>0</v>
      </c>
      <c r="T117" s="232">
        <f t="shared" si="44"/>
        <v>0</v>
      </c>
      <c r="U117" s="232">
        <f t="shared" si="44"/>
        <v>0</v>
      </c>
      <c r="V117" s="232">
        <f t="shared" si="44"/>
        <v>0</v>
      </c>
      <c r="W117" s="232">
        <f t="shared" si="44"/>
        <v>0</v>
      </c>
      <c r="X117" s="232">
        <f t="shared" si="44"/>
        <v>0</v>
      </c>
      <c r="Y117" s="232">
        <f t="shared" si="44"/>
        <v>0</v>
      </c>
      <c r="Z117" s="232">
        <f t="shared" si="44"/>
        <v>0</v>
      </c>
      <c r="AA117" s="232">
        <f t="shared" si="44"/>
        <v>0</v>
      </c>
    </row>
    <row r="119" spans="2:27" x14ac:dyDescent="0.25">
      <c r="B119" s="164" t="s">
        <v>150</v>
      </c>
    </row>
    <row r="120" spans="2:27" x14ac:dyDescent="0.25">
      <c r="B120" s="111" t="s">
        <v>125</v>
      </c>
      <c r="C120" s="226">
        <f>Fraction_of_Credits</f>
        <v>0.92500000000000004</v>
      </c>
    </row>
    <row r="121" spans="2:27" x14ac:dyDescent="0.25">
      <c r="B121" s="111" t="s">
        <v>151</v>
      </c>
      <c r="C121" s="226">
        <f>Residential_Share</f>
        <v>0.85</v>
      </c>
    </row>
    <row r="122" spans="2:27" x14ac:dyDescent="0.25">
      <c r="B122" s="111" t="s">
        <v>152</v>
      </c>
      <c r="C122" s="237">
        <f>IF((C$3&lt;=System_Age),0,(INDEX(Forecast_NEM_Residential,MATCH(NEM_Utility_Name,'2026_Forecasts'!$D$196:$D$203,0),MATCH(C$2,Forecast_NEM_Header,0))))</f>
        <v>0</v>
      </c>
      <c r="D122" s="237">
        <f>IF((D$3&lt;=System_Age),0,(INDEX(Forecast_NEM_Residential,MATCH(NEM_Utility_Name,'2026_Forecasts'!$D$196:$D$203,0),MATCH(D$2,Forecast_NEM_Header,0))))</f>
        <v>0</v>
      </c>
      <c r="E122" s="237">
        <f>IF((E$3&lt;=System_Age),0,(INDEX(Forecast_NEM_Residential,MATCH(NEM_Utility_Name,'2026_Forecasts'!$D$196:$D$203,0),MATCH(E$2,Forecast_NEM_Header,0))))</f>
        <v>0</v>
      </c>
      <c r="F122" s="237">
        <f>IF((F$3&lt;=System_Age),0,(INDEX(Forecast_NEM_Residential,MATCH(NEM_Utility_Name,'2026_Forecasts'!$D$196:$D$203,0),MATCH(F$2,Forecast_NEM_Header,0))))</f>
        <v>0</v>
      </c>
      <c r="G122" s="237">
        <f>IF((G$3&lt;=System_Age),0,(INDEX(Forecast_NEM_Residential,MATCH(NEM_Utility_Name,'2026_Forecasts'!$D$196:$D$203,0),MATCH(G$2,Forecast_NEM_Header,0))))</f>
        <v>0.15987910008140455</v>
      </c>
      <c r="H122" s="237">
        <f>IF((H$3&lt;=System_Age),0,(INDEX(Forecast_NEM_Residential,MATCH(NEM_Utility_Name,'2026_Forecasts'!$D$196:$D$203,0),MATCH(H$2,Forecast_NEM_Header,0))))</f>
        <v>0.15668221261119764</v>
      </c>
      <c r="I122" s="237">
        <f>IF((I$3&lt;=System_Age),0,(INDEX(Forecast_NEM_Residential,MATCH(NEM_Utility_Name,'2026_Forecasts'!$D$196:$D$203,0),MATCH(I$2,Forecast_NEM_Header,0))))</f>
        <v>0.15350130540598261</v>
      </c>
      <c r="J122" s="237">
        <f>IF((J$3&lt;=System_Age),0,(INDEX(Forecast_NEM_Residential,MATCH(NEM_Utility_Name,'2026_Forecasts'!$D$196:$D$203,0),MATCH(J$2,Forecast_NEM_Header,0))))</f>
        <v>0.15016746976156514</v>
      </c>
      <c r="K122" s="237">
        <f>IF((K$3&lt;=System_Age),0,(INDEX(Forecast_NEM_Residential,MATCH(NEM_Utility_Name,'2026_Forecasts'!$D$196:$D$203,0),MATCH(K$2,Forecast_NEM_Header,0))))</f>
        <v>0.14511258120216952</v>
      </c>
      <c r="L122" s="237">
        <f>IF((L$3&lt;=System_Age),0,(INDEX(Forecast_NEM_Residential,MATCH(NEM_Utility_Name,'2026_Forecasts'!$D$196:$D$203,0),MATCH(L$2,Forecast_NEM_Header,0))))</f>
        <v>0.1469720242919923</v>
      </c>
      <c r="M122" s="237">
        <f>IF((M$3&lt;=System_Age),0,(INDEX(Forecast_NEM_Residential,MATCH(NEM_Utility_Name,'2026_Forecasts'!$D$196:$D$203,0),MATCH(M$2,Forecast_NEM_Header,0))))</f>
        <v>0.14793145210579214</v>
      </c>
      <c r="N122" s="237">
        <f>IF((N$3&lt;=System_Age),0,(INDEX(Forecast_NEM_Residential,MATCH(NEM_Utility_Name,'2026_Forecasts'!$D$196:$D$203,0),MATCH(N$2,Forecast_NEM_Header,0))))</f>
        <v>0.14717980453756818</v>
      </c>
      <c r="O122" s="237">
        <f>IF((O$3&lt;=System_Age),0,(INDEX(Forecast_NEM_Residential,MATCH(NEM_Utility_Name,'2026_Forecasts'!$D$196:$D$203,0),MATCH(O$2,Forecast_NEM_Header,0))))</f>
        <v>0.1465085130402787</v>
      </c>
      <c r="P122" s="237">
        <f>IF((P$3&lt;=System_Age),0,(INDEX(Forecast_NEM_Residential,MATCH(NEM_Utility_Name,'2026_Forecasts'!$D$196:$D$203,0),MATCH(P$2,Forecast_NEM_Header,0))))</f>
        <v>0.14476530607186083</v>
      </c>
      <c r="Q122" s="237">
        <f>IF((Q$3&lt;=System_Age),0,(INDEX(Forecast_NEM_Residential,MATCH(NEM_Utility_Name,'2026_Forecasts'!$D$196:$D$203,0),MATCH(Q$2,Forecast_NEM_Header,0))))</f>
        <v>0.1440951371813842</v>
      </c>
      <c r="R122" s="237">
        <f>IF((R$3&lt;=System_Age),0,(INDEX(Forecast_NEM_Residential,MATCH(NEM_Utility_Name,'2026_Forecasts'!$D$196:$D$203,0),MATCH(R$2,Forecast_NEM_Header,0))))</f>
        <v>0.14324353077838597</v>
      </c>
      <c r="S122" s="237">
        <f>IF((S$3&lt;=System_Age),0,(INDEX(Forecast_NEM_Residential,MATCH(NEM_Utility_Name,'2026_Forecasts'!$D$196:$D$203,0),MATCH(S$2,Forecast_NEM_Header,0))))</f>
        <v>0.14353491287056505</v>
      </c>
      <c r="T122" s="237">
        <f>IF((T$3&lt;=System_Age),0,(INDEX(Forecast_NEM_Residential,MATCH(NEM_Utility_Name,'2026_Forecasts'!$D$196:$D$203,0),MATCH(T$2,Forecast_NEM_Header,0))))</f>
        <v>0.14234306138293079</v>
      </c>
      <c r="U122" s="237">
        <f>IF((U$3&lt;=System_Age),0,(INDEX(Forecast_NEM_Residential,MATCH(NEM_Utility_Name,'2026_Forecasts'!$D$196:$D$203,0),MATCH(U$2,Forecast_NEM_Header,0))))</f>
        <v>0.14124542683032842</v>
      </c>
      <c r="V122" s="237">
        <f>IF((V$3&lt;=System_Age),0,(INDEX(Forecast_NEM_Residential,MATCH(NEM_Utility_Name,'2026_Forecasts'!$D$196:$D$203,0),MATCH(V$2,Forecast_NEM_Header,0))))</f>
        <v>0.14183239856040603</v>
      </c>
      <c r="W122" s="237">
        <f>IF((W$3&lt;=System_Age),0,(INDEX(Forecast_NEM_Residential,MATCH(NEM_Utility_Name,'2026_Forecasts'!$D$196:$D$203,0),MATCH(W$2,Forecast_NEM_Header,0))))</f>
        <v>0.14133212131821413</v>
      </c>
      <c r="X122" s="237">
        <f>IF((X$3&lt;=System_Age),0,(INDEX(Forecast_NEM_Residential,MATCH(NEM_Utility_Name,'2026_Forecasts'!$D$196:$D$203,0),MATCH(X$2,Forecast_NEM_Header,0))))</f>
        <v>0.14067022986193908</v>
      </c>
      <c r="Y122" s="237">
        <f>IF((Y$3&lt;=System_Age),0,(INDEX(Forecast_NEM_Residential,MATCH(NEM_Utility_Name,'2026_Forecasts'!$D$196:$D$203,0),MATCH(Y$2,Forecast_NEM_Header,0))))</f>
        <v>0.13930651319502368</v>
      </c>
      <c r="Z122" s="237">
        <f>IF((Z$3&lt;=System_Age),0,(INDEX(Forecast_NEM_Residential,MATCH(NEM_Utility_Name,'2026_Forecasts'!$D$196:$D$203,0),MATCH(Z$2,Forecast_NEM_Header,0))))</f>
        <v>0.13961027635958576</v>
      </c>
      <c r="AA122" s="237">
        <f>IF((AA$3&lt;=System_Age),0,(INDEX(Forecast_NEM_Residential,MATCH(NEM_Utility_Name,'2026_Forecasts'!$D$196:$D$203,0),MATCH(AA$2,Forecast_NEM_Header,0))))</f>
        <v>0.14082029804088084</v>
      </c>
    </row>
    <row r="123" spans="2:27" x14ac:dyDescent="0.25">
      <c r="B123" s="111" t="s">
        <v>153</v>
      </c>
      <c r="C123" s="237">
        <f>IF((C$3&lt;=System_Age),0,(INDEX(Forecast_NEM_Commercial,MATCH(NEM_Utility_Name,'2026_Forecasts'!$D$204:$D$211,0),MATCH(C$2,Forecast_NEM_Header,0))))</f>
        <v>0</v>
      </c>
      <c r="D123" s="237">
        <f>IF((D$3&lt;=System_Age),0,(INDEX(Forecast_NEM_Commercial,MATCH(NEM_Utility_Name,'2026_Forecasts'!$D$204:$D$211,0),MATCH(D$2,Forecast_NEM_Header,0))))</f>
        <v>0</v>
      </c>
      <c r="E123" s="237">
        <f>IF((E$3&lt;=System_Age),0,(INDEX(Forecast_NEM_Commercial,MATCH(NEM_Utility_Name,'2026_Forecasts'!$D$204:$D$211,0),MATCH(E$2,Forecast_NEM_Header,0))))</f>
        <v>0</v>
      </c>
      <c r="F123" s="237">
        <f>IF((F$3&lt;=System_Age),0,(INDEX(Forecast_NEM_Commercial,MATCH(NEM_Utility_Name,'2026_Forecasts'!$D$204:$D$211,0),MATCH(F$2,Forecast_NEM_Header,0))))</f>
        <v>0</v>
      </c>
      <c r="G123" s="237">
        <f>IF((G$3&lt;=System_Age),0,(INDEX(Forecast_NEM_Commercial,MATCH(NEM_Utility_Name,'2026_Forecasts'!$D$204:$D$211,0),MATCH(G$2,Forecast_NEM_Header,0))))</f>
        <v>7.9033711170316961E-2</v>
      </c>
      <c r="H123" s="237">
        <f>IF((H$3&lt;=System_Age),0,(INDEX(Forecast_NEM_Commercial,MATCH(NEM_Utility_Name,'2026_Forecasts'!$D$204:$D$211,0),MATCH(H$2,Forecast_NEM_Header,0))))</f>
        <v>7.5704680279597716E-2</v>
      </c>
      <c r="I123" s="237">
        <f>IF((I$3&lt;=System_Age),0,(INDEX(Forecast_NEM_Commercial,MATCH(NEM_Utility_Name,'2026_Forecasts'!$D$204:$D$211,0),MATCH(I$2,Forecast_NEM_Header,0))))</f>
        <v>7.2392290198508374E-2</v>
      </c>
      <c r="J123" s="237">
        <f>IF((J$3&lt;=System_Age),0,(INDEX(Forecast_NEM_Commercial,MATCH(NEM_Utility_Name,'2026_Forecasts'!$D$204:$D$211,0),MATCH(J$2,Forecast_NEM_Header,0))))</f>
        <v>6.8920650377502002E-2</v>
      </c>
      <c r="K123" s="237">
        <f>IF((K$3&lt;=System_Age),0,(INDEX(Forecast_NEM_Commercial,MATCH(NEM_Utility_Name,'2026_Forecasts'!$D$204:$D$211,0),MATCH(K$2,Forecast_NEM_Header,0))))</f>
        <v>6.3656817877860677E-2</v>
      </c>
      <c r="L123" s="237">
        <f>IF((L$3&lt;=System_Age),0,(INDEX(Forecast_NEM_Commercial,MATCH(NEM_Utility_Name,'2026_Forecasts'!$D$204:$D$211,0),MATCH(L$2,Forecast_NEM_Header,0))))</f>
        <v>6.5593121092547738E-2</v>
      </c>
      <c r="M123" s="237">
        <f>IF((M$3&lt;=System_Age),0,(INDEX(Forecast_NEM_Commercial,MATCH(NEM_Utility_Name,'2026_Forecasts'!$D$204:$D$211,0),MATCH(M$2,Forecast_NEM_Header,0))))</f>
        <v>6.659220687811912E-2</v>
      </c>
      <c r="N123" s="237">
        <f>IF((N$3&lt;=System_Age),0,(INDEX(Forecast_NEM_Commercial,MATCH(NEM_Utility_Name,'2026_Forecasts'!$D$204:$D$211,0),MATCH(N$2,Forecast_NEM_Header,0))))</f>
        <v>6.5809489939574639E-2</v>
      </c>
      <c r="O123" s="237">
        <f>IF((O$3&lt;=System_Age),0,(INDEX(Forecast_NEM_Commercial,MATCH(NEM_Utility_Name,'2026_Forecasts'!$D$204:$D$211,0),MATCH(O$2,Forecast_NEM_Header,0))))</f>
        <v>6.5110450592090433E-2</v>
      </c>
      <c r="P123" s="237">
        <f>IF((P$3&lt;=System_Age),0,(INDEX(Forecast_NEM_Commercial,MATCH(NEM_Utility_Name,'2026_Forecasts'!$D$204:$D$211,0),MATCH(P$2,Forecast_NEM_Header,0))))</f>
        <v>6.3295188121683707E-2</v>
      </c>
      <c r="Q123" s="237">
        <f>IF((Q$3&lt;=System_Age),0,(INDEX(Forecast_NEM_Commercial,MATCH(NEM_Utility_Name,'2026_Forecasts'!$D$204:$D$211,0),MATCH(Q$2,Forecast_NEM_Header,0))))</f>
        <v>6.2597317783991968E-2</v>
      </c>
      <c r="R123" s="237">
        <f>IF((R$3&lt;=System_Age),0,(INDEX(Forecast_NEM_Commercial,MATCH(NEM_Utility_Name,'2026_Forecasts'!$D$204:$D$211,0),MATCH(R$2,Forecast_NEM_Header,0))))</f>
        <v>6.1710510209832384E-2</v>
      </c>
      <c r="S123" s="237">
        <f>IF((S$3&lt;=System_Age),0,(INDEX(Forecast_NEM_Commercial,MATCH(NEM_Utility_Name,'2026_Forecasts'!$D$204:$D$211,0),MATCH(S$2,Forecast_NEM_Header,0))))</f>
        <v>6.2013936587803624E-2</v>
      </c>
      <c r="T123" s="237">
        <f>IF((T$3&lt;=System_Age),0,(INDEX(Forecast_NEM_Commercial,MATCH(NEM_Utility_Name,'2026_Forecasts'!$D$204:$D$211,0),MATCH(T$2,Forecast_NEM_Header,0))))</f>
        <v>6.0772819890246764E-2</v>
      </c>
      <c r="U123" s="237">
        <f>IF((U$3&lt;=System_Age),0,(INDEX(Forecast_NEM_Commercial,MATCH(NEM_Utility_Name,'2026_Forecasts'!$D$204:$D$211,0),MATCH(U$2,Forecast_NEM_Header,0))))</f>
        <v>5.9629814586998613E-2</v>
      </c>
      <c r="V123" s="237">
        <f>IF((V$3&lt;=System_Age),0,(INDEX(Forecast_NEM_Commercial,MATCH(NEM_Utility_Name,'2026_Forecasts'!$D$204:$D$211,0),MATCH(V$2,Forecast_NEM_Header,0))))</f>
        <v>6.0241048807664108E-2</v>
      </c>
      <c r="W123" s="237">
        <f>IF((W$3&lt;=System_Age),0,(INDEX(Forecast_NEM_Commercial,MATCH(NEM_Utility_Name,'2026_Forecasts'!$D$204:$D$211,0),MATCH(W$2,Forecast_NEM_Header,0))))</f>
        <v>5.9720092593627309E-2</v>
      </c>
      <c r="X123" s="237">
        <f>IF((X$3&lt;=System_Age),0,(INDEX(Forecast_NEM_Commercial,MATCH(NEM_Utility_Name,'2026_Forecasts'!$D$204:$D$211,0),MATCH(X$2,Forecast_NEM_Header,0))))</f>
        <v>5.9030841838079093E-2</v>
      </c>
      <c r="Y123" s="237">
        <f>IF((Y$3&lt;=System_Age),0,(INDEX(Forecast_NEM_Commercial,MATCH(NEM_Utility_Name,'2026_Forecasts'!$D$204:$D$211,0),MATCH(Y$2,Forecast_NEM_Header,0))))</f>
        <v>5.7610755909919674E-2</v>
      </c>
      <c r="Z123" s="237">
        <f>IF((Z$3&lt;=System_Age),0,(INDEX(Forecast_NEM_Commercial,MATCH(NEM_Utility_Name,'2026_Forecasts'!$D$204:$D$211,0),MATCH(Z$2,Forecast_NEM_Header,0))))</f>
        <v>5.7927075132198795E-2</v>
      </c>
      <c r="AA123" s="237">
        <f>IF((AA$3&lt;=System_Age),0,(INDEX(Forecast_NEM_Commercial,MATCH(NEM_Utility_Name,'2026_Forecasts'!$D$204:$D$211,0),MATCH(AA$2,Forecast_NEM_Header,0))))</f>
        <v>5.918711308880871E-2</v>
      </c>
    </row>
    <row r="124" spans="2:27" x14ac:dyDescent="0.25">
      <c r="B124" s="111" t="s">
        <v>154</v>
      </c>
      <c r="C124" s="237"/>
      <c r="D124" s="237"/>
      <c r="E124" s="237"/>
      <c r="F124" s="237"/>
      <c r="G124" s="237"/>
      <c r="H124" s="237"/>
      <c r="I124" s="237"/>
      <c r="J124" s="237"/>
      <c r="K124" s="237"/>
      <c r="L124" s="237"/>
      <c r="M124" s="237"/>
      <c r="N124" s="237"/>
      <c r="O124" s="237"/>
      <c r="P124" s="237"/>
      <c r="Q124" s="237"/>
      <c r="R124" s="237"/>
      <c r="S124" s="237"/>
      <c r="T124" s="237"/>
      <c r="U124" s="237"/>
      <c r="V124" s="237"/>
      <c r="W124" s="237"/>
      <c r="X124" s="237"/>
      <c r="Y124" s="237"/>
      <c r="Z124" s="237"/>
      <c r="AA124" s="237"/>
    </row>
    <row r="125" spans="2:27" x14ac:dyDescent="0.25">
      <c r="B125" s="233" t="s">
        <v>128</v>
      </c>
      <c r="C125" s="232">
        <f t="shared" ref="C125:AA125" si="45">C$58*Fraction_of_Credits*(Residential_Share*C$122+(1-Residential_Share)*C$123)*C$50</f>
        <v>0</v>
      </c>
      <c r="D125" s="232">
        <f t="shared" si="45"/>
        <v>0</v>
      </c>
      <c r="E125" s="232">
        <f t="shared" si="45"/>
        <v>0</v>
      </c>
      <c r="F125" s="232">
        <f t="shared" si="45"/>
        <v>0</v>
      </c>
      <c r="G125" s="232">
        <f t="shared" si="45"/>
        <v>1133933.6535904794</v>
      </c>
      <c r="H125" s="232">
        <f t="shared" si="45"/>
        <v>1131177.0939042012</v>
      </c>
      <c r="I125" s="232">
        <f t="shared" si="45"/>
        <v>1131057.3034728884</v>
      </c>
      <c r="J125" s="232">
        <f t="shared" si="45"/>
        <v>1122907.0276183479</v>
      </c>
      <c r="K125" s="232">
        <f t="shared" si="45"/>
        <v>1102808.5374076702</v>
      </c>
      <c r="L125" s="232">
        <f t="shared" si="45"/>
        <v>1140322.6898147946</v>
      </c>
      <c r="M125" s="232">
        <f t="shared" si="45"/>
        <v>1174248.5153312651</v>
      </c>
      <c r="N125" s="232">
        <f t="shared" si="45"/>
        <v>1187345.6242407972</v>
      </c>
      <c r="O125" s="232">
        <f t="shared" si="45"/>
        <v>1204531.7833204756</v>
      </c>
      <c r="P125" s="232">
        <f t="shared" si="45"/>
        <v>1212038.4537759605</v>
      </c>
      <c r="Q125" s="232">
        <f t="shared" si="45"/>
        <v>1232777.5072810741</v>
      </c>
      <c r="R125" s="232">
        <f t="shared" si="45"/>
        <v>1245225.2018957136</v>
      </c>
      <c r="S125" s="232">
        <f t="shared" si="45"/>
        <v>1272297.4647093506</v>
      </c>
      <c r="T125" s="232">
        <f t="shared" si="45"/>
        <v>1285171.5513186527</v>
      </c>
      <c r="U125" s="232">
        <f t="shared" si="45"/>
        <v>1302540.297333085</v>
      </c>
      <c r="V125" s="232">
        <f t="shared" si="45"/>
        <v>1330202.5612576064</v>
      </c>
      <c r="W125" s="232">
        <f t="shared" si="45"/>
        <v>1350657.9097276658</v>
      </c>
      <c r="X125" s="232">
        <f t="shared" si="45"/>
        <v>1369630.3486258236</v>
      </c>
      <c r="Y125" s="232">
        <f t="shared" si="45"/>
        <v>1384896.0136208024</v>
      </c>
      <c r="Z125" s="232">
        <f t="shared" si="45"/>
        <v>1411073.3565075689</v>
      </c>
      <c r="AA125" s="232">
        <f t="shared" si="45"/>
        <v>1451927.5236893781</v>
      </c>
    </row>
    <row r="126" spans="2:27" x14ac:dyDescent="0.25">
      <c r="B126" s="233" t="str">
        <f>"Real "&amp;TEXT(Cash_Flow_Base_Year,"0000")&amp;" $"</f>
        <v>Real 2025 $</v>
      </c>
      <c r="C126" s="232">
        <f t="shared" ref="C126:AA126" si="46">C$125*C$47</f>
        <v>0</v>
      </c>
      <c r="D126" s="232">
        <f t="shared" si="46"/>
        <v>0</v>
      </c>
      <c r="E126" s="232">
        <f t="shared" si="46"/>
        <v>0</v>
      </c>
      <c r="F126" s="232">
        <f t="shared" si="46"/>
        <v>0</v>
      </c>
      <c r="G126" s="232">
        <f t="shared" si="46"/>
        <v>1106276.7352102238</v>
      </c>
      <c r="H126" s="232">
        <f t="shared" si="46"/>
        <v>1076670.6426214883</v>
      </c>
      <c r="I126" s="232">
        <f t="shared" si="46"/>
        <v>1050299.1457214039</v>
      </c>
      <c r="J126" s="232">
        <f t="shared" si="46"/>
        <v>1017298.3457210186</v>
      </c>
      <c r="K126" s="232">
        <f t="shared" si="46"/>
        <v>974722.05420014984</v>
      </c>
      <c r="L126" s="232">
        <f t="shared" si="46"/>
        <v>983296.68161094992</v>
      </c>
      <c r="M126" s="232">
        <f t="shared" si="46"/>
        <v>987854.4532965126</v>
      </c>
      <c r="N126" s="232">
        <f t="shared" si="46"/>
        <v>974509.84946556424</v>
      </c>
      <c r="O126" s="232">
        <f t="shared" si="46"/>
        <v>964502.76155674027</v>
      </c>
      <c r="P126" s="232">
        <f t="shared" si="46"/>
        <v>946842.50291990186</v>
      </c>
      <c r="Q126" s="232">
        <f t="shared" si="46"/>
        <v>939554.94475258631</v>
      </c>
      <c r="R126" s="232">
        <f t="shared" si="46"/>
        <v>925894.52707629022</v>
      </c>
      <c r="S126" s="232">
        <f t="shared" si="46"/>
        <v>922950.50479303731</v>
      </c>
      <c r="T126" s="232">
        <f t="shared" si="46"/>
        <v>909550.85808522836</v>
      </c>
      <c r="U126" s="232">
        <f t="shared" si="46"/>
        <v>899359.21170330665</v>
      </c>
      <c r="V126" s="232">
        <f t="shared" si="46"/>
        <v>896057.61187061307</v>
      </c>
      <c r="W126" s="232">
        <f t="shared" si="46"/>
        <v>887645.70207171305</v>
      </c>
      <c r="X126" s="232">
        <f t="shared" si="46"/>
        <v>878160.28793778725</v>
      </c>
      <c r="Y126" s="232">
        <f t="shared" si="46"/>
        <v>866290.84089364763</v>
      </c>
      <c r="Z126" s="232">
        <f t="shared" si="46"/>
        <v>861137.06771884847</v>
      </c>
      <c r="AA126" s="232">
        <f t="shared" si="46"/>
        <v>864457.73545814981</v>
      </c>
    </row>
    <row r="128" spans="2:27" x14ac:dyDescent="0.25">
      <c r="B128" s="164" t="s">
        <v>155</v>
      </c>
    </row>
    <row r="129" spans="2:27" x14ac:dyDescent="0.25">
      <c r="B129" s="111" t="s">
        <v>111</v>
      </c>
      <c r="C129" s="225">
        <f>System_Size</f>
        <v>4500</v>
      </c>
    </row>
    <row r="130" spans="2:27" x14ac:dyDescent="0.25">
      <c r="B130" s="111" t="s">
        <v>126</v>
      </c>
      <c r="C130" s="18">
        <f t="shared" ref="C130:AA130" si="47">IF((C$3&lt;=System_Age),0,(VLOOKUP(Plant_Type&amp;" - "&amp;NYISO_Zone,Forecast_Energy_Tier1,MATCH(C$2,Forecast_Energy_Header,0),FALSE)))</f>
        <v>0</v>
      </c>
      <c r="D130" s="18">
        <f t="shared" si="47"/>
        <v>0</v>
      </c>
      <c r="E130" s="18">
        <f t="shared" si="47"/>
        <v>0</v>
      </c>
      <c r="F130" s="18">
        <f t="shared" si="47"/>
        <v>0</v>
      </c>
      <c r="G130" s="18">
        <f t="shared" si="47"/>
        <v>50.860310677944625</v>
      </c>
      <c r="H130" s="18">
        <f t="shared" si="47"/>
        <v>47.241450616492742</v>
      </c>
      <c r="I130" s="18">
        <f t="shared" si="47"/>
        <v>45.043100973687309</v>
      </c>
      <c r="J130" s="18">
        <f t="shared" si="47"/>
        <v>43.187862990094324</v>
      </c>
      <c r="K130" s="18">
        <f t="shared" si="47"/>
        <v>40.687027667605776</v>
      </c>
      <c r="L130" s="18">
        <f t="shared" si="47"/>
        <v>41.248830785081488</v>
      </c>
      <c r="M130" s="18">
        <f t="shared" si="47"/>
        <v>41.805315532272196</v>
      </c>
      <c r="N130" s="18">
        <f t="shared" si="47"/>
        <v>40.851589583855137</v>
      </c>
      <c r="O130" s="18">
        <f t="shared" si="47"/>
        <v>40.185953687823968</v>
      </c>
      <c r="P130" s="18">
        <f t="shared" si="47"/>
        <v>39.029058590123675</v>
      </c>
      <c r="Q130" s="18">
        <f t="shared" si="47"/>
        <v>38.702939160858186</v>
      </c>
      <c r="R130" s="18">
        <f t="shared" si="47"/>
        <v>38.111818269944081</v>
      </c>
      <c r="S130" s="18">
        <f t="shared" si="47"/>
        <v>38.358181641429631</v>
      </c>
      <c r="T130" s="18">
        <f t="shared" si="47"/>
        <v>37.344559644763486</v>
      </c>
      <c r="U130" s="18">
        <f t="shared" si="47"/>
        <v>36.843993319820932</v>
      </c>
      <c r="V130" s="18">
        <f t="shared" si="47"/>
        <v>37.158831043530483</v>
      </c>
      <c r="W130" s="18">
        <f t="shared" si="47"/>
        <v>36.883114303595292</v>
      </c>
      <c r="X130" s="18">
        <f t="shared" si="47"/>
        <v>36.62579997272325</v>
      </c>
      <c r="Y130" s="18">
        <f t="shared" si="47"/>
        <v>36.172484470501608</v>
      </c>
      <c r="Z130" s="18">
        <f t="shared" si="47"/>
        <v>36.360397406303882</v>
      </c>
      <c r="AA130" s="18">
        <f t="shared" si="47"/>
        <v>36.811681382745128</v>
      </c>
    </row>
    <row r="131" spans="2:27" x14ac:dyDescent="0.25">
      <c r="B131" s="111" t="s">
        <v>156</v>
      </c>
      <c r="C131" s="230"/>
      <c r="D131" s="230"/>
      <c r="E131" s="230"/>
      <c r="F131" s="230"/>
      <c r="G131" s="230"/>
      <c r="H131" s="230"/>
      <c r="I131" s="230"/>
      <c r="J131" s="230"/>
      <c r="K131" s="230"/>
      <c r="L131" s="230"/>
      <c r="M131" s="230"/>
      <c r="N131" s="230"/>
      <c r="O131" s="230"/>
      <c r="P131" s="230"/>
      <c r="Q131" s="230"/>
      <c r="R131" s="230"/>
      <c r="S131" s="230"/>
      <c r="T131" s="230"/>
      <c r="U131" s="230"/>
      <c r="V131" s="230"/>
      <c r="W131" s="230"/>
      <c r="X131" s="230"/>
      <c r="Y131" s="230"/>
      <c r="Z131" s="230"/>
      <c r="AA131" s="230"/>
    </row>
    <row r="132" spans="2:27" x14ac:dyDescent="0.25">
      <c r="B132" s="233" t="s">
        <v>128</v>
      </c>
      <c r="C132" s="232">
        <f t="shared" ref="C132:AA132" si="48">(C$58/1000)*C$130*C$50*C$66</f>
        <v>0</v>
      </c>
      <c r="D132" s="232">
        <f t="shared" si="48"/>
        <v>0</v>
      </c>
      <c r="E132" s="232">
        <f t="shared" si="48"/>
        <v>0</v>
      </c>
      <c r="F132" s="232">
        <f t="shared" si="48"/>
        <v>0</v>
      </c>
      <c r="G132" s="232">
        <f t="shared" si="48"/>
        <v>421978.86036158208</v>
      </c>
      <c r="H132" s="232">
        <f t="shared" si="48"/>
        <v>399702.9157519188</v>
      </c>
      <c r="I132" s="232">
        <f t="shared" si="48"/>
        <v>389692.07890557678</v>
      </c>
      <c r="J132" s="232">
        <f t="shared" si="48"/>
        <v>379967.31060703419</v>
      </c>
      <c r="K132" s="232">
        <f t="shared" si="48"/>
        <v>365012.94717273506</v>
      </c>
      <c r="L132" s="232">
        <f t="shared" si="48"/>
        <v>377328.79775018536</v>
      </c>
      <c r="M132" s="232">
        <f t="shared" si="48"/>
        <v>390995.83820977976</v>
      </c>
      <c r="N132" s="232">
        <f t="shared" si="48"/>
        <v>388502.15920650755</v>
      </c>
      <c r="O132" s="232">
        <f t="shared" si="48"/>
        <v>389653.57631460344</v>
      </c>
      <c r="P132" s="232">
        <f t="shared" si="48"/>
        <v>385833.63612356427</v>
      </c>
      <c r="Q132" s="232">
        <f t="shared" si="48"/>
        <v>391146.43934580026</v>
      </c>
      <c r="R132" s="232">
        <f t="shared" si="48"/>
        <v>391606.17515556136</v>
      </c>
      <c r="S132" s="232">
        <f t="shared" si="48"/>
        <v>401807.31037218485</v>
      </c>
      <c r="T132" s="232">
        <f t="shared" si="48"/>
        <v>398790.03482081625</v>
      </c>
      <c r="U132" s="232">
        <f t="shared" si="48"/>
        <v>402175.8923683436</v>
      </c>
      <c r="V132" s="232">
        <f t="shared" si="48"/>
        <v>412338.81064672791</v>
      </c>
      <c r="W132" s="232">
        <f t="shared" si="48"/>
        <v>417193.51664810017</v>
      </c>
      <c r="X132" s="232">
        <f t="shared" si="48"/>
        <v>422280.93715253536</v>
      </c>
      <c r="Y132" s="232">
        <f t="shared" si="48"/>
        <v>426257.22568237939</v>
      </c>
      <c r="Z132" s="232">
        <f t="shared" si="48"/>
        <v>435522.84939734719</v>
      </c>
      <c r="AA132" s="232">
        <f t="shared" si="48"/>
        <v>449398.11339175684</v>
      </c>
    </row>
    <row r="133" spans="2:27" x14ac:dyDescent="0.25">
      <c r="B133" s="233" t="str">
        <f>"Real "&amp;TEXT(Cash_Flow_Base_Year,"0000")&amp;" $"</f>
        <v>Real 2025 $</v>
      </c>
      <c r="C133" s="232">
        <f t="shared" ref="C133:AA133" si="49">C$132*C$47</f>
        <v>0</v>
      </c>
      <c r="D133" s="232">
        <f t="shared" si="49"/>
        <v>0</v>
      </c>
      <c r="E133" s="232">
        <f t="shared" si="49"/>
        <v>0</v>
      </c>
      <c r="F133" s="232">
        <f t="shared" si="49"/>
        <v>0</v>
      </c>
      <c r="G133" s="232">
        <f t="shared" si="49"/>
        <v>411686.69303568988</v>
      </c>
      <c r="H133" s="232">
        <f t="shared" si="49"/>
        <v>380442.98941289121</v>
      </c>
      <c r="I133" s="232">
        <f t="shared" si="49"/>
        <v>361867.83491181087</v>
      </c>
      <c r="J133" s="232">
        <f t="shared" si="49"/>
        <v>344231.63004727144</v>
      </c>
      <c r="K133" s="232">
        <f t="shared" si="49"/>
        <v>322618.25839160808</v>
      </c>
      <c r="L133" s="232">
        <f t="shared" si="49"/>
        <v>325369.43973662995</v>
      </c>
      <c r="M133" s="232">
        <f t="shared" si="49"/>
        <v>328931.20574818889</v>
      </c>
      <c r="N133" s="232">
        <f t="shared" si="49"/>
        <v>318861.81492222293</v>
      </c>
      <c r="O133" s="232">
        <f t="shared" si="49"/>
        <v>312006.66981977387</v>
      </c>
      <c r="P133" s="232">
        <f t="shared" si="49"/>
        <v>301412.61987175414</v>
      </c>
      <c r="Q133" s="232">
        <f t="shared" si="49"/>
        <v>298110.21781233972</v>
      </c>
      <c r="R133" s="232">
        <f t="shared" si="49"/>
        <v>291181.07615700149</v>
      </c>
      <c r="S133" s="232">
        <f t="shared" si="49"/>
        <v>291479.2100306974</v>
      </c>
      <c r="T133" s="232">
        <f t="shared" si="49"/>
        <v>282234.55304075329</v>
      </c>
      <c r="U133" s="232">
        <f t="shared" si="49"/>
        <v>277688.60147132439</v>
      </c>
      <c r="V133" s="232">
        <f t="shared" si="49"/>
        <v>277761.7039019689</v>
      </c>
      <c r="W133" s="232">
        <f t="shared" si="49"/>
        <v>274177.51698469504</v>
      </c>
      <c r="X133" s="232">
        <f t="shared" si="49"/>
        <v>270752.14106679976</v>
      </c>
      <c r="Y133" s="232">
        <f t="shared" si="49"/>
        <v>266635.70899301424</v>
      </c>
      <c r="Z133" s="232">
        <f t="shared" si="49"/>
        <v>265786.93993828341</v>
      </c>
      <c r="AA133" s="232">
        <f t="shared" si="49"/>
        <v>267565.4735400654</v>
      </c>
    </row>
    <row r="134" spans="2:27" x14ac:dyDescent="0.25">
      <c r="B134" s="234"/>
      <c r="C134" s="232"/>
      <c r="D134" s="232"/>
      <c r="E134" s="232"/>
      <c r="F134" s="232"/>
      <c r="G134" s="232"/>
      <c r="H134" s="232"/>
      <c r="I134" s="232"/>
      <c r="J134" s="232"/>
      <c r="K134" s="232"/>
      <c r="L134" s="232"/>
      <c r="M134" s="232"/>
      <c r="N134" s="232"/>
      <c r="O134" s="232"/>
      <c r="P134" s="232"/>
      <c r="Q134" s="232"/>
      <c r="R134" s="232"/>
      <c r="S134" s="232"/>
      <c r="T134" s="232"/>
      <c r="U134" s="232"/>
      <c r="V134" s="232"/>
      <c r="W134" s="232"/>
      <c r="X134" s="232"/>
      <c r="Y134" s="232"/>
      <c r="Z134" s="232"/>
      <c r="AA134" s="232"/>
    </row>
    <row r="135" spans="2:27" x14ac:dyDescent="0.25">
      <c r="B135" s="164" t="s">
        <v>157</v>
      </c>
    </row>
    <row r="136" spans="2:27" x14ac:dyDescent="0.25">
      <c r="B136" s="111" t="s">
        <v>142</v>
      </c>
      <c r="C136" s="111">
        <f>System_Age</f>
        <v>4</v>
      </c>
    </row>
    <row r="137" spans="2:27" x14ac:dyDescent="0.25">
      <c r="B137" s="111" t="s">
        <v>111</v>
      </c>
      <c r="C137" s="225">
        <f>System_Size</f>
        <v>4500</v>
      </c>
    </row>
    <row r="138" spans="2:27" x14ac:dyDescent="0.25">
      <c r="B138" s="111" t="s">
        <v>114</v>
      </c>
      <c r="C138" s="235">
        <f t="shared" ref="C138:AA138" si="50">1-Degradation*(C$3-1)</f>
        <v>1</v>
      </c>
      <c r="D138" s="235">
        <f t="shared" si="50"/>
        <v>0.995</v>
      </c>
      <c r="E138" s="235">
        <f t="shared" si="50"/>
        <v>0.99</v>
      </c>
      <c r="F138" s="235">
        <f t="shared" si="50"/>
        <v>0.98499999999999999</v>
      </c>
      <c r="G138" s="235">
        <f t="shared" si="50"/>
        <v>0.98</v>
      </c>
      <c r="H138" s="235">
        <f t="shared" si="50"/>
        <v>0.97499999999999998</v>
      </c>
      <c r="I138" s="235">
        <f t="shared" si="50"/>
        <v>0.97</v>
      </c>
      <c r="J138" s="235">
        <f t="shared" si="50"/>
        <v>0.96499999999999997</v>
      </c>
      <c r="K138" s="235">
        <f t="shared" si="50"/>
        <v>0.96</v>
      </c>
      <c r="L138" s="235">
        <f t="shared" si="50"/>
        <v>0.95499999999999996</v>
      </c>
      <c r="M138" s="235">
        <f t="shared" si="50"/>
        <v>0.95</v>
      </c>
      <c r="N138" s="235">
        <f t="shared" si="50"/>
        <v>0.94499999999999995</v>
      </c>
      <c r="O138" s="235">
        <f t="shared" si="50"/>
        <v>0.94</v>
      </c>
      <c r="P138" s="235">
        <f t="shared" si="50"/>
        <v>0.93500000000000005</v>
      </c>
      <c r="Q138" s="235">
        <f t="shared" si="50"/>
        <v>0.92999999999999994</v>
      </c>
      <c r="R138" s="235">
        <f t="shared" si="50"/>
        <v>0.92500000000000004</v>
      </c>
      <c r="S138" s="235">
        <f t="shared" si="50"/>
        <v>0.92</v>
      </c>
      <c r="T138" s="235">
        <f t="shared" si="50"/>
        <v>0.91500000000000004</v>
      </c>
      <c r="U138" s="235">
        <f t="shared" si="50"/>
        <v>0.91</v>
      </c>
      <c r="V138" s="235">
        <f t="shared" si="50"/>
        <v>0.90500000000000003</v>
      </c>
      <c r="W138" s="235">
        <f t="shared" si="50"/>
        <v>0.9</v>
      </c>
      <c r="X138" s="235">
        <f t="shared" si="50"/>
        <v>0.89500000000000002</v>
      </c>
      <c r="Y138" s="235">
        <f t="shared" si="50"/>
        <v>0.89</v>
      </c>
      <c r="Z138" s="235">
        <f t="shared" si="50"/>
        <v>0.88500000000000001</v>
      </c>
      <c r="AA138" s="235">
        <f t="shared" si="50"/>
        <v>0.88</v>
      </c>
    </row>
    <row r="139" spans="2:27" x14ac:dyDescent="0.25">
      <c r="B139" s="111" t="s">
        <v>131</v>
      </c>
      <c r="C139" s="18">
        <f t="shared" ref="C139:AA139" si="51">IF((C$3&lt;=System_Age),0,VLOOKUP(Plant_Type&amp;" - "&amp;NYISO_Zone,Forecast_ICAP,MATCH(C$2,Forecast_ICAP_Header,0),FALSE))</f>
        <v>0</v>
      </c>
      <c r="D139" s="18">
        <f t="shared" si="51"/>
        <v>0</v>
      </c>
      <c r="E139" s="18">
        <f t="shared" si="51"/>
        <v>0</v>
      </c>
      <c r="F139" s="18">
        <f t="shared" si="51"/>
        <v>0</v>
      </c>
      <c r="G139" s="18">
        <f t="shared" si="51"/>
        <v>6.0709223002604711</v>
      </c>
      <c r="H139" s="18">
        <f t="shared" si="51"/>
        <v>6.2417408114743802</v>
      </c>
      <c r="I139" s="18">
        <f t="shared" si="51"/>
        <v>6.3994156977316674</v>
      </c>
      <c r="J139" s="18">
        <f t="shared" si="51"/>
        <v>5.7437385323331052</v>
      </c>
      <c r="K139" s="18">
        <f t="shared" si="51"/>
        <v>5.4954593890000574</v>
      </c>
      <c r="L139" s="18">
        <f t="shared" si="51"/>
        <v>5.7404111693458812</v>
      </c>
      <c r="M139" s="18">
        <f t="shared" si="51"/>
        <v>5.9254573231502343</v>
      </c>
      <c r="N139" s="18">
        <f t="shared" si="51"/>
        <v>5.9048533132089407</v>
      </c>
      <c r="O139" s="18">
        <f t="shared" si="51"/>
        <v>4.971402864663041</v>
      </c>
      <c r="P139" s="18">
        <f t="shared" si="51"/>
        <v>5.2558386470328129</v>
      </c>
      <c r="Q139" s="18">
        <f t="shared" si="51"/>
        <v>5.5360566299188001</v>
      </c>
      <c r="R139" s="18">
        <f t="shared" si="51"/>
        <v>5.7367719272852442</v>
      </c>
      <c r="S139" s="18">
        <f t="shared" si="51"/>
        <v>5.957773816663007</v>
      </c>
      <c r="T139" s="18">
        <f t="shared" si="51"/>
        <v>5.9872192297782503</v>
      </c>
      <c r="U139" s="18">
        <f t="shared" si="51"/>
        <v>5.8130103372257329</v>
      </c>
      <c r="V139" s="18">
        <f t="shared" si="51"/>
        <v>5.9206939506227192</v>
      </c>
      <c r="W139" s="18">
        <f t="shared" si="51"/>
        <v>5.8471310464569211</v>
      </c>
      <c r="X139" s="18">
        <f t="shared" si="51"/>
        <v>5.7990505664033947</v>
      </c>
      <c r="Y139" s="18">
        <f t="shared" si="51"/>
        <v>5.8512442936578388</v>
      </c>
      <c r="Z139" s="18">
        <f t="shared" si="51"/>
        <v>5.9180754890246368</v>
      </c>
      <c r="AA139" s="18">
        <f t="shared" si="51"/>
        <v>5.827330155627175</v>
      </c>
    </row>
    <row r="140" spans="2:27" x14ac:dyDescent="0.25">
      <c r="B140" s="18" t="s">
        <v>158</v>
      </c>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row>
    <row r="141" spans="2:27" x14ac:dyDescent="0.25">
      <c r="B141" s="233" t="s">
        <v>128</v>
      </c>
      <c r="C141" s="232">
        <f t="shared" ref="C141:AA141" si="52">System_Size*C$138*C$139*C$67</f>
        <v>0</v>
      </c>
      <c r="D141" s="232">
        <f t="shared" si="52"/>
        <v>0</v>
      </c>
      <c r="E141" s="232">
        <f t="shared" si="52"/>
        <v>0</v>
      </c>
      <c r="F141" s="232">
        <f t="shared" si="52"/>
        <v>0</v>
      </c>
      <c r="G141" s="232">
        <f t="shared" si="52"/>
        <v>26772.767344148677</v>
      </c>
      <c r="H141" s="232">
        <f t="shared" si="52"/>
        <v>27385.637810343844</v>
      </c>
      <c r="I141" s="232">
        <f t="shared" si="52"/>
        <v>27933.44952059873</v>
      </c>
      <c r="J141" s="232">
        <f>System_Size*J$138*J$139*J$67</f>
        <v>24942.184576656509</v>
      </c>
      <c r="K141" s="232">
        <f t="shared" si="52"/>
        <v>23740.384560480248</v>
      </c>
      <c r="L141" s="232">
        <f t="shared" si="52"/>
        <v>24669.417000263926</v>
      </c>
      <c r="M141" s="232">
        <f t="shared" si="52"/>
        <v>25331.33005646725</v>
      </c>
      <c r="N141" s="232">
        <f t="shared" si="52"/>
        <v>25110.38871442102</v>
      </c>
      <c r="O141" s="232">
        <f t="shared" si="52"/>
        <v>21029.034117524665</v>
      </c>
      <c r="P141" s="232">
        <f t="shared" si="52"/>
        <v>22113.941107390561</v>
      </c>
      <c r="Q141" s="232">
        <f t="shared" si="52"/>
        <v>23168.39699621018</v>
      </c>
      <c r="R141" s="232">
        <f t="shared" si="52"/>
        <v>23879.313147324829</v>
      </c>
      <c r="S141" s="232">
        <f t="shared" si="52"/>
        <v>24665.183600984848</v>
      </c>
      <c r="T141" s="232">
        <f t="shared" si="52"/>
        <v>24652.375178611946</v>
      </c>
      <c r="U141" s="232">
        <f t="shared" si="52"/>
        <v>23804.277330939378</v>
      </c>
      <c r="V141" s="232">
        <f t="shared" si="52"/>
        <v>24112.026113911023</v>
      </c>
      <c r="W141" s="232">
        <f t="shared" si="52"/>
        <v>23680.880738150528</v>
      </c>
      <c r="X141" s="232">
        <f t="shared" si="52"/>
        <v>23355.676156189671</v>
      </c>
      <c r="Y141" s="232">
        <f t="shared" si="52"/>
        <v>23434.233396099644</v>
      </c>
      <c r="Z141" s="232">
        <f t="shared" si="52"/>
        <v>23568.735635040615</v>
      </c>
      <c r="AA141" s="232">
        <f t="shared" si="52"/>
        <v>23076.227416283615</v>
      </c>
    </row>
    <row r="142" spans="2:27" x14ac:dyDescent="0.25">
      <c r="B142" s="233" t="str">
        <f>"Real "&amp;TEXT(Cash_Flow_Base_Year,"0000")&amp;" $"</f>
        <v>Real 2025 $</v>
      </c>
      <c r="C142" s="232">
        <f t="shared" ref="C142:AA142" si="53">C$141*C$47</f>
        <v>0</v>
      </c>
      <c r="D142" s="232">
        <f t="shared" si="53"/>
        <v>0</v>
      </c>
      <c r="E142" s="232">
        <f t="shared" si="53"/>
        <v>0</v>
      </c>
      <c r="F142" s="232">
        <f t="shared" si="53"/>
        <v>0</v>
      </c>
      <c r="G142" s="232">
        <f t="shared" si="53"/>
        <v>26119.773018681637</v>
      </c>
      <c r="H142" s="232">
        <f t="shared" si="53"/>
        <v>26066.044316805564</v>
      </c>
      <c r="I142" s="232">
        <f t="shared" si="53"/>
        <v>25938.984769784522</v>
      </c>
      <c r="J142" s="232">
        <f t="shared" si="53"/>
        <v>22596.388199936471</v>
      </c>
      <c r="K142" s="232">
        <f t="shared" si="53"/>
        <v>20983.040683279251</v>
      </c>
      <c r="L142" s="232">
        <f t="shared" si="53"/>
        <v>21272.360964400377</v>
      </c>
      <c r="M142" s="232">
        <f t="shared" si="53"/>
        <v>21310.3673349296</v>
      </c>
      <c r="N142" s="232">
        <f t="shared" si="53"/>
        <v>20609.265429144816</v>
      </c>
      <c r="O142" s="232">
        <f t="shared" si="53"/>
        <v>16838.544038507207</v>
      </c>
      <c r="P142" s="232">
        <f t="shared" si="53"/>
        <v>17275.375448950363</v>
      </c>
      <c r="Q142" s="232">
        <f t="shared" si="53"/>
        <v>17657.672881938077</v>
      </c>
      <c r="R142" s="232">
        <f t="shared" si="53"/>
        <v>17755.603821533183</v>
      </c>
      <c r="S142" s="232">
        <f t="shared" si="53"/>
        <v>17892.626753400309</v>
      </c>
      <c r="T142" s="232">
        <f t="shared" si="53"/>
        <v>17447.156353981489</v>
      </c>
      <c r="U142" s="232">
        <f t="shared" si="53"/>
        <v>16436.033602456704</v>
      </c>
      <c r="V142" s="232">
        <f t="shared" si="53"/>
        <v>16242.461987568528</v>
      </c>
      <c r="W142" s="232">
        <f t="shared" si="53"/>
        <v>15562.957768285278</v>
      </c>
      <c r="X142" s="232">
        <f t="shared" si="53"/>
        <v>14974.863340958629</v>
      </c>
      <c r="Y142" s="232">
        <f t="shared" si="53"/>
        <v>14658.762502556909</v>
      </c>
      <c r="Z142" s="232">
        <f t="shared" si="53"/>
        <v>14383.31451798675</v>
      </c>
      <c r="AA142" s="232">
        <f t="shared" si="53"/>
        <v>13739.269329717263</v>
      </c>
    </row>
    <row r="144" spans="2:27" x14ac:dyDescent="0.25">
      <c r="B144" s="164" t="s">
        <v>159</v>
      </c>
    </row>
    <row r="145" spans="2:27" x14ac:dyDescent="0.25">
      <c r="B145" s="111" t="s">
        <v>5</v>
      </c>
      <c r="C145" s="111" t="str">
        <f>Plant_Type</f>
        <v>Solar - Tracking</v>
      </c>
    </row>
    <row r="146" spans="2:27" x14ac:dyDescent="0.25">
      <c r="B146" s="111" t="s">
        <v>160</v>
      </c>
      <c r="C146" s="111" t="str">
        <f>Revenue_Model</f>
        <v>VDER - Value of Distributed Energy Resources</v>
      </c>
    </row>
    <row r="147" spans="2:27" x14ac:dyDescent="0.25">
      <c r="B147" s="111" t="s">
        <v>111</v>
      </c>
      <c r="C147" s="225">
        <f>System_Size</f>
        <v>4500</v>
      </c>
    </row>
    <row r="148" spans="2:27" x14ac:dyDescent="0.25">
      <c r="B148" s="111" t="s">
        <v>142</v>
      </c>
      <c r="C148" s="225">
        <f>System_Age</f>
        <v>4</v>
      </c>
    </row>
    <row r="149" spans="2:27" x14ac:dyDescent="0.25">
      <c r="B149" s="111" t="s">
        <v>161</v>
      </c>
      <c r="C149" s="225">
        <f>IF(Plant_Type="Hybrid Solar Plus Storage",BESS_Size_kW,0)</f>
        <v>0</v>
      </c>
    </row>
    <row r="150" spans="2:27" x14ac:dyDescent="0.25">
      <c r="B150" s="111" t="s">
        <v>162</v>
      </c>
      <c r="C150" s="225">
        <f>IF(Plant_Type="Hybrid Solar Plus Storage",IF(System_Age&gt;15,0,System_Age),0)</f>
        <v>0</v>
      </c>
    </row>
    <row r="151" spans="2:27" x14ac:dyDescent="0.25">
      <c r="B151" s="111" t="s">
        <v>163</v>
      </c>
      <c r="C151" s="238" cm="1">
        <f t="array" ref="C151">INDEX(ModelFactors!$M$3:$M$10,MATCH(1,(ModelFactors!$H$3:$H$10=Model!$C$145)*(ModelFactors!$I$3:$I$10=Model!$C$146),0))</f>
        <v>13.985900000000001</v>
      </c>
      <c r="D151" s="111" t="s">
        <v>164</v>
      </c>
    </row>
    <row r="152" spans="2:27" x14ac:dyDescent="0.25">
      <c r="B152" s="111" t="s">
        <v>334</v>
      </c>
      <c r="C152" s="238">
        <f>SUM(Inputs!$C$64,Inputs!$C$65)*ModelFactors!$J$20*1000</f>
        <v>23.3294</v>
      </c>
      <c r="D152" s="111" t="s">
        <v>164</v>
      </c>
      <c r="E152" s="238"/>
    </row>
    <row r="153" spans="2:27" x14ac:dyDescent="0.25">
      <c r="B153" s="111" t="s">
        <v>165</v>
      </c>
      <c r="C153" s="238">
        <f>C$151+C152</f>
        <v>37.315300000000001</v>
      </c>
      <c r="D153" s="111" t="s">
        <v>164</v>
      </c>
      <c r="E153" s="238"/>
    </row>
    <row r="154" spans="2:27" x14ac:dyDescent="0.25">
      <c r="B154" s="111" t="s">
        <v>166</v>
      </c>
      <c r="C154" s="238">
        <f>IF(C147&gt;=ModelFactors!I15*1000,VLOOKUP(Plant_Type,ModelFactors!$H$15:$K$17,4,FALSE))/1000*Inputs!$C$36</f>
        <v>0</v>
      </c>
      <c r="D154" s="239" t="s">
        <v>167</v>
      </c>
    </row>
    <row r="155" spans="2:27" x14ac:dyDescent="0.25">
      <c r="B155" s="111" t="s">
        <v>168</v>
      </c>
      <c r="C155" s="237"/>
      <c r="D155" s="237"/>
      <c r="E155" s="237"/>
      <c r="F155" s="237"/>
      <c r="G155" s="237"/>
      <c r="H155" s="237"/>
      <c r="I155" s="237"/>
      <c r="J155" s="237"/>
      <c r="K155" s="237"/>
      <c r="L155" s="237"/>
      <c r="M155" s="237"/>
      <c r="N155" s="237"/>
      <c r="O155" s="237"/>
      <c r="P155" s="237"/>
      <c r="Q155" s="237"/>
      <c r="R155" s="237"/>
      <c r="S155" s="237"/>
      <c r="T155" s="237"/>
      <c r="U155" s="237"/>
      <c r="V155" s="237"/>
      <c r="W155" s="237"/>
      <c r="X155" s="237"/>
      <c r="Y155" s="237"/>
      <c r="Z155" s="237"/>
      <c r="AA155" s="237"/>
    </row>
    <row r="156" spans="2:27" x14ac:dyDescent="0.25">
      <c r="B156" s="233" t="s">
        <v>128</v>
      </c>
      <c r="C156" s="232">
        <f>IF(C$3&lt;=System_Age,0,((System_Size + IF(C$3&lt;=Inputs!$C$52,$C$149,0)) * ($C$151+IF(C3&lt;=ModelFactors!$J$15,$C$154,0))) + (System_Size * $C$152))*C$48</f>
        <v>0</v>
      </c>
      <c r="D156" s="232">
        <f>IF(D$3&lt;=System_Age,0,((System_Size + IF(D$3&lt;=Inputs!$C$52,$C$149,0)) * ($C$151+IF(D3&lt;=ModelFactors!$J$15,$C$154,0))) + (System_Size * $C$152))*D$48</f>
        <v>0</v>
      </c>
      <c r="E156" s="232">
        <f>IF(E$3&lt;=System_Age,0,((System_Size + IF(E$3&lt;=Inputs!$C$52,$C$149,0)) * ($C$151+IF(E3&lt;=ModelFactors!$J$15,$C$154,0))) + (System_Size * $C$152))*E$48</f>
        <v>0</v>
      </c>
      <c r="F156" s="232">
        <f>IF(F$3&lt;=System_Age,0,((System_Size + IF(F$3&lt;=Inputs!$C$52,$C$149,0)) * ($C$151+IF(F3&lt;=ModelFactors!$J$15,$C$154,0))) + (System_Size * $C$152))*F$48</f>
        <v>0</v>
      </c>
      <c r="G156" s="232">
        <f>IF(G$3&lt;=System_Age,0,((System_Size + IF(G$3&lt;=Inputs!$C$52,$C$149,0)) * ($C$151+IF(G3&lt;=ModelFactors!$J$15,$C$154,0))) + (System_Size * $C$152))*G$48</f>
        <v>172116.82124999998</v>
      </c>
      <c r="H156" s="232">
        <f>IF(H$3&lt;=System_Age,0,((System_Size + IF(H$3&lt;=Inputs!$C$52,$C$149,0)) * ($C$151+IF(H3&lt;=ModelFactors!$J$15,$C$154,0))) + (System_Size * $C$152))*H$48</f>
        <v>176419.74178124999</v>
      </c>
      <c r="I156" s="232">
        <f>IF(I$3&lt;=System_Age,0,((System_Size + IF(I$3&lt;=Inputs!$C$52,$C$149,0)) * ($C$151+IF(I3&lt;=ModelFactors!$J$15,$C$154,0))) + (System_Size * $C$152))*I$48</f>
        <v>180830.23532578125</v>
      </c>
      <c r="J156" s="232">
        <f>IF(J$3&lt;=System_Age,0,((System_Size + IF(J$3&lt;=Inputs!$C$52,$C$149,0)) * ($C$151+IF(J3&lt;=ModelFactors!$J$15,$C$154,0))) + (System_Size * $C$152))*J$48</f>
        <v>185350.99120892576</v>
      </c>
      <c r="K156" s="232">
        <f>IF(K$3&lt;=System_Age,0,((System_Size + IF(K$3&lt;=Inputs!$C$52,$C$149,0)) * ($C$151+IF(K3&lt;=ModelFactors!$J$15,$C$154,0))) + (System_Size * $C$152))*K$48</f>
        <v>189984.76598914887</v>
      </c>
      <c r="L156" s="232">
        <f>IF(L$3&lt;=System_Age,0,((System_Size + IF(L$3&lt;=Inputs!$C$52,$C$149,0)) * ($C$151+IF(L3&lt;=ModelFactors!$J$15,$C$154,0))) + (System_Size * $C$152))*L$48</f>
        <v>194734.38513887758</v>
      </c>
      <c r="M156" s="232">
        <f>IF(M$3&lt;=System_Age,0,((System_Size + IF(M$3&lt;=Inputs!$C$52,$C$149,0)) * ($C$151+IF(M3&lt;=ModelFactors!$J$15,$C$154,0))) + (System_Size * $C$152))*M$48</f>
        <v>199602.74476734953</v>
      </c>
      <c r="N156" s="232">
        <f>IF(N$3&lt;=System_Age,0,((System_Size + IF(N$3&lt;=Inputs!$C$52,$C$149,0)) * ($C$151+IF(N3&lt;=ModelFactors!$J$15,$C$154,0))) + (System_Size * $C$152))*N$48</f>
        <v>204592.81338653326</v>
      </c>
      <c r="O156" s="232">
        <f>IF(O$3&lt;=System_Age,0,((System_Size + IF(O$3&lt;=Inputs!$C$52,$C$149,0)) * ($C$151+IF(O3&lt;=ModelFactors!$J$15,$C$154,0))) + (System_Size * $C$152))*O$48</f>
        <v>209707.63372119656</v>
      </c>
      <c r="P156" s="232">
        <f>IF(P$3&lt;=System_Age,0,((System_Size + IF(P$3&lt;=Inputs!$C$52,$C$149,0)) * ($C$151+IF(P3&lt;=ModelFactors!$J$15,$C$154,0))) + (System_Size * $C$152))*P$48</f>
        <v>214950.32456422647</v>
      </c>
      <c r="Q156" s="232">
        <f>IF(Q$3&lt;=System_Age,0,((System_Size + IF(Q$3&lt;=Inputs!$C$52,$C$149,0)) * ($C$151+IF(Q3&lt;=ModelFactors!$J$15,$C$154,0))) + (System_Size * $C$152))*Q$48</f>
        <v>220324.08267833211</v>
      </c>
      <c r="R156" s="232">
        <f>IF(R$3&lt;=System_Age,0,((System_Size + IF(R$3&lt;=Inputs!$C$52,$C$149,0)) * ($C$151+IF(R3&lt;=ModelFactors!$J$15,$C$154,0))) + (System_Size * $C$152))*R$48</f>
        <v>225832.1847452904</v>
      </c>
      <c r="S156" s="232">
        <f>IF(S$3&lt;=System_Age,0,((System_Size + IF(S$3&lt;=Inputs!$C$52,$C$149,0)) * ($C$151+IF(S3&lt;=ModelFactors!$J$15,$C$154,0))) + (System_Size * $C$152))*S$48</f>
        <v>231477.98936392265</v>
      </c>
      <c r="T156" s="232">
        <f>IF(T$3&lt;=System_Age,0,((System_Size + IF(T$3&lt;=Inputs!$C$52,$C$149,0)) * ($C$151+IF(T3&lt;=ModelFactors!$J$15,$C$154,0))) + (System_Size * $C$152))*T$48</f>
        <v>237264.9390980207</v>
      </c>
      <c r="U156" s="232">
        <f>IF(U$3&lt;=System_Age,0,((System_Size + IF(U$3&lt;=Inputs!$C$52,$C$149,0)) * ($C$151+IF(U3&lt;=ModelFactors!$J$15,$C$154,0))) + (System_Size * $C$152))*U$48</f>
        <v>243196.56257547124</v>
      </c>
      <c r="V156" s="232">
        <f>IF(V$3&lt;=System_Age,0,((System_Size + IF(V$3&lt;=Inputs!$C$52,$C$149,0)) * ($C$151+IF(V3&lt;=ModelFactors!$J$15,$C$154,0))) + (System_Size * $C$152))*V$48</f>
        <v>249276.47663985801</v>
      </c>
      <c r="W156" s="232">
        <f>IF(W$3&lt;=System_Age,0,((System_Size + IF(W$3&lt;=Inputs!$C$52,$C$149,0)) * ($C$151+IF(W3&lt;=ModelFactors!$J$15,$C$154,0))) + (System_Size * $C$152))*W$48</f>
        <v>255508.38855585441</v>
      </c>
      <c r="X156" s="232">
        <f>IF(X$3&lt;=System_Age,0,((System_Size + IF(X$3&lt;=Inputs!$C$52,$C$149,0)) * ($C$151+IF(X3&lt;=ModelFactors!$J$15,$C$154,0))) + (System_Size * $C$152))*X$48</f>
        <v>261896.0982697508</v>
      </c>
      <c r="Y156" s="232">
        <f>IF(Y$3&lt;=System_Age,0,((System_Size + IF(Y$3&lt;=Inputs!$C$52,$C$149,0)) * ($C$151+IF(Y3&lt;=ModelFactors!$J$15,$C$154,0))) + (System_Size * $C$152))*Y$48</f>
        <v>268443.50072649459</v>
      </c>
      <c r="Z156" s="232">
        <f>IF(Z$3&lt;=System_Age,0,((System_Size + IF(Z$3&lt;=Inputs!$C$52,$C$149,0)) * ($C$151+IF(Z3&lt;=ModelFactors!$J$15,$C$154,0))) + (System_Size * $C$152))*Z$48</f>
        <v>275154.58824465692</v>
      </c>
      <c r="AA156" s="232">
        <f>IF(AA$3&lt;=System_Age,0,((System_Size + IF(AA$3&lt;=Inputs!$C$52,$C$149,0)) * ($C$151+IF(AA3&lt;=ModelFactors!$J$15,$C$154,0))) + (System_Size * $C$152))*AA$48</f>
        <v>282033.4529507733</v>
      </c>
    </row>
    <row r="157" spans="2:27" x14ac:dyDescent="0.25">
      <c r="B157" s="233" t="str">
        <f>"Real "&amp;TEXT(Cash_Flow_Base_Year,"0000")&amp;" $"</f>
        <v>Real 2025 $</v>
      </c>
      <c r="C157" s="232">
        <f t="shared" ref="C157:AA157" si="54">C$156*C$47</f>
        <v>0</v>
      </c>
      <c r="D157" s="232">
        <f>D$156*D$47</f>
        <v>0</v>
      </c>
      <c r="E157" s="232">
        <f t="shared" si="54"/>
        <v>0</v>
      </c>
      <c r="F157" s="232">
        <f t="shared" si="54"/>
        <v>0</v>
      </c>
      <c r="G157" s="232">
        <f t="shared" si="54"/>
        <v>167918.85</v>
      </c>
      <c r="H157" s="232">
        <f t="shared" si="54"/>
        <v>167918.85</v>
      </c>
      <c r="I157" s="232">
        <f t="shared" si="54"/>
        <v>167918.85000000003</v>
      </c>
      <c r="J157" s="232">
        <f t="shared" si="54"/>
        <v>167918.85000000003</v>
      </c>
      <c r="K157" s="232">
        <f t="shared" si="54"/>
        <v>167918.85</v>
      </c>
      <c r="L157" s="232">
        <f t="shared" si="54"/>
        <v>167918.85</v>
      </c>
      <c r="M157" s="232">
        <f t="shared" si="54"/>
        <v>167918.85</v>
      </c>
      <c r="N157" s="232">
        <f t="shared" si="54"/>
        <v>167918.85</v>
      </c>
      <c r="O157" s="232">
        <f t="shared" si="54"/>
        <v>167918.85000000003</v>
      </c>
      <c r="P157" s="232">
        <f t="shared" si="54"/>
        <v>167918.85</v>
      </c>
      <c r="Q157" s="232">
        <f t="shared" si="54"/>
        <v>167918.85</v>
      </c>
      <c r="R157" s="232">
        <f t="shared" si="54"/>
        <v>167918.85</v>
      </c>
      <c r="S157" s="232">
        <f t="shared" si="54"/>
        <v>167918.85</v>
      </c>
      <c r="T157" s="232">
        <f t="shared" si="54"/>
        <v>167918.85</v>
      </c>
      <c r="U157" s="232">
        <f t="shared" si="54"/>
        <v>167918.85</v>
      </c>
      <c r="V157" s="232">
        <f t="shared" si="54"/>
        <v>167918.85</v>
      </c>
      <c r="W157" s="232">
        <f t="shared" si="54"/>
        <v>167918.84999999998</v>
      </c>
      <c r="X157" s="232">
        <f t="shared" si="54"/>
        <v>167918.85</v>
      </c>
      <c r="Y157" s="232">
        <f t="shared" si="54"/>
        <v>167918.85</v>
      </c>
      <c r="Z157" s="232">
        <f t="shared" si="54"/>
        <v>167918.85</v>
      </c>
      <c r="AA157" s="232">
        <f t="shared" si="54"/>
        <v>167918.85</v>
      </c>
    </row>
    <row r="158" spans="2:27" x14ac:dyDescent="0.25">
      <c r="B158" s="234"/>
    </row>
    <row r="159" spans="2:27" x14ac:dyDescent="0.25">
      <c r="B159" s="164" t="s">
        <v>169</v>
      </c>
    </row>
    <row r="160" spans="2:27" x14ac:dyDescent="0.25">
      <c r="B160" s="111" t="s">
        <v>142</v>
      </c>
      <c r="C160" s="111">
        <f>System_Age</f>
        <v>4</v>
      </c>
    </row>
    <row r="161" spans="2:27" x14ac:dyDescent="0.25">
      <c r="B161" s="111" t="s">
        <v>170</v>
      </c>
      <c r="C161" s="232">
        <f>Ground_Lease_Ann</f>
        <v>0</v>
      </c>
    </row>
    <row r="162" spans="2:27" x14ac:dyDescent="0.25">
      <c r="B162" s="111" t="s">
        <v>171</v>
      </c>
      <c r="C162" s="226">
        <f>Ground_Lease_Esc</f>
        <v>0</v>
      </c>
    </row>
    <row r="163" spans="2:27" x14ac:dyDescent="0.25">
      <c r="B163" s="111" t="s">
        <v>172</v>
      </c>
      <c r="C163" s="226"/>
    </row>
    <row r="164" spans="2:27" x14ac:dyDescent="0.25">
      <c r="B164" s="233" t="s">
        <v>128</v>
      </c>
      <c r="C164" s="232">
        <f t="shared" ref="C164:AA164" si="55">IF((C$3&lt;=System_Age),0,Ground_Lease_Ann*(1+Ground_Lease_Esc)^(C$3-1))</f>
        <v>0</v>
      </c>
      <c r="D164" s="232">
        <f>IF((D$3&lt;=System_Age),0,Ground_Lease_Ann*(1+Ground_Lease_Esc)^(D$3-1))</f>
        <v>0</v>
      </c>
      <c r="E164" s="232">
        <f t="shared" si="55"/>
        <v>0</v>
      </c>
      <c r="F164" s="232">
        <f>IF((F$3&lt;=System_Age),0,Ground_Lease_Ann*(1+Ground_Lease_Esc)^(F$3-1))</f>
        <v>0</v>
      </c>
      <c r="G164" s="232">
        <f t="shared" si="55"/>
        <v>0</v>
      </c>
      <c r="H164" s="232">
        <f t="shared" si="55"/>
        <v>0</v>
      </c>
      <c r="I164" s="232">
        <f t="shared" si="55"/>
        <v>0</v>
      </c>
      <c r="J164" s="232">
        <f t="shared" si="55"/>
        <v>0</v>
      </c>
      <c r="K164" s="232">
        <f t="shared" si="55"/>
        <v>0</v>
      </c>
      <c r="L164" s="232">
        <f t="shared" si="55"/>
        <v>0</v>
      </c>
      <c r="M164" s="232">
        <f t="shared" si="55"/>
        <v>0</v>
      </c>
      <c r="N164" s="232">
        <f t="shared" si="55"/>
        <v>0</v>
      </c>
      <c r="O164" s="232">
        <f t="shared" si="55"/>
        <v>0</v>
      </c>
      <c r="P164" s="232">
        <f t="shared" si="55"/>
        <v>0</v>
      </c>
      <c r="Q164" s="232">
        <f t="shared" si="55"/>
        <v>0</v>
      </c>
      <c r="R164" s="232">
        <f t="shared" si="55"/>
        <v>0</v>
      </c>
      <c r="S164" s="232">
        <f t="shared" si="55"/>
        <v>0</v>
      </c>
      <c r="T164" s="232">
        <f t="shared" si="55"/>
        <v>0</v>
      </c>
      <c r="U164" s="232">
        <f t="shared" si="55"/>
        <v>0</v>
      </c>
      <c r="V164" s="232">
        <f t="shared" si="55"/>
        <v>0</v>
      </c>
      <c r="W164" s="232">
        <f t="shared" si="55"/>
        <v>0</v>
      </c>
      <c r="X164" s="232">
        <f t="shared" si="55"/>
        <v>0</v>
      </c>
      <c r="Y164" s="232">
        <f t="shared" si="55"/>
        <v>0</v>
      </c>
      <c r="Z164" s="232">
        <f t="shared" si="55"/>
        <v>0</v>
      </c>
      <c r="AA164" s="232">
        <f t="shared" si="55"/>
        <v>0</v>
      </c>
    </row>
    <row r="165" spans="2:27" x14ac:dyDescent="0.25">
      <c r="B165" s="233" t="str">
        <f>"Real "&amp;TEXT(Cash_Flow_Base_Year,"0000")&amp;" $"</f>
        <v>Real 2025 $</v>
      </c>
      <c r="C165" s="232">
        <f t="shared" ref="C165:AA165" si="56">C$164*C$47</f>
        <v>0</v>
      </c>
      <c r="D165" s="232">
        <f t="shared" si="56"/>
        <v>0</v>
      </c>
      <c r="E165" s="232">
        <f t="shared" si="56"/>
        <v>0</v>
      </c>
      <c r="F165" s="232">
        <f t="shared" si="56"/>
        <v>0</v>
      </c>
      <c r="G165" s="232">
        <f t="shared" si="56"/>
        <v>0</v>
      </c>
      <c r="H165" s="232">
        <f t="shared" si="56"/>
        <v>0</v>
      </c>
      <c r="I165" s="232">
        <f t="shared" si="56"/>
        <v>0</v>
      </c>
      <c r="J165" s="232">
        <f t="shared" si="56"/>
        <v>0</v>
      </c>
      <c r="K165" s="232">
        <f t="shared" si="56"/>
        <v>0</v>
      </c>
      <c r="L165" s="232">
        <f t="shared" si="56"/>
        <v>0</v>
      </c>
      <c r="M165" s="232">
        <f t="shared" si="56"/>
        <v>0</v>
      </c>
      <c r="N165" s="232">
        <f t="shared" si="56"/>
        <v>0</v>
      </c>
      <c r="O165" s="232">
        <f t="shared" si="56"/>
        <v>0</v>
      </c>
      <c r="P165" s="232">
        <f t="shared" si="56"/>
        <v>0</v>
      </c>
      <c r="Q165" s="232">
        <f t="shared" si="56"/>
        <v>0</v>
      </c>
      <c r="R165" s="232">
        <f t="shared" si="56"/>
        <v>0</v>
      </c>
      <c r="S165" s="232">
        <f t="shared" si="56"/>
        <v>0</v>
      </c>
      <c r="T165" s="232">
        <f t="shared" si="56"/>
        <v>0</v>
      </c>
      <c r="U165" s="232">
        <f t="shared" si="56"/>
        <v>0</v>
      </c>
      <c r="V165" s="232">
        <f t="shared" si="56"/>
        <v>0</v>
      </c>
      <c r="W165" s="232">
        <f t="shared" si="56"/>
        <v>0</v>
      </c>
      <c r="X165" s="232">
        <f t="shared" si="56"/>
        <v>0</v>
      </c>
      <c r="Y165" s="232">
        <f t="shared" si="56"/>
        <v>0</v>
      </c>
      <c r="Z165" s="232">
        <f t="shared" si="56"/>
        <v>0</v>
      </c>
      <c r="AA165" s="232">
        <f t="shared" si="56"/>
        <v>0</v>
      </c>
    </row>
    <row r="166" spans="2:27" x14ac:dyDescent="0.25">
      <c r="B166" s="234"/>
    </row>
    <row r="167" spans="2:27" x14ac:dyDescent="0.25">
      <c r="B167" s="164" t="s">
        <v>173</v>
      </c>
    </row>
    <row r="168" spans="2:27" x14ac:dyDescent="0.25">
      <c r="B168" s="111" t="s">
        <v>111</v>
      </c>
      <c r="C168" s="225">
        <f>System_Size</f>
        <v>4500</v>
      </c>
    </row>
    <row r="169" spans="2:27" x14ac:dyDescent="0.25">
      <c r="B169" s="111" t="s">
        <v>142</v>
      </c>
      <c r="C169" s="111">
        <f>System_Age</f>
        <v>4</v>
      </c>
    </row>
    <row r="170" spans="2:27" x14ac:dyDescent="0.25">
      <c r="B170" s="111" t="s">
        <v>174</v>
      </c>
      <c r="C170" s="238">
        <f>Decomm_Cost_Rate</f>
        <v>1.87</v>
      </c>
    </row>
    <row r="171" spans="2:27" x14ac:dyDescent="0.25">
      <c r="B171" s="111" t="s">
        <v>175</v>
      </c>
      <c r="C171" s="237">
        <f>(1+Inflation)^(YEAR(Date_of_Operation)-Cost_Base_Year)</f>
        <v>0.92859941091974885</v>
      </c>
    </row>
    <row r="172" spans="2:27" x14ac:dyDescent="0.25">
      <c r="B172" s="111" t="s">
        <v>176</v>
      </c>
      <c r="C172" s="238"/>
    </row>
    <row r="173" spans="2:27" x14ac:dyDescent="0.25">
      <c r="B173" s="233" t="s">
        <v>128</v>
      </c>
      <c r="C173" s="232">
        <f t="shared" ref="C173:AA173" si="57">IF(C$3&lt;=System_Age,0,System_Size*Decomm_Cost_Rate)*$C$171</f>
        <v>0</v>
      </c>
      <c r="D173" s="232">
        <f t="shared" si="57"/>
        <v>0</v>
      </c>
      <c r="E173" s="232">
        <f t="shared" si="57"/>
        <v>0</v>
      </c>
      <c r="F173" s="232">
        <f t="shared" si="57"/>
        <v>0</v>
      </c>
      <c r="G173" s="232">
        <f t="shared" si="57"/>
        <v>7814.1640428896862</v>
      </c>
      <c r="H173" s="232">
        <f t="shared" si="57"/>
        <v>7814.1640428896862</v>
      </c>
      <c r="I173" s="232">
        <f t="shared" si="57"/>
        <v>7814.1640428896862</v>
      </c>
      <c r="J173" s="232">
        <f t="shared" si="57"/>
        <v>7814.1640428896862</v>
      </c>
      <c r="K173" s="232">
        <f t="shared" si="57"/>
        <v>7814.1640428896862</v>
      </c>
      <c r="L173" s="232">
        <f t="shared" si="57"/>
        <v>7814.1640428896862</v>
      </c>
      <c r="M173" s="232">
        <f t="shared" si="57"/>
        <v>7814.1640428896862</v>
      </c>
      <c r="N173" s="232">
        <f t="shared" si="57"/>
        <v>7814.1640428896862</v>
      </c>
      <c r="O173" s="232">
        <f t="shared" si="57"/>
        <v>7814.1640428896862</v>
      </c>
      <c r="P173" s="232">
        <f t="shared" si="57"/>
        <v>7814.1640428896862</v>
      </c>
      <c r="Q173" s="232">
        <f t="shared" si="57"/>
        <v>7814.1640428896862</v>
      </c>
      <c r="R173" s="232">
        <f t="shared" si="57"/>
        <v>7814.1640428896862</v>
      </c>
      <c r="S173" s="232">
        <f t="shared" si="57"/>
        <v>7814.1640428896862</v>
      </c>
      <c r="T173" s="232">
        <f t="shared" si="57"/>
        <v>7814.1640428896862</v>
      </c>
      <c r="U173" s="232">
        <f t="shared" si="57"/>
        <v>7814.1640428896862</v>
      </c>
      <c r="V173" s="232">
        <f t="shared" si="57"/>
        <v>7814.1640428896862</v>
      </c>
      <c r="W173" s="232">
        <f t="shared" si="57"/>
        <v>7814.1640428896862</v>
      </c>
      <c r="X173" s="232">
        <f t="shared" si="57"/>
        <v>7814.1640428896862</v>
      </c>
      <c r="Y173" s="232">
        <f t="shared" si="57"/>
        <v>7814.1640428896862</v>
      </c>
      <c r="Z173" s="232">
        <f t="shared" si="57"/>
        <v>7814.1640428896862</v>
      </c>
      <c r="AA173" s="232">
        <f t="shared" si="57"/>
        <v>7814.1640428896862</v>
      </c>
    </row>
    <row r="174" spans="2:27" x14ac:dyDescent="0.25">
      <c r="B174" s="233" t="str">
        <f>"Real "&amp;TEXT(Cash_Flow_Base_Year,"0000")&amp;" $"</f>
        <v>Real 2025 $</v>
      </c>
      <c r="C174" s="232">
        <f t="shared" ref="C174:AA174" si="58">C$173*C$47</f>
        <v>0</v>
      </c>
      <c r="D174" s="232">
        <f t="shared" si="58"/>
        <v>0</v>
      </c>
      <c r="E174" s="232">
        <f t="shared" si="58"/>
        <v>0</v>
      </c>
      <c r="F174" s="232">
        <f t="shared" si="58"/>
        <v>0</v>
      </c>
      <c r="G174" s="232">
        <f t="shared" si="58"/>
        <v>7623.5746759899384</v>
      </c>
      <c r="H174" s="232">
        <f t="shared" si="58"/>
        <v>7437.6338302340855</v>
      </c>
      <c r="I174" s="232">
        <f t="shared" si="58"/>
        <v>7256.2281270576459</v>
      </c>
      <c r="J174" s="232">
        <f t="shared" si="58"/>
        <v>7079.2469532269724</v>
      </c>
      <c r="K174" s="232">
        <f t="shared" si="58"/>
        <v>6906.5823933921674</v>
      </c>
      <c r="L174" s="232">
        <f t="shared" si="58"/>
        <v>6738.129164285042</v>
      </c>
      <c r="M174" s="232">
        <f t="shared" si="58"/>
        <v>6573.784550521993</v>
      </c>
      <c r="N174" s="232">
        <f t="shared" si="58"/>
        <v>6413.4483419726766</v>
      </c>
      <c r="O174" s="232">
        <f t="shared" si="58"/>
        <v>6257.0227726562707</v>
      </c>
      <c r="P174" s="232">
        <f t="shared" si="58"/>
        <v>6104.4124611280686</v>
      </c>
      <c r="Q174" s="232">
        <f t="shared" si="58"/>
        <v>5955.5243523200679</v>
      </c>
      <c r="R174" s="232">
        <f t="shared" si="58"/>
        <v>5810.2676608000666</v>
      </c>
      <c r="S174" s="232">
        <f t="shared" si="58"/>
        <v>5668.5538154146989</v>
      </c>
      <c r="T174" s="232">
        <f t="shared" si="58"/>
        <v>5530.2964052826337</v>
      </c>
      <c r="U174" s="232">
        <f t="shared" si="58"/>
        <v>5395.4111271050078</v>
      </c>
      <c r="V174" s="232">
        <f t="shared" si="58"/>
        <v>5263.8157337609837</v>
      </c>
      <c r="W174" s="232">
        <f t="shared" si="58"/>
        <v>5135.4299841570573</v>
      </c>
      <c r="X174" s="232">
        <f t="shared" si="58"/>
        <v>5010.1755942995678</v>
      </c>
      <c r="Y174" s="232">
        <f t="shared" si="58"/>
        <v>4887.9761895605543</v>
      </c>
      <c r="Z174" s="232">
        <f t="shared" si="58"/>
        <v>4768.7572581078584</v>
      </c>
      <c r="AA174" s="232">
        <f t="shared" si="58"/>
        <v>4652.4461054710819</v>
      </c>
    </row>
    <row r="175" spans="2:27" x14ac:dyDescent="0.25">
      <c r="B175" s="234"/>
    </row>
    <row r="176" spans="2:27" x14ac:dyDescent="0.25">
      <c r="B176" s="164" t="s">
        <v>177</v>
      </c>
    </row>
    <row r="177" spans="2:27" x14ac:dyDescent="0.25">
      <c r="B177" s="111" t="s">
        <v>178</v>
      </c>
      <c r="C177" s="225">
        <f>Inverter_Size</f>
        <v>4500</v>
      </c>
    </row>
    <row r="178" spans="2:27" x14ac:dyDescent="0.25">
      <c r="B178" s="111" t="s">
        <v>58</v>
      </c>
      <c r="C178" s="111">
        <f>Inverter_Age</f>
        <v>4</v>
      </c>
    </row>
    <row r="179" spans="2:27" x14ac:dyDescent="0.25">
      <c r="B179" s="111" t="s">
        <v>179</v>
      </c>
      <c r="C179" s="111">
        <f>Inverter_Repl_Cycle</f>
        <v>15</v>
      </c>
    </row>
    <row r="180" spans="2:27" x14ac:dyDescent="0.25">
      <c r="B180" s="111" t="s">
        <v>180</v>
      </c>
      <c r="C180" s="238">
        <f>Inverter_Cost</f>
        <v>100</v>
      </c>
      <c r="D180" s="239"/>
    </row>
    <row r="181" spans="2:27" x14ac:dyDescent="0.25">
      <c r="B181" s="111" t="s">
        <v>181</v>
      </c>
      <c r="C181" s="238"/>
      <c r="D181" s="239"/>
    </row>
    <row r="182" spans="2:27" x14ac:dyDescent="0.25">
      <c r="B182" s="233" t="s">
        <v>128</v>
      </c>
      <c r="C182" s="232">
        <f t="shared" ref="C182:AA182" si="59">IF(ValGroup&lt;&gt;8,IF(C$3=Inverter_Repl_Cycle,IF(System_Age&lt;Inverter_Repl_Cycle,(Inverter_Size*Inverter_Cost),0),0),0)*C$48</f>
        <v>0</v>
      </c>
      <c r="D182" s="232">
        <f t="shared" si="59"/>
        <v>0</v>
      </c>
      <c r="E182" s="232">
        <f t="shared" si="59"/>
        <v>0</v>
      </c>
      <c r="F182" s="232">
        <f t="shared" si="59"/>
        <v>0</v>
      </c>
      <c r="G182" s="232">
        <f t="shared" si="59"/>
        <v>0</v>
      </c>
      <c r="H182" s="232">
        <f t="shared" si="59"/>
        <v>0</v>
      </c>
      <c r="I182" s="232">
        <f t="shared" si="59"/>
        <v>0</v>
      </c>
      <c r="J182" s="232">
        <f t="shared" si="59"/>
        <v>0</v>
      </c>
      <c r="K182" s="232">
        <f t="shared" si="59"/>
        <v>0</v>
      </c>
      <c r="L182" s="232">
        <f t="shared" si="59"/>
        <v>0</v>
      </c>
      <c r="M182" s="232">
        <f t="shared" si="59"/>
        <v>0</v>
      </c>
      <c r="N182" s="232">
        <f t="shared" si="59"/>
        <v>0</v>
      </c>
      <c r="O182" s="232">
        <f t="shared" si="59"/>
        <v>0</v>
      </c>
      <c r="P182" s="232">
        <f t="shared" si="59"/>
        <v>0</v>
      </c>
      <c r="Q182" s="232">
        <f t="shared" si="59"/>
        <v>590438.99601056974</v>
      </c>
      <c r="R182" s="232">
        <f t="shared" si="59"/>
        <v>0</v>
      </c>
      <c r="S182" s="232">
        <f t="shared" si="59"/>
        <v>0</v>
      </c>
      <c r="T182" s="232">
        <f t="shared" si="59"/>
        <v>0</v>
      </c>
      <c r="U182" s="232">
        <f t="shared" si="59"/>
        <v>0</v>
      </c>
      <c r="V182" s="232">
        <f t="shared" si="59"/>
        <v>0</v>
      </c>
      <c r="W182" s="232">
        <f t="shared" si="59"/>
        <v>0</v>
      </c>
      <c r="X182" s="232">
        <f t="shared" si="59"/>
        <v>0</v>
      </c>
      <c r="Y182" s="232">
        <f t="shared" si="59"/>
        <v>0</v>
      </c>
      <c r="Z182" s="232">
        <f t="shared" si="59"/>
        <v>0</v>
      </c>
      <c r="AA182" s="232">
        <f t="shared" si="59"/>
        <v>0</v>
      </c>
    </row>
    <row r="183" spans="2:27" x14ac:dyDescent="0.25">
      <c r="B183" s="233" t="str">
        <f>"Real "&amp;TEXT(Cash_Flow_Base_Year,"0000")&amp;" $"</f>
        <v>Real 2025 $</v>
      </c>
      <c r="C183" s="232">
        <f t="shared" ref="C183:AA183" si="60">C$182*C$47</f>
        <v>0</v>
      </c>
      <c r="D183" s="232">
        <f t="shared" si="60"/>
        <v>0</v>
      </c>
      <c r="E183" s="232">
        <f t="shared" si="60"/>
        <v>0</v>
      </c>
      <c r="F183" s="232">
        <f t="shared" si="60"/>
        <v>0</v>
      </c>
      <c r="G183" s="232">
        <f t="shared" si="60"/>
        <v>0</v>
      </c>
      <c r="H183" s="232">
        <f t="shared" si="60"/>
        <v>0</v>
      </c>
      <c r="I183" s="232">
        <f t="shared" si="60"/>
        <v>0</v>
      </c>
      <c r="J183" s="232">
        <f t="shared" si="60"/>
        <v>0</v>
      </c>
      <c r="K183" s="232">
        <f t="shared" si="60"/>
        <v>0</v>
      </c>
      <c r="L183" s="232">
        <f t="shared" si="60"/>
        <v>0</v>
      </c>
      <c r="M183" s="232">
        <f t="shared" si="60"/>
        <v>0</v>
      </c>
      <c r="N183" s="232">
        <f t="shared" si="60"/>
        <v>0</v>
      </c>
      <c r="O183" s="232">
        <f t="shared" si="60"/>
        <v>0</v>
      </c>
      <c r="P183" s="232">
        <f t="shared" si="60"/>
        <v>0</v>
      </c>
      <c r="Q183" s="232">
        <f t="shared" si="60"/>
        <v>450000.00000000006</v>
      </c>
      <c r="R183" s="232">
        <f t="shared" si="60"/>
        <v>0</v>
      </c>
      <c r="S183" s="232">
        <f t="shared" si="60"/>
        <v>0</v>
      </c>
      <c r="T183" s="232">
        <f t="shared" si="60"/>
        <v>0</v>
      </c>
      <c r="U183" s="232">
        <f t="shared" si="60"/>
        <v>0</v>
      </c>
      <c r="V183" s="232">
        <f t="shared" si="60"/>
        <v>0</v>
      </c>
      <c r="W183" s="232">
        <f t="shared" si="60"/>
        <v>0</v>
      </c>
      <c r="X183" s="232">
        <f t="shared" si="60"/>
        <v>0</v>
      </c>
      <c r="Y183" s="232">
        <f t="shared" si="60"/>
        <v>0</v>
      </c>
      <c r="Z183" s="232">
        <f t="shared" si="60"/>
        <v>0</v>
      </c>
      <c r="AA183" s="232">
        <f t="shared" si="60"/>
        <v>0</v>
      </c>
    </row>
    <row r="185" spans="2:27" x14ac:dyDescent="0.25">
      <c r="B185" s="164" t="s">
        <v>182</v>
      </c>
    </row>
    <row r="186" spans="2:27" x14ac:dyDescent="0.25">
      <c r="B186" s="111" t="s">
        <v>183</v>
      </c>
    </row>
    <row r="187" spans="2:27" x14ac:dyDescent="0.25">
      <c r="B187" s="233" t="s">
        <v>128</v>
      </c>
      <c r="C187" s="232">
        <f t="shared" ref="C187:AA187" si="61">C$75+C$84+C$98+C$107+C$116-C$156-C$164-C$173-C$182</f>
        <v>0</v>
      </c>
      <c r="D187" s="232">
        <f t="shared" si="61"/>
        <v>0</v>
      </c>
      <c r="E187" s="232">
        <f t="shared" si="61"/>
        <v>0</v>
      </c>
      <c r="F187" s="232">
        <f t="shared" si="61"/>
        <v>0</v>
      </c>
      <c r="G187" s="232">
        <f t="shared" si="61"/>
        <v>627730.32606716349</v>
      </c>
      <c r="H187" s="232">
        <f t="shared" si="61"/>
        <v>600176.81426432729</v>
      </c>
      <c r="I187" s="232">
        <f t="shared" si="61"/>
        <v>582530.53558391379</v>
      </c>
      <c r="J187" s="232">
        <f t="shared" si="61"/>
        <v>564500.73887042038</v>
      </c>
      <c r="K187" s="232">
        <f t="shared" si="61"/>
        <v>543429.07043020951</v>
      </c>
      <c r="L187" s="232">
        <f t="shared" si="61"/>
        <v>551929.39751277748</v>
      </c>
      <c r="M187" s="232">
        <f t="shared" si="61"/>
        <v>496869.74415045261</v>
      </c>
      <c r="N187" s="232">
        <f t="shared" si="61"/>
        <v>487764.79321707465</v>
      </c>
      <c r="O187" s="232">
        <f t="shared" si="61"/>
        <v>478828.28764994937</v>
      </c>
      <c r="P187" s="232">
        <f t="shared" si="61"/>
        <v>471828.54402156727</v>
      </c>
      <c r="Q187" s="232">
        <f t="shared" si="61"/>
        <v>-117210.01112410176</v>
      </c>
      <c r="R187" s="232">
        <f t="shared" si="61"/>
        <v>470096.28225771553</v>
      </c>
      <c r="S187" s="232">
        <f t="shared" si="61"/>
        <v>475845.30583020364</v>
      </c>
      <c r="T187" s="232">
        <f t="shared" si="61"/>
        <v>466131.01496880251</v>
      </c>
      <c r="U187" s="232">
        <f t="shared" si="61"/>
        <v>463481.84803379682</v>
      </c>
      <c r="V187" s="232">
        <f t="shared" si="61"/>
        <v>468574.99000728381</v>
      </c>
      <c r="W187" s="232">
        <f t="shared" si="61"/>
        <v>467004.30277049501</v>
      </c>
      <c r="X187" s="232">
        <f t="shared" si="61"/>
        <v>466658.64489489066</v>
      </c>
      <c r="Y187" s="232">
        <f t="shared" si="61"/>
        <v>463498.88485681481</v>
      </c>
      <c r="Z187" s="232">
        <f t="shared" si="61"/>
        <v>467435.05281908339</v>
      </c>
      <c r="AA187" s="232">
        <f t="shared" si="61"/>
        <v>474562.77576868056</v>
      </c>
    </row>
    <row r="188" spans="2:27" x14ac:dyDescent="0.25">
      <c r="B188" s="233" t="str">
        <f>"Real "&amp;TEXT(Cash_Flow_Base_Year,"0000")&amp;" $"</f>
        <v>Real 2025 $</v>
      </c>
      <c r="C188" s="232">
        <f t="shared" ref="C188:AA188" si="62">C$76+C$85+C$99+C$108+C$117-C$157-C$165-C$174-C$183</f>
        <v>0</v>
      </c>
      <c r="D188" s="232">
        <f t="shared" si="62"/>
        <v>0</v>
      </c>
      <c r="E188" s="232">
        <f t="shared" si="62"/>
        <v>0</v>
      </c>
      <c r="F188" s="232">
        <f t="shared" si="62"/>
        <v>0</v>
      </c>
      <c r="G188" s="232">
        <f t="shared" si="62"/>
        <v>612419.83030942793</v>
      </c>
      <c r="H188" s="232">
        <f t="shared" si="62"/>
        <v>571256.93207788444</v>
      </c>
      <c r="I188" s="232">
        <f t="shared" si="62"/>
        <v>540937.51218598825</v>
      </c>
      <c r="J188" s="232">
        <f t="shared" si="62"/>
        <v>511409.8083695955</v>
      </c>
      <c r="K188" s="232">
        <f t="shared" si="62"/>
        <v>480312.1139113949</v>
      </c>
      <c r="L188" s="232">
        <f t="shared" si="62"/>
        <v>475926.98970673757</v>
      </c>
      <c r="M188" s="232">
        <f t="shared" si="62"/>
        <v>417999.24211856897</v>
      </c>
      <c r="N188" s="232">
        <f t="shared" si="62"/>
        <v>400331.28139627096</v>
      </c>
      <c r="O188" s="232">
        <f t="shared" si="62"/>
        <v>383411.39033853734</v>
      </c>
      <c r="P188" s="232">
        <f t="shared" si="62"/>
        <v>368591.70447822521</v>
      </c>
      <c r="Q188" s="232">
        <f t="shared" si="62"/>
        <v>-89330.998396490701</v>
      </c>
      <c r="R188" s="232">
        <f t="shared" si="62"/>
        <v>349542.85721064481</v>
      </c>
      <c r="S188" s="232">
        <f t="shared" si="62"/>
        <v>345187.88050851953</v>
      </c>
      <c r="T188" s="232">
        <f t="shared" si="62"/>
        <v>329893.59608061489</v>
      </c>
      <c r="U188" s="232">
        <f t="shared" si="62"/>
        <v>320018.25228741765</v>
      </c>
      <c r="V188" s="232">
        <f t="shared" si="62"/>
        <v>315643.79648409883</v>
      </c>
      <c r="W188" s="232">
        <f t="shared" si="62"/>
        <v>306912.9194133323</v>
      </c>
      <c r="X188" s="232">
        <f t="shared" si="62"/>
        <v>299205.61440589873</v>
      </c>
      <c r="Y188" s="232">
        <f t="shared" si="62"/>
        <v>289931.3990124744</v>
      </c>
      <c r="Z188" s="232">
        <f t="shared" si="62"/>
        <v>285262.03040916915</v>
      </c>
      <c r="AA188" s="232">
        <f t="shared" si="62"/>
        <v>282548.16840395745</v>
      </c>
    </row>
    <row r="189" spans="2:27" x14ac:dyDescent="0.25">
      <c r="B189" s="111" t="s">
        <v>184</v>
      </c>
    </row>
    <row r="190" spans="2:27" x14ac:dyDescent="0.25">
      <c r="B190" s="233" t="s">
        <v>128</v>
      </c>
      <c r="C190" s="232">
        <f t="shared" ref="C190:AA190" si="63">C$125-C$156-C$164-C$173-C$182</f>
        <v>0</v>
      </c>
      <c r="D190" s="232">
        <f t="shared" si="63"/>
        <v>0</v>
      </c>
      <c r="E190" s="232">
        <f t="shared" si="63"/>
        <v>0</v>
      </c>
      <c r="F190" s="232">
        <f t="shared" si="63"/>
        <v>0</v>
      </c>
      <c r="G190" s="232">
        <f t="shared" si="63"/>
        <v>954002.66829758964</v>
      </c>
      <c r="H190" s="232">
        <f t="shared" si="63"/>
        <v>946943.18808006146</v>
      </c>
      <c r="I190" s="232">
        <f t="shared" si="63"/>
        <v>942412.90410421742</v>
      </c>
      <c r="J190" s="232">
        <f t="shared" si="63"/>
        <v>929741.87236653245</v>
      </c>
      <c r="K190" s="232">
        <f t="shared" si="63"/>
        <v>905009.60737563157</v>
      </c>
      <c r="L190" s="232">
        <f t="shared" si="63"/>
        <v>937774.1406330273</v>
      </c>
      <c r="M190" s="232">
        <f t="shared" si="63"/>
        <v>966831.60652102577</v>
      </c>
      <c r="N190" s="232">
        <f t="shared" si="63"/>
        <v>974938.64681137423</v>
      </c>
      <c r="O190" s="232">
        <f t="shared" si="63"/>
        <v>987009.98555638932</v>
      </c>
      <c r="P190" s="232">
        <f t="shared" si="63"/>
        <v>989273.96516884433</v>
      </c>
      <c r="Q190" s="232">
        <f t="shared" si="63"/>
        <v>414200.2645492825</v>
      </c>
      <c r="R190" s="232">
        <f t="shared" si="63"/>
        <v>1011578.8531075334</v>
      </c>
      <c r="S190" s="232">
        <f t="shared" si="63"/>
        <v>1033005.3113025383</v>
      </c>
      <c r="T190" s="232">
        <f t="shared" si="63"/>
        <v>1040092.4481777423</v>
      </c>
      <c r="U190" s="232">
        <f t="shared" si="63"/>
        <v>1051529.5707147243</v>
      </c>
      <c r="V190" s="232">
        <f t="shared" si="63"/>
        <v>1073111.9205748588</v>
      </c>
      <c r="W190" s="232">
        <f t="shared" si="63"/>
        <v>1087335.3571289219</v>
      </c>
      <c r="X190" s="232">
        <f t="shared" si="63"/>
        <v>1099920.0863131832</v>
      </c>
      <c r="Y190" s="232">
        <f t="shared" si="63"/>
        <v>1108638.3488514181</v>
      </c>
      <c r="Z190" s="232">
        <f t="shared" si="63"/>
        <v>1128104.6042200224</v>
      </c>
      <c r="AA190" s="232">
        <f t="shared" si="63"/>
        <v>1162079.9066957152</v>
      </c>
    </row>
    <row r="191" spans="2:27" x14ac:dyDescent="0.25">
      <c r="B191" s="233" t="str">
        <f>"Real "&amp;TEXT(Cash_Flow_Base_Year,"0000")&amp;" $"</f>
        <v>Real 2025 $</v>
      </c>
      <c r="C191" s="232">
        <f t="shared" ref="C191:AA191" si="64">C$126-C$157-C$165-C$174-C$183</f>
        <v>0</v>
      </c>
      <c r="D191" s="232">
        <f t="shared" si="64"/>
        <v>0</v>
      </c>
      <c r="E191" s="232">
        <f t="shared" si="64"/>
        <v>0</v>
      </c>
      <c r="F191" s="232">
        <f t="shared" si="64"/>
        <v>0</v>
      </c>
      <c r="G191" s="232">
        <f t="shared" si="64"/>
        <v>930734.31053423393</v>
      </c>
      <c r="H191" s="232">
        <f t="shared" si="64"/>
        <v>901314.15879125427</v>
      </c>
      <c r="I191" s="232">
        <f t="shared" si="64"/>
        <v>875124.06759434612</v>
      </c>
      <c r="J191" s="232">
        <f t="shared" si="64"/>
        <v>842300.24876779167</v>
      </c>
      <c r="K191" s="232">
        <f t="shared" si="64"/>
        <v>799896.62180675764</v>
      </c>
      <c r="L191" s="232">
        <f t="shared" si="64"/>
        <v>808639.70244666492</v>
      </c>
      <c r="M191" s="232">
        <f t="shared" si="64"/>
        <v>813361.81874599063</v>
      </c>
      <c r="N191" s="232">
        <f t="shared" si="64"/>
        <v>800177.55112359161</v>
      </c>
      <c r="O191" s="232">
        <f t="shared" si="64"/>
        <v>790326.888784084</v>
      </c>
      <c r="P191" s="232">
        <f t="shared" si="64"/>
        <v>772819.2404587738</v>
      </c>
      <c r="Q191" s="232">
        <f t="shared" si="64"/>
        <v>315680.57040026615</v>
      </c>
      <c r="R191" s="232">
        <f t="shared" si="64"/>
        <v>752165.40941549023</v>
      </c>
      <c r="S191" s="232">
        <f t="shared" si="64"/>
        <v>749363.10097762267</v>
      </c>
      <c r="T191" s="232">
        <f t="shared" si="64"/>
        <v>736101.7116799457</v>
      </c>
      <c r="U191" s="232">
        <f t="shared" si="64"/>
        <v>726044.95057620166</v>
      </c>
      <c r="V191" s="232">
        <f t="shared" si="64"/>
        <v>722874.94613685214</v>
      </c>
      <c r="W191" s="232">
        <f t="shared" si="64"/>
        <v>714591.42208755598</v>
      </c>
      <c r="X191" s="232">
        <f t="shared" si="64"/>
        <v>705231.2623434877</v>
      </c>
      <c r="Y191" s="232">
        <f t="shared" si="64"/>
        <v>693484.01470408705</v>
      </c>
      <c r="Z191" s="232">
        <f t="shared" si="64"/>
        <v>688449.46046074061</v>
      </c>
      <c r="AA191" s="232">
        <f t="shared" si="64"/>
        <v>691886.43935267872</v>
      </c>
    </row>
    <row r="192" spans="2:27" x14ac:dyDescent="0.25">
      <c r="B192" s="111" t="s">
        <v>185</v>
      </c>
    </row>
    <row r="193" spans="2:27" x14ac:dyDescent="0.25">
      <c r="B193" s="233" t="s">
        <v>128</v>
      </c>
      <c r="C193" s="232">
        <f t="shared" ref="C193:AA193" si="65">C$132+C$141-C$156-C$164-C$173-C$182</f>
        <v>0</v>
      </c>
      <c r="D193" s="232">
        <f t="shared" si="65"/>
        <v>0</v>
      </c>
      <c r="E193" s="232">
        <f t="shared" si="65"/>
        <v>0</v>
      </c>
      <c r="F193" s="232">
        <f t="shared" si="65"/>
        <v>0</v>
      </c>
      <c r="G193" s="232">
        <f t="shared" si="65"/>
        <v>268820.64241284109</v>
      </c>
      <c r="H193" s="232">
        <f t="shared" si="65"/>
        <v>242854.64773812293</v>
      </c>
      <c r="I193" s="232">
        <f t="shared" si="65"/>
        <v>228981.12905750459</v>
      </c>
      <c r="J193" s="232">
        <f t="shared" si="65"/>
        <v>211744.33993187523</v>
      </c>
      <c r="K193" s="232">
        <f t="shared" si="65"/>
        <v>190954.40170117674</v>
      </c>
      <c r="L193" s="232">
        <f t="shared" si="65"/>
        <v>199449.66556868202</v>
      </c>
      <c r="M193" s="232">
        <f t="shared" si="65"/>
        <v>208910.2594560078</v>
      </c>
      <c r="N193" s="232">
        <f t="shared" si="65"/>
        <v>201205.57049150561</v>
      </c>
      <c r="O193" s="232">
        <f t="shared" si="65"/>
        <v>193160.81266804188</v>
      </c>
      <c r="P193" s="232">
        <f t="shared" si="65"/>
        <v>185183.08862383867</v>
      </c>
      <c r="Q193" s="232">
        <f t="shared" si="65"/>
        <v>-404262.40638978116</v>
      </c>
      <c r="R193" s="232">
        <f t="shared" si="65"/>
        <v>181839.1395147061</v>
      </c>
      <c r="S193" s="232">
        <f t="shared" si="65"/>
        <v>187180.34056635736</v>
      </c>
      <c r="T193" s="232">
        <f t="shared" si="65"/>
        <v>178363.30685851781</v>
      </c>
      <c r="U193" s="232">
        <f t="shared" si="65"/>
        <v>174969.44308092204</v>
      </c>
      <c r="V193" s="232">
        <f t="shared" si="65"/>
        <v>179360.19607789122</v>
      </c>
      <c r="W193" s="232">
        <f t="shared" si="65"/>
        <v>177551.84478750656</v>
      </c>
      <c r="X193" s="232">
        <f t="shared" si="65"/>
        <v>175926.35099608457</v>
      </c>
      <c r="Y193" s="232">
        <f t="shared" si="65"/>
        <v>173433.79430909475</v>
      </c>
      <c r="Z193" s="232">
        <f t="shared" si="65"/>
        <v>176122.8327448412</v>
      </c>
      <c r="AA193" s="232">
        <f t="shared" si="65"/>
        <v>182626.72381437747</v>
      </c>
    </row>
    <row r="194" spans="2:27" x14ac:dyDescent="0.25">
      <c r="B194" s="233" t="str">
        <f>"Real "&amp;TEXT(Cash_Flow_Base_Year,"0000")&amp;" $"</f>
        <v>Real 2025 $</v>
      </c>
      <c r="C194" s="232">
        <f t="shared" ref="C194:AA194" si="66">C$133+C$142-C$157-C$165-C$174-C$183</f>
        <v>0</v>
      </c>
      <c r="D194" s="232">
        <f t="shared" si="66"/>
        <v>0</v>
      </c>
      <c r="E194" s="232">
        <f t="shared" si="66"/>
        <v>0</v>
      </c>
      <c r="F194" s="232">
        <f t="shared" si="66"/>
        <v>0</v>
      </c>
      <c r="G194" s="232">
        <f t="shared" si="66"/>
        <v>262264.04137838155</v>
      </c>
      <c r="H194" s="232">
        <f t="shared" si="66"/>
        <v>231152.54989946267</v>
      </c>
      <c r="I194" s="232">
        <f t="shared" si="66"/>
        <v>212631.7415545377</v>
      </c>
      <c r="J194" s="232">
        <f t="shared" si="66"/>
        <v>191829.92129398091</v>
      </c>
      <c r="K194" s="232">
        <f t="shared" si="66"/>
        <v>168775.86668149513</v>
      </c>
      <c r="L194" s="232">
        <f t="shared" si="66"/>
        <v>171984.82153674529</v>
      </c>
      <c r="M194" s="232">
        <f t="shared" si="66"/>
        <v>175748.93853259648</v>
      </c>
      <c r="N194" s="232">
        <f t="shared" si="66"/>
        <v>165138.78200939507</v>
      </c>
      <c r="O194" s="232">
        <f t="shared" si="66"/>
        <v>154669.34108562479</v>
      </c>
      <c r="P194" s="232">
        <f t="shared" si="66"/>
        <v>144664.73285957647</v>
      </c>
      <c r="Q194" s="232">
        <f t="shared" si="66"/>
        <v>-308106.48365804239</v>
      </c>
      <c r="R194" s="232">
        <f t="shared" si="66"/>
        <v>135207.56231773461</v>
      </c>
      <c r="S194" s="232">
        <f t="shared" si="66"/>
        <v>135784.43296868302</v>
      </c>
      <c r="T194" s="232">
        <f t="shared" si="66"/>
        <v>126232.56298945213</v>
      </c>
      <c r="U194" s="232">
        <f t="shared" si="66"/>
        <v>120810.37394667606</v>
      </c>
      <c r="V194" s="232">
        <f t="shared" si="66"/>
        <v>120821.50015577643</v>
      </c>
      <c r="W194" s="232">
        <f t="shared" si="66"/>
        <v>116686.1947688233</v>
      </c>
      <c r="X194" s="232">
        <f t="shared" si="66"/>
        <v>112797.97881345879</v>
      </c>
      <c r="Y194" s="232">
        <f t="shared" si="66"/>
        <v>108487.64530601059</v>
      </c>
      <c r="Z194" s="232">
        <f t="shared" si="66"/>
        <v>107482.64719816227</v>
      </c>
      <c r="AA194" s="232">
        <f t="shared" si="66"/>
        <v>108733.44676431158</v>
      </c>
    </row>
  </sheetData>
  <sheetProtection algorithmName="SHA-512" hashValue="SOHlazacq9gGVfz3q+4Hwa4RFzKbS/J4y4wqsT0SOUVzOvlsV8yF/vc8f6Unq9+TVLPv/aIpEVTt+u+jpsOQmg==" saltValue="au84C+PeDwJG7+PQlgWbxQ==" spinCount="100000" sheet="1" selectLockedCells="1"/>
  <mergeCells count="3">
    <mergeCell ref="B36:C36"/>
    <mergeCell ref="D36:E36"/>
    <mergeCell ref="D37:E37"/>
  </mergeCells>
  <conditionalFormatting sqref="B5:AA11">
    <cfRule type="expression" dxfId="2" priority="24">
      <formula>IF(OR(Revenue_Model="Tier 1",Revenue_Model="NEM - Net Energy Metering"),1,0)</formula>
    </cfRule>
  </conditionalFormatting>
  <conditionalFormatting sqref="B13:AA15">
    <cfRule type="expression" dxfId="1" priority="26">
      <formula>IF(OR(Revenue_Model="VDER - Value of Distributed Energy Resources",Revenue_Model="Tier 1"),1,0)</formula>
    </cfRule>
  </conditionalFormatting>
  <conditionalFormatting sqref="B17:AA20">
    <cfRule type="expression" dxfId="0" priority="27">
      <formula>IF(OR(Revenue_Model="VDER - Value of Distributed Energy Resources",Revenue_Model="NEM - Net Energy Metering"),1,0)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F0023-4BF8-443F-A5AA-4758C8065937}">
  <sheetPr codeName="Sheet3"/>
  <dimension ref="A1:CM111"/>
  <sheetViews>
    <sheetView zoomScale="90" zoomScaleNormal="90" workbookViewId="0">
      <selection sqref="A1:XFD1048576"/>
    </sheetView>
  </sheetViews>
  <sheetFormatPr defaultColWidth="9.140625" defaultRowHeight="15" x14ac:dyDescent="0.25"/>
  <cols>
    <col min="1" max="1" width="15.42578125" style="111" customWidth="1"/>
    <col min="2" max="2" width="37.42578125" style="111" bestFit="1" customWidth="1"/>
    <col min="3" max="3" width="20.42578125" style="111" customWidth="1"/>
    <col min="4" max="4" width="18" style="111" customWidth="1"/>
    <col min="5" max="5" width="18.42578125" style="111" bestFit="1" customWidth="1"/>
    <col min="6" max="6" width="9.42578125" style="196" customWidth="1"/>
    <col min="7" max="7" width="1.42578125" style="111" customWidth="1"/>
    <col min="8" max="8" width="33" style="111" customWidth="1"/>
    <col min="9" max="9" width="25.42578125" style="111" customWidth="1"/>
    <col min="10" max="12" width="30.85546875" style="111" customWidth="1"/>
    <col min="13" max="15" width="25.42578125" style="111" customWidth="1"/>
    <col min="16" max="16" width="4.140625" style="111" customWidth="1"/>
    <col min="17" max="17" width="18.140625" style="111" customWidth="1"/>
    <col min="18" max="18" width="21.42578125" style="165" customWidth="1"/>
    <col min="19" max="19" width="28.42578125" style="165" customWidth="1"/>
    <col min="20" max="20" width="35.42578125" style="111" customWidth="1"/>
    <col min="21" max="21" width="1.42578125" style="111" customWidth="1"/>
    <col min="22" max="22" width="10" style="111" bestFit="1" customWidth="1"/>
    <col min="23" max="23" width="43.85546875" style="111" customWidth="1"/>
    <col min="24" max="24" width="22.42578125" style="111" customWidth="1"/>
    <col min="25" max="25" width="1.42578125" style="111" customWidth="1"/>
    <col min="26" max="26" width="17.42578125" style="111" customWidth="1"/>
    <col min="27" max="27" width="12.140625" style="111" customWidth="1"/>
    <col min="28" max="28" width="1.42578125" style="111" customWidth="1"/>
    <col min="29" max="29" width="6" style="111" bestFit="1" customWidth="1"/>
    <col min="30" max="30" width="5.140625" style="111" customWidth="1"/>
    <col min="31" max="31" width="1.42578125" style="111" customWidth="1"/>
    <col min="32" max="32" width="16" style="111" customWidth="1"/>
    <col min="33" max="33" width="9.140625" style="111"/>
    <col min="34" max="34" width="22.42578125" style="111" bestFit="1" customWidth="1"/>
    <col min="35" max="16384" width="9.140625" style="111"/>
  </cols>
  <sheetData>
    <row r="1" spans="1:91" x14ac:dyDescent="0.25">
      <c r="A1" s="108" t="s">
        <v>186</v>
      </c>
      <c r="B1" s="109" t="s">
        <v>160</v>
      </c>
      <c r="C1" s="109" t="s">
        <v>5</v>
      </c>
      <c r="D1" s="109" t="s">
        <v>18</v>
      </c>
      <c r="E1" s="109" t="s">
        <v>187</v>
      </c>
      <c r="F1" s="110" t="s">
        <v>188</v>
      </c>
      <c r="H1" s="299" t="s">
        <v>5</v>
      </c>
      <c r="I1" s="300" t="s">
        <v>160</v>
      </c>
      <c r="J1" s="297" t="s">
        <v>189</v>
      </c>
      <c r="K1" s="298" t="s">
        <v>190</v>
      </c>
      <c r="L1" s="298" t="s">
        <v>191</v>
      </c>
      <c r="M1" s="294" t="s">
        <v>192</v>
      </c>
      <c r="N1" s="112"/>
      <c r="Q1" s="113" t="s">
        <v>193</v>
      </c>
      <c r="R1" s="114" t="s">
        <v>194</v>
      </c>
      <c r="S1" s="114" t="s">
        <v>195</v>
      </c>
      <c r="T1" s="62" t="s">
        <v>196</v>
      </c>
      <c r="V1" s="115" t="s">
        <v>197</v>
      </c>
      <c r="W1" s="109" t="s">
        <v>160</v>
      </c>
      <c r="X1" s="116" t="s">
        <v>5</v>
      </c>
      <c r="Z1" s="113" t="s">
        <v>198</v>
      </c>
      <c r="AA1" s="117" t="s">
        <v>199</v>
      </c>
      <c r="AC1" s="118" t="s">
        <v>200</v>
      </c>
      <c r="AD1" s="117" t="s">
        <v>201</v>
      </c>
      <c r="AF1" s="119" t="s">
        <v>202</v>
      </c>
      <c r="AH1" s="120" t="s">
        <v>203</v>
      </c>
      <c r="AI1" s="120" t="s">
        <v>204</v>
      </c>
      <c r="AJ1" s="120" t="s">
        <v>204</v>
      </c>
      <c r="AK1" s="120" t="s">
        <v>204</v>
      </c>
      <c r="AL1" s="120" t="s">
        <v>204</v>
      </c>
      <c r="AM1" s="120" t="s">
        <v>204</v>
      </c>
      <c r="AN1" s="120" t="s">
        <v>204</v>
      </c>
      <c r="AO1" s="120" t="s">
        <v>204</v>
      </c>
      <c r="AP1" s="120" t="s">
        <v>204</v>
      </c>
      <c r="AQ1" s="120" t="s">
        <v>204</v>
      </c>
      <c r="AR1" s="120" t="s">
        <v>204</v>
      </c>
      <c r="AS1" s="120" t="s">
        <v>204</v>
      </c>
      <c r="AT1" s="120" t="s">
        <v>204</v>
      </c>
      <c r="AU1" s="120" t="s">
        <v>204</v>
      </c>
      <c r="AV1" s="120" t="s">
        <v>204</v>
      </c>
      <c r="AW1" s="120" t="s">
        <v>204</v>
      </c>
      <c r="AX1" s="120" t="s">
        <v>204</v>
      </c>
      <c r="AY1" s="120" t="s">
        <v>204</v>
      </c>
      <c r="AZ1" s="120" t="s">
        <v>204</v>
      </c>
      <c r="BA1" s="120" t="s">
        <v>204</v>
      </c>
      <c r="BB1" s="120" t="s">
        <v>204</v>
      </c>
      <c r="BC1" s="120" t="s">
        <v>204</v>
      </c>
      <c r="BD1" s="120" t="s">
        <v>204</v>
      </c>
      <c r="BE1" s="120" t="s">
        <v>205</v>
      </c>
      <c r="BF1" s="120" t="s">
        <v>205</v>
      </c>
      <c r="BG1" s="120" t="s">
        <v>205</v>
      </c>
      <c r="BH1" s="120" t="s">
        <v>205</v>
      </c>
      <c r="BI1" s="120" t="s">
        <v>205</v>
      </c>
      <c r="BJ1" s="120" t="s">
        <v>205</v>
      </c>
      <c r="BK1" s="120" t="s">
        <v>205</v>
      </c>
      <c r="BL1" s="120" t="s">
        <v>205</v>
      </c>
      <c r="BM1" s="120" t="s">
        <v>205</v>
      </c>
      <c r="BN1" s="120" t="s">
        <v>205</v>
      </c>
      <c r="BO1" s="120" t="s">
        <v>205</v>
      </c>
      <c r="BP1" s="120" t="s">
        <v>205</v>
      </c>
      <c r="BQ1" s="120" t="s">
        <v>205</v>
      </c>
      <c r="BR1" s="120" t="s">
        <v>205</v>
      </c>
      <c r="BS1" s="120" t="s">
        <v>205</v>
      </c>
      <c r="BT1" s="120" t="s">
        <v>205</v>
      </c>
      <c r="BU1" s="120" t="s">
        <v>205</v>
      </c>
      <c r="BV1" s="120" t="s">
        <v>205</v>
      </c>
      <c r="BW1" s="120" t="s">
        <v>205</v>
      </c>
      <c r="BX1" s="120" t="s">
        <v>205</v>
      </c>
      <c r="BY1" s="120" t="s">
        <v>205</v>
      </c>
      <c r="BZ1" s="120" t="s">
        <v>205</v>
      </c>
      <c r="CA1" s="120" t="s">
        <v>205</v>
      </c>
      <c r="CB1" s="120" t="s">
        <v>205</v>
      </c>
      <c r="CC1" s="120" t="s">
        <v>205</v>
      </c>
      <c r="CD1" s="120" t="s">
        <v>205</v>
      </c>
      <c r="CE1" s="120" t="s">
        <v>205</v>
      </c>
      <c r="CF1" s="120" t="s">
        <v>205</v>
      </c>
      <c r="CG1" s="120" t="s">
        <v>205</v>
      </c>
      <c r="CH1" s="120" t="s">
        <v>205</v>
      </c>
      <c r="CI1" s="120" t="s">
        <v>205</v>
      </c>
      <c r="CJ1" s="120" t="s">
        <v>205</v>
      </c>
      <c r="CK1" s="120" t="s">
        <v>205</v>
      </c>
      <c r="CL1" s="120"/>
      <c r="CM1" s="120"/>
    </row>
    <row r="2" spans="1:91" x14ac:dyDescent="0.25">
      <c r="A2" s="108">
        <v>1</v>
      </c>
      <c r="B2" s="109" t="str">
        <f t="shared" ref="B2:B33" si="0">INDEX(W$2:W$9,MATCH($A2,$V$2:$V$9,0))</f>
        <v>VDER - Value of Distributed Energy Resources</v>
      </c>
      <c r="C2" s="109" t="str">
        <f t="shared" ref="C2:C33" si="1">INDEX(X$2:X$9,MATCH($A2,$V$2:$V$9,0))</f>
        <v>Solar - Tracking</v>
      </c>
      <c r="D2" s="109" t="s">
        <v>206</v>
      </c>
      <c r="E2" s="109" t="str">
        <f>A2&amp;" - "&amp;D2</f>
        <v>1 - A</v>
      </c>
      <c r="F2" s="121">
        <v>0.21011199300317809</v>
      </c>
      <c r="H2" s="299"/>
      <c r="I2" s="301"/>
      <c r="J2" s="297"/>
      <c r="K2" s="299"/>
      <c r="L2" s="298"/>
      <c r="M2" s="294"/>
      <c r="N2" s="112"/>
      <c r="Q2" s="122" t="s">
        <v>207</v>
      </c>
      <c r="R2" s="123">
        <v>1.0264</v>
      </c>
      <c r="S2" s="124">
        <v>0.05</v>
      </c>
      <c r="T2" s="63">
        <v>5.9900000000000002E-2</v>
      </c>
      <c r="V2" s="115">
        <v>1</v>
      </c>
      <c r="W2" s="109" t="s">
        <v>205</v>
      </c>
      <c r="X2" s="116" t="s">
        <v>285</v>
      </c>
      <c r="Z2" s="122" t="s">
        <v>19</v>
      </c>
      <c r="AA2" s="125" t="s">
        <v>206</v>
      </c>
      <c r="AC2" s="126">
        <v>2000</v>
      </c>
      <c r="AD2" s="125">
        <f t="shared" ref="AD2:AD52" si="2">_xlfn.DAYS(DATE(AC2,12,31),DATE(AC2-1,12,31))</f>
        <v>366</v>
      </c>
      <c r="AF2" s="127" t="s">
        <v>38</v>
      </c>
      <c r="AH2" s="128"/>
      <c r="AI2" s="120" t="s">
        <v>121</v>
      </c>
      <c r="AJ2" s="120" t="s">
        <v>121</v>
      </c>
      <c r="AK2" s="120" t="s">
        <v>121</v>
      </c>
      <c r="AL2" s="120" t="s">
        <v>121</v>
      </c>
      <c r="AM2" s="120" t="s">
        <v>121</v>
      </c>
      <c r="AN2" s="120" t="s">
        <v>121</v>
      </c>
      <c r="AO2" s="120" t="s">
        <v>121</v>
      </c>
      <c r="AP2" s="120" t="s">
        <v>121</v>
      </c>
      <c r="AQ2" s="120" t="s">
        <v>121</v>
      </c>
      <c r="AR2" s="120" t="s">
        <v>121</v>
      </c>
      <c r="AS2" s="120" t="s">
        <v>121</v>
      </c>
      <c r="AT2" s="120" t="s">
        <v>120</v>
      </c>
      <c r="AU2" s="120" t="s">
        <v>120</v>
      </c>
      <c r="AV2" s="120" t="s">
        <v>120</v>
      </c>
      <c r="AW2" s="120" t="s">
        <v>120</v>
      </c>
      <c r="AX2" s="120" t="s">
        <v>120</v>
      </c>
      <c r="AY2" s="120" t="s">
        <v>120</v>
      </c>
      <c r="AZ2" s="120" t="s">
        <v>120</v>
      </c>
      <c r="BA2" s="120" t="s">
        <v>120</v>
      </c>
      <c r="BB2" s="120" t="s">
        <v>120</v>
      </c>
      <c r="BC2" s="120" t="s">
        <v>120</v>
      </c>
      <c r="BD2" s="120" t="s">
        <v>120</v>
      </c>
      <c r="BE2" s="120" t="s">
        <v>120</v>
      </c>
      <c r="BF2" s="120" t="s">
        <v>120</v>
      </c>
      <c r="BG2" s="120" t="s">
        <v>120</v>
      </c>
      <c r="BH2" s="120" t="s">
        <v>120</v>
      </c>
      <c r="BI2" s="120" t="s">
        <v>120</v>
      </c>
      <c r="BJ2" s="120" t="s">
        <v>120</v>
      </c>
      <c r="BK2" s="120" t="s">
        <v>120</v>
      </c>
      <c r="BL2" s="120" t="s">
        <v>120</v>
      </c>
      <c r="BM2" s="120" t="s">
        <v>120</v>
      </c>
      <c r="BN2" s="120" t="s">
        <v>120</v>
      </c>
      <c r="BO2" s="120" t="s">
        <v>120</v>
      </c>
      <c r="BP2" s="120" t="s">
        <v>121</v>
      </c>
      <c r="BQ2" s="120" t="s">
        <v>121</v>
      </c>
      <c r="BR2" s="120" t="s">
        <v>121</v>
      </c>
      <c r="BS2" s="120" t="s">
        <v>121</v>
      </c>
      <c r="BT2" s="120" t="s">
        <v>121</v>
      </c>
      <c r="BU2" s="120" t="s">
        <v>121</v>
      </c>
      <c r="BV2" s="120" t="s">
        <v>121</v>
      </c>
      <c r="BW2" s="120" t="s">
        <v>121</v>
      </c>
      <c r="BX2" s="120" t="s">
        <v>121</v>
      </c>
      <c r="BY2" s="120" t="s">
        <v>121</v>
      </c>
      <c r="BZ2" s="120" t="s">
        <v>121</v>
      </c>
      <c r="CA2" s="120" t="s">
        <v>122</v>
      </c>
      <c r="CB2" s="120" t="s">
        <v>122</v>
      </c>
      <c r="CC2" s="120" t="s">
        <v>122</v>
      </c>
      <c r="CD2" s="120" t="s">
        <v>122</v>
      </c>
      <c r="CE2" s="120" t="s">
        <v>122</v>
      </c>
      <c r="CF2" s="120" t="s">
        <v>122</v>
      </c>
      <c r="CG2" s="120" t="s">
        <v>122</v>
      </c>
      <c r="CH2" s="120" t="s">
        <v>122</v>
      </c>
      <c r="CI2" s="120" t="s">
        <v>122</v>
      </c>
      <c r="CJ2" s="120" t="s">
        <v>122</v>
      </c>
      <c r="CK2" s="120" t="s">
        <v>122</v>
      </c>
      <c r="CL2" s="128"/>
      <c r="CM2" s="128"/>
    </row>
    <row r="3" spans="1:91" x14ac:dyDescent="0.25">
      <c r="A3" s="126">
        <v>1</v>
      </c>
      <c r="B3" s="83" t="str">
        <f t="shared" si="0"/>
        <v>VDER - Value of Distributed Energy Resources</v>
      </c>
      <c r="C3" s="83" t="str">
        <f t="shared" si="1"/>
        <v>Solar - Tracking</v>
      </c>
      <c r="D3" s="83" t="s">
        <v>208</v>
      </c>
      <c r="E3" s="83" t="str">
        <f>A3&amp;" - "&amp;D3</f>
        <v>1 - B</v>
      </c>
      <c r="F3" s="129">
        <v>0.19709678125804792</v>
      </c>
      <c r="H3" s="100" t="s">
        <v>285</v>
      </c>
      <c r="I3" s="100" t="s">
        <v>204</v>
      </c>
      <c r="J3" s="130">
        <v>12.92</v>
      </c>
      <c r="K3" s="131">
        <v>0.3</v>
      </c>
      <c r="L3" s="131">
        <v>1.25</v>
      </c>
      <c r="M3" s="132">
        <f>J3*K3*L3+J3*(1-K3)*100%</f>
        <v>13.888999999999999</v>
      </c>
      <c r="N3" s="112"/>
      <c r="Q3" s="122" t="s">
        <v>209</v>
      </c>
      <c r="R3" s="123">
        <v>1.0626992561105206</v>
      </c>
      <c r="S3" s="124">
        <v>0.85399999999999998</v>
      </c>
      <c r="T3" s="63">
        <v>0.12</v>
      </c>
      <c r="V3" s="133">
        <f>V2+1</f>
        <v>2</v>
      </c>
      <c r="W3" s="83" t="s">
        <v>205</v>
      </c>
      <c r="X3" s="134" t="s">
        <v>287</v>
      </c>
      <c r="Z3" s="122" t="s">
        <v>211</v>
      </c>
      <c r="AA3" s="125" t="s">
        <v>208</v>
      </c>
      <c r="AC3" s="126">
        <v>2001</v>
      </c>
      <c r="AD3" s="125">
        <f t="shared" si="2"/>
        <v>365</v>
      </c>
      <c r="AF3" s="135" t="str">
        <f>"Real "&amp;TEXT(Cash_Flow_Base_Year,"0000")&amp;" Dollars"</f>
        <v>Real 2025 Dollars</v>
      </c>
      <c r="AH3" s="136" t="s">
        <v>200</v>
      </c>
      <c r="AI3" s="137">
        <v>0.7</v>
      </c>
      <c r="AJ3" s="137">
        <v>0.65</v>
      </c>
      <c r="AK3" s="137">
        <v>0.6</v>
      </c>
      <c r="AL3" s="137">
        <v>0.55000000000000004</v>
      </c>
      <c r="AM3" s="137">
        <v>0.5</v>
      </c>
      <c r="AN3" s="137">
        <v>0.45</v>
      </c>
      <c r="AO3" s="137">
        <v>0.4</v>
      </c>
      <c r="AP3" s="137">
        <v>0.35</v>
      </c>
      <c r="AQ3" s="137">
        <v>0.3</v>
      </c>
      <c r="AR3" s="137">
        <f>0.25</f>
        <v>0.25</v>
      </c>
      <c r="AS3" s="137">
        <v>0.2</v>
      </c>
      <c r="AT3" s="137">
        <v>0.7</v>
      </c>
      <c r="AU3" s="137">
        <v>0.65</v>
      </c>
      <c r="AV3" s="137">
        <v>0.6</v>
      </c>
      <c r="AW3" s="137">
        <v>0.55000000000000004</v>
      </c>
      <c r="AX3" s="137">
        <v>0.5</v>
      </c>
      <c r="AY3" s="137">
        <v>0.45</v>
      </c>
      <c r="AZ3" s="137">
        <v>0.4</v>
      </c>
      <c r="BA3" s="137">
        <v>0.35</v>
      </c>
      <c r="BB3" s="137">
        <v>0.3</v>
      </c>
      <c r="BC3" s="137">
        <f>0.25</f>
        <v>0.25</v>
      </c>
      <c r="BD3" s="137">
        <v>0.2</v>
      </c>
      <c r="BE3" s="137">
        <v>0.7</v>
      </c>
      <c r="BF3" s="137">
        <v>0.65</v>
      </c>
      <c r="BG3" s="137">
        <v>0.6</v>
      </c>
      <c r="BH3" s="137">
        <v>0.55000000000000004</v>
      </c>
      <c r="BI3" s="137">
        <v>0.5</v>
      </c>
      <c r="BJ3" s="137">
        <v>0.45</v>
      </c>
      <c r="BK3" s="137">
        <v>0.4</v>
      </c>
      <c r="BL3" s="137">
        <v>0.35</v>
      </c>
      <c r="BM3" s="137">
        <v>0.3</v>
      </c>
      <c r="BN3" s="137">
        <f>0.25</f>
        <v>0.25</v>
      </c>
      <c r="BO3" s="137">
        <v>0.2</v>
      </c>
      <c r="BP3" s="137">
        <v>0.7</v>
      </c>
      <c r="BQ3" s="137">
        <v>0.65</v>
      </c>
      <c r="BR3" s="137">
        <v>0.6</v>
      </c>
      <c r="BS3" s="137">
        <v>0.55000000000000004</v>
      </c>
      <c r="BT3" s="137">
        <v>0.5</v>
      </c>
      <c r="BU3" s="137">
        <v>0.45</v>
      </c>
      <c r="BV3" s="137">
        <v>0.4</v>
      </c>
      <c r="BW3" s="137">
        <v>0.35</v>
      </c>
      <c r="BX3" s="137">
        <v>0.3</v>
      </c>
      <c r="BY3" s="137">
        <f>0.25</f>
        <v>0.25</v>
      </c>
      <c r="BZ3" s="137">
        <v>0.2</v>
      </c>
      <c r="CA3" s="137">
        <v>0.7</v>
      </c>
      <c r="CB3" s="137">
        <v>0.65</v>
      </c>
      <c r="CC3" s="137">
        <v>0.6</v>
      </c>
      <c r="CD3" s="137">
        <v>0.55000000000000004</v>
      </c>
      <c r="CE3" s="137">
        <v>0.5</v>
      </c>
      <c r="CF3" s="137">
        <v>0.45</v>
      </c>
      <c r="CG3" s="137">
        <v>0.4</v>
      </c>
      <c r="CH3" s="137">
        <v>0.35</v>
      </c>
      <c r="CI3" s="137">
        <v>0.3</v>
      </c>
      <c r="CJ3" s="137">
        <f>0.25</f>
        <v>0.25</v>
      </c>
      <c r="CK3" s="137">
        <v>0.2</v>
      </c>
      <c r="CL3" s="137"/>
      <c r="CM3" s="137"/>
    </row>
    <row r="4" spans="1:91" x14ac:dyDescent="0.25">
      <c r="A4" s="126">
        <v>1</v>
      </c>
      <c r="B4" s="83" t="str">
        <f t="shared" si="0"/>
        <v>VDER - Value of Distributed Energy Resources</v>
      </c>
      <c r="C4" s="83" t="str">
        <f t="shared" si="1"/>
        <v>Solar - Tracking</v>
      </c>
      <c r="D4" s="83" t="s">
        <v>212</v>
      </c>
      <c r="E4" s="83" t="str">
        <f t="shared" ref="E4:E42" si="3">A4&amp;" - "&amp;D4</f>
        <v>1 - C</v>
      </c>
      <c r="F4" s="129">
        <v>0.19950895802011934</v>
      </c>
      <c r="H4" s="102" t="s">
        <v>287</v>
      </c>
      <c r="I4" s="102" t="s">
        <v>204</v>
      </c>
      <c r="J4" s="138">
        <f>J3*(1-0.065)</f>
        <v>12.080200000000001</v>
      </c>
      <c r="K4" s="139">
        <v>0.3</v>
      </c>
      <c r="L4" s="139">
        <v>1.25</v>
      </c>
      <c r="M4" s="140">
        <f>J4*K4*L4+J4*(1-K4)*100%</f>
        <v>12.986215</v>
      </c>
      <c r="N4" s="112"/>
      <c r="Q4" s="122" t="s">
        <v>213</v>
      </c>
      <c r="R4" s="123">
        <v>1.0626992561105206</v>
      </c>
      <c r="S4" s="124">
        <v>0.85399999999999998</v>
      </c>
      <c r="T4" s="63">
        <v>0.12</v>
      </c>
      <c r="V4" s="133">
        <f t="shared" ref="V4:V9" si="4">V3+1</f>
        <v>3</v>
      </c>
      <c r="W4" s="83" t="s">
        <v>205</v>
      </c>
      <c r="X4" s="134" t="s">
        <v>210</v>
      </c>
      <c r="Z4" s="122" t="s">
        <v>214</v>
      </c>
      <c r="AA4" s="125" t="s">
        <v>212</v>
      </c>
      <c r="AC4" s="126">
        <v>2002</v>
      </c>
      <c r="AD4" s="125">
        <f t="shared" si="2"/>
        <v>365</v>
      </c>
      <c r="AH4" s="141">
        <v>2023</v>
      </c>
      <c r="AI4" s="142">
        <f t="shared" ref="AI4:AQ4" si="5">AVERAGE(AI5:AI7)</f>
        <v>2.0204814814814815</v>
      </c>
      <c r="AJ4" s="143">
        <f t="shared" si="5"/>
        <v>2.1596666666666668</v>
      </c>
      <c r="AK4" s="143">
        <f t="shared" si="5"/>
        <v>2.2984444444444443</v>
      </c>
      <c r="AL4" s="143">
        <f t="shared" si="5"/>
        <v>2.43762962962963</v>
      </c>
      <c r="AM4" s="143">
        <f t="shared" si="5"/>
        <v>2.5764074074074075</v>
      </c>
      <c r="AN4" s="143">
        <f t="shared" si="5"/>
        <v>2.3543333333333329</v>
      </c>
      <c r="AO4" s="143">
        <f t="shared" si="5"/>
        <v>2.1314074074074072</v>
      </c>
      <c r="AP4" s="143">
        <f t="shared" si="5"/>
        <v>1.9092222222222226</v>
      </c>
      <c r="AQ4" s="143">
        <f t="shared" si="5"/>
        <v>1.6862962962962964</v>
      </c>
      <c r="AR4" s="143">
        <f t="shared" ref="AR4:AS4" si="6">AVERAGE(AR5:AR7)</f>
        <v>1.4639629629629631</v>
      </c>
      <c r="AS4" s="143">
        <f t="shared" si="6"/>
        <v>1.2416296296296296</v>
      </c>
      <c r="AT4" s="143">
        <f t="shared" ref="AT4:AU4" si="7">AVERAGE(AT5:AT7)</f>
        <v>1.3725925925925928</v>
      </c>
      <c r="AU4" s="143">
        <f t="shared" si="7"/>
        <v>1.3471111111111111</v>
      </c>
      <c r="AV4" s="143">
        <f t="shared" ref="AV4:BB4" si="8">AVERAGE(AV5:AV7)</f>
        <v>1.3214814814814815</v>
      </c>
      <c r="AW4" s="143">
        <f t="shared" si="8"/>
        <v>1.296111111111111</v>
      </c>
      <c r="AX4" s="143">
        <f t="shared" si="8"/>
        <v>1.2704814814814815</v>
      </c>
      <c r="AY4" s="143">
        <f t="shared" si="8"/>
        <v>1.2445185185185184</v>
      </c>
      <c r="AZ4" s="143">
        <f t="shared" si="8"/>
        <v>1.2188888888888891</v>
      </c>
      <c r="BA4" s="143">
        <f t="shared" si="8"/>
        <v>1.1932592592592595</v>
      </c>
      <c r="BB4" s="143">
        <f t="shared" si="8"/>
        <v>1.1670370370370369</v>
      </c>
      <c r="BC4" s="143">
        <f t="shared" ref="BC4:CK4" si="9">AVERAGE(BC5:BC7)</f>
        <v>1.1416666666666666</v>
      </c>
      <c r="BD4" s="143">
        <f t="shared" si="9"/>
        <v>1.1160370370370369</v>
      </c>
      <c r="BE4" s="143">
        <f t="shared" si="9"/>
        <v>1.0527037037037037</v>
      </c>
      <c r="BF4" s="143">
        <f t="shared" si="9"/>
        <v>1.0481481481481481</v>
      </c>
      <c r="BG4" s="143">
        <f t="shared" si="9"/>
        <v>1.0443333333333331</v>
      </c>
      <c r="BH4" s="143">
        <f t="shared" si="9"/>
        <v>1.0391851851851852</v>
      </c>
      <c r="BI4" s="143">
        <f t="shared" si="9"/>
        <v>1.034888888888889</v>
      </c>
      <c r="BJ4" s="143">
        <f t="shared" si="9"/>
        <v>1.0304814814814816</v>
      </c>
      <c r="BK4" s="143">
        <f t="shared" si="9"/>
        <v>1.0266666666666666</v>
      </c>
      <c r="BL4" s="143">
        <f t="shared" si="9"/>
        <v>1.022111111111111</v>
      </c>
      <c r="BM4" s="143">
        <f t="shared" si="9"/>
        <v>1.0177037037037036</v>
      </c>
      <c r="BN4" s="143">
        <f t="shared" si="9"/>
        <v>1.0131481481481481</v>
      </c>
      <c r="BO4" s="143">
        <f t="shared" si="9"/>
        <v>1.0087407407407407</v>
      </c>
      <c r="BP4" s="143">
        <f t="shared" si="9"/>
        <v>1.8741481481481481</v>
      </c>
      <c r="BQ4" s="143">
        <f t="shared" si="9"/>
        <v>1.8077777777777779</v>
      </c>
      <c r="BR4" s="143">
        <f t="shared" si="9"/>
        <v>1.7432592592592588</v>
      </c>
      <c r="BS4" s="143">
        <f t="shared" si="9"/>
        <v>1.6752962962962965</v>
      </c>
      <c r="BT4" s="143">
        <f t="shared" si="9"/>
        <v>1.6083333333333332</v>
      </c>
      <c r="BU4" s="143">
        <f t="shared" si="9"/>
        <v>1.5438148148148148</v>
      </c>
      <c r="BV4" s="143">
        <f t="shared" si="9"/>
        <v>1.4787037037037039</v>
      </c>
      <c r="BW4" s="143">
        <f t="shared" si="9"/>
        <v>1.4154074074074074</v>
      </c>
      <c r="BX4" s="143">
        <f t="shared" si="9"/>
        <v>1.3709629629629629</v>
      </c>
      <c r="BY4" s="143">
        <f t="shared" si="9"/>
        <v>1.3253333333333333</v>
      </c>
      <c r="BZ4" s="143">
        <f t="shared" si="9"/>
        <v>1.280296296296296</v>
      </c>
      <c r="CA4" s="143">
        <f>AVERAGE(CA5:CA7)</f>
        <v>1.7718148148148147</v>
      </c>
      <c r="CB4" s="143">
        <f t="shared" ref="CB4" si="10">AVERAGE(CB5:CB7)</f>
        <v>1.7080370370370368</v>
      </c>
      <c r="CC4" s="143">
        <f t="shared" ref="CC4:CI6" si="11">AVERAGE(CC5:CC7)</f>
        <v>1.6450740740740741</v>
      </c>
      <c r="CD4" s="143">
        <f t="shared" si="11"/>
        <v>1.5796296296296297</v>
      </c>
      <c r="CE4" s="143">
        <f t="shared" si="11"/>
        <v>1.5145925925925929</v>
      </c>
      <c r="CF4" s="143">
        <f t="shared" si="11"/>
        <v>1.4522222222222221</v>
      </c>
      <c r="CG4" s="143">
        <f t="shared" si="11"/>
        <v>1.3895185185185186</v>
      </c>
      <c r="CH4" s="143">
        <f t="shared" si="11"/>
        <v>1.3249259259259258</v>
      </c>
      <c r="CI4" s="143">
        <f t="shared" si="11"/>
        <v>1.2617037037037038</v>
      </c>
      <c r="CJ4" s="143">
        <f t="shared" si="9"/>
        <v>1.1969259259259262</v>
      </c>
      <c r="CK4" s="144">
        <f t="shared" si="9"/>
        <v>1.1331481481481482</v>
      </c>
      <c r="CL4" s="145"/>
      <c r="CM4" s="145"/>
    </row>
    <row r="5" spans="1:91" x14ac:dyDescent="0.25">
      <c r="A5" s="126">
        <v>1</v>
      </c>
      <c r="B5" s="83" t="str">
        <f t="shared" si="0"/>
        <v>VDER - Value of Distributed Energy Resources</v>
      </c>
      <c r="C5" s="83" t="str">
        <f t="shared" si="1"/>
        <v>Solar - Tracking</v>
      </c>
      <c r="D5" s="83" t="s">
        <v>215</v>
      </c>
      <c r="E5" s="83" t="str">
        <f t="shared" si="3"/>
        <v>1 - D</v>
      </c>
      <c r="F5" s="129">
        <v>0.2045460263423082</v>
      </c>
      <c r="H5" s="102" t="s">
        <v>287</v>
      </c>
      <c r="I5" s="102" t="s">
        <v>4</v>
      </c>
      <c r="J5" s="138">
        <v>12.92</v>
      </c>
      <c r="K5" s="139">
        <v>0.33</v>
      </c>
      <c r="L5" s="139">
        <v>1.25</v>
      </c>
      <c r="M5" s="140">
        <f t="shared" ref="M5:M9" si="12">J5*K5*L5+J5*(1-K5)*100%</f>
        <v>13.985900000000001</v>
      </c>
      <c r="N5" s="112"/>
      <c r="Q5" s="122" t="s">
        <v>216</v>
      </c>
      <c r="R5" s="123">
        <v>1.0626992561105206</v>
      </c>
      <c r="S5" s="124">
        <v>0.85399999999999998</v>
      </c>
      <c r="T5" s="63">
        <v>0.12</v>
      </c>
      <c r="V5" s="133">
        <f t="shared" si="4"/>
        <v>4</v>
      </c>
      <c r="W5" s="83" t="s">
        <v>4</v>
      </c>
      <c r="X5" s="134" t="s">
        <v>287</v>
      </c>
      <c r="Z5" s="122" t="s">
        <v>217</v>
      </c>
      <c r="AA5" s="125" t="s">
        <v>215</v>
      </c>
      <c r="AC5" s="126">
        <v>2003</v>
      </c>
      <c r="AD5" s="125">
        <f t="shared" si="2"/>
        <v>365</v>
      </c>
      <c r="AH5" s="146">
        <v>2024</v>
      </c>
      <c r="AI5" s="147">
        <f t="shared" ref="AI5:AQ5" si="13">AVERAGE(AI6:AI8)</f>
        <v>2.0341111111111112</v>
      </c>
      <c r="AJ5" s="145">
        <f t="shared" si="13"/>
        <v>2.1750000000000003</v>
      </c>
      <c r="AK5" s="145">
        <f t="shared" si="13"/>
        <v>2.3153333333333332</v>
      </c>
      <c r="AL5" s="145">
        <f t="shared" si="13"/>
        <v>2.4562222222222228</v>
      </c>
      <c r="AM5" s="145">
        <f t="shared" si="13"/>
        <v>2.5965555555555557</v>
      </c>
      <c r="AN5" s="145">
        <f t="shared" si="13"/>
        <v>2.3719999999999999</v>
      </c>
      <c r="AO5" s="145">
        <f t="shared" si="13"/>
        <v>2.1465555555555556</v>
      </c>
      <c r="AP5" s="145">
        <f t="shared" si="13"/>
        <v>1.9216666666666669</v>
      </c>
      <c r="AQ5" s="145">
        <f t="shared" si="13"/>
        <v>1.6962222222222223</v>
      </c>
      <c r="AR5" s="145">
        <f t="shared" ref="AR5:AS5" si="14">AVERAGE(AR6:AR8)</f>
        <v>1.4712222222222222</v>
      </c>
      <c r="AS5" s="145">
        <f t="shared" si="14"/>
        <v>1.2462222222222221</v>
      </c>
      <c r="AT5" s="145">
        <f t="shared" ref="AT5:AU5" si="15">AVERAGE(AT6:AT8)</f>
        <v>1.3654444444444447</v>
      </c>
      <c r="AU5" s="145">
        <f t="shared" si="15"/>
        <v>1.3403333333333334</v>
      </c>
      <c r="AV5" s="145">
        <f t="shared" ref="AV5:BB5" si="16">AVERAGE(AV6:AV8)</f>
        <v>1.3151111111111111</v>
      </c>
      <c r="AW5" s="145">
        <f t="shared" si="16"/>
        <v>1.2903333333333331</v>
      </c>
      <c r="AX5" s="145">
        <f t="shared" si="16"/>
        <v>1.2651111111111111</v>
      </c>
      <c r="AY5" s="145">
        <f t="shared" si="16"/>
        <v>1.2398888888888888</v>
      </c>
      <c r="AZ5" s="145">
        <f t="shared" si="16"/>
        <v>1.2146666666666668</v>
      </c>
      <c r="BA5" s="145">
        <f t="shared" si="16"/>
        <v>1.1894444444444445</v>
      </c>
      <c r="BB5" s="145">
        <f t="shared" si="16"/>
        <v>1.1637777777777778</v>
      </c>
      <c r="BC5" s="145">
        <f t="shared" ref="BC5:CK5" si="17">AVERAGE(BC6:BC8)</f>
        <v>1.139</v>
      </c>
      <c r="BD5" s="145">
        <f t="shared" si="17"/>
        <v>1.1137777777777778</v>
      </c>
      <c r="BE5" s="145">
        <f t="shared" si="17"/>
        <v>1.0537777777777777</v>
      </c>
      <c r="BF5" s="145">
        <f t="shared" si="17"/>
        <v>1.0491111111111111</v>
      </c>
      <c r="BG5" s="145">
        <f t="shared" si="17"/>
        <v>1.0449999999999999</v>
      </c>
      <c r="BH5" s="145">
        <f t="shared" si="17"/>
        <v>1.0398888888888889</v>
      </c>
      <c r="BI5" s="145">
        <f t="shared" si="17"/>
        <v>1.0356666666666667</v>
      </c>
      <c r="BJ5" s="145">
        <f t="shared" si="17"/>
        <v>1.0311111111111111</v>
      </c>
      <c r="BK5" s="145">
        <f t="shared" si="17"/>
        <v>1.0269999999999999</v>
      </c>
      <c r="BL5" s="145">
        <f t="shared" si="17"/>
        <v>1.0223333333333331</v>
      </c>
      <c r="BM5" s="145">
        <f t="shared" si="17"/>
        <v>1.0177777777777777</v>
      </c>
      <c r="BN5" s="145">
        <f t="shared" si="17"/>
        <v>1.0131111111111111</v>
      </c>
      <c r="BO5" s="145">
        <f t="shared" si="17"/>
        <v>1.0085555555555554</v>
      </c>
      <c r="BP5" s="145">
        <f t="shared" si="17"/>
        <v>1.7421111111111112</v>
      </c>
      <c r="BQ5" s="145">
        <f t="shared" si="17"/>
        <v>1.6793333333333333</v>
      </c>
      <c r="BR5" s="145">
        <f t="shared" si="17"/>
        <v>1.6184444444444441</v>
      </c>
      <c r="BS5" s="145">
        <f t="shared" si="17"/>
        <v>1.5542222222222222</v>
      </c>
      <c r="BT5" s="145">
        <f t="shared" si="17"/>
        <v>1.4909999999999999</v>
      </c>
      <c r="BU5" s="145">
        <f t="shared" si="17"/>
        <v>1.4301111111111109</v>
      </c>
      <c r="BV5" s="145">
        <f t="shared" si="17"/>
        <v>1.3687777777777779</v>
      </c>
      <c r="BW5" s="145">
        <f t="shared" si="17"/>
        <v>1.3115555555555556</v>
      </c>
      <c r="BX5" s="145">
        <f t="shared" si="17"/>
        <v>1.2782222222222221</v>
      </c>
      <c r="BY5" s="145">
        <f t="shared" si="17"/>
        <v>1.244</v>
      </c>
      <c r="BZ5" s="145">
        <f t="shared" si="17"/>
        <v>1.2102222222222221</v>
      </c>
      <c r="CA5" s="145">
        <f>AVERAGE(CA6:CA8)</f>
        <v>1.7861111111111112</v>
      </c>
      <c r="CB5" s="145">
        <f t="shared" ref="CB5" si="18">AVERAGE(CB6:CB8)</f>
        <v>1.7207777777777775</v>
      </c>
      <c r="CC5" s="145">
        <f t="shared" si="11"/>
        <v>1.6565555555555556</v>
      </c>
      <c r="CD5" s="145">
        <f t="shared" si="11"/>
        <v>1.5892222222222223</v>
      </c>
      <c r="CE5" s="145">
        <f t="shared" si="11"/>
        <v>1.5224444444444447</v>
      </c>
      <c r="CF5" s="145">
        <f t="shared" si="11"/>
        <v>1.4586666666666666</v>
      </c>
      <c r="CG5" s="145">
        <f t="shared" si="11"/>
        <v>1.3948888888888888</v>
      </c>
      <c r="CH5" s="145">
        <f t="shared" si="11"/>
        <v>1.3284444444444445</v>
      </c>
      <c r="CI5" s="145">
        <f t="shared" si="11"/>
        <v>1.2637777777777777</v>
      </c>
      <c r="CJ5" s="145">
        <f t="shared" si="17"/>
        <v>1.1974444444444445</v>
      </c>
      <c r="CK5" s="148">
        <f t="shared" si="17"/>
        <v>1.1321111111111111</v>
      </c>
      <c r="CL5" s="145"/>
      <c r="CM5" s="145"/>
    </row>
    <row r="6" spans="1:91" x14ac:dyDescent="0.25">
      <c r="A6" s="126">
        <v>1</v>
      </c>
      <c r="B6" s="83" t="str">
        <f t="shared" si="0"/>
        <v>VDER - Value of Distributed Energy Resources</v>
      </c>
      <c r="C6" s="83" t="str">
        <f t="shared" si="1"/>
        <v>Solar - Tracking</v>
      </c>
      <c r="D6" s="83" t="s">
        <v>218</v>
      </c>
      <c r="E6" s="83" t="str">
        <f t="shared" si="3"/>
        <v>1 - E</v>
      </c>
      <c r="F6" s="129">
        <v>0.19950895802011934</v>
      </c>
      <c r="H6" s="102" t="s">
        <v>285</v>
      </c>
      <c r="I6" s="102" t="s">
        <v>205</v>
      </c>
      <c r="J6" s="138">
        <v>12.92</v>
      </c>
      <c r="K6" s="139">
        <v>0.33</v>
      </c>
      <c r="L6" s="139">
        <v>1.25</v>
      </c>
      <c r="M6" s="140">
        <f t="shared" si="12"/>
        <v>13.985900000000001</v>
      </c>
      <c r="N6" s="112"/>
      <c r="Q6" s="122" t="s">
        <v>220</v>
      </c>
      <c r="R6" s="123">
        <v>1.0626992561105206</v>
      </c>
      <c r="S6" s="124">
        <v>0.85399999999999998</v>
      </c>
      <c r="T6" s="63">
        <v>0.12</v>
      </c>
      <c r="V6" s="133">
        <f t="shared" si="4"/>
        <v>5</v>
      </c>
      <c r="W6" s="83" t="s">
        <v>204</v>
      </c>
      <c r="X6" s="134" t="s">
        <v>285</v>
      </c>
      <c r="Z6" s="122" t="s">
        <v>33</v>
      </c>
      <c r="AA6" s="125" t="s">
        <v>218</v>
      </c>
      <c r="AC6" s="126">
        <v>2004</v>
      </c>
      <c r="AD6" s="125">
        <f t="shared" si="2"/>
        <v>366</v>
      </c>
      <c r="AH6" s="146">
        <v>2025</v>
      </c>
      <c r="AI6" s="147">
        <f t="shared" ref="AI6:AJ6" si="19">AVERAGE(AI7:AI9)</f>
        <v>2.0583333333333336</v>
      </c>
      <c r="AJ6" s="145">
        <f t="shared" si="19"/>
        <v>2.2029999999999998</v>
      </c>
      <c r="AK6" s="145">
        <f>AVERAGE(AK7:AK9)</f>
        <v>2.347</v>
      </c>
      <c r="AL6" s="145">
        <f t="shared" ref="AL6:AQ6" si="20">AVERAGE(AL7:AL9)</f>
        <v>2.4916666666666667</v>
      </c>
      <c r="AM6" s="145">
        <f t="shared" si="20"/>
        <v>2.6356666666666668</v>
      </c>
      <c r="AN6" s="145">
        <f t="shared" si="20"/>
        <v>2.4049999999999998</v>
      </c>
      <c r="AO6" s="145">
        <f t="shared" si="20"/>
        <v>2.1736666666666666</v>
      </c>
      <c r="AP6" s="145">
        <f t="shared" si="20"/>
        <v>1.9430000000000003</v>
      </c>
      <c r="AQ6" s="145">
        <f t="shared" si="20"/>
        <v>1.7116666666666667</v>
      </c>
      <c r="AR6" s="145">
        <f t="shared" ref="AR6:AS6" si="21">AVERAGE(AR7:AR9)</f>
        <v>1.4806666666666668</v>
      </c>
      <c r="AS6" s="145">
        <f t="shared" si="21"/>
        <v>1.2496666666666665</v>
      </c>
      <c r="AT6" s="145">
        <f t="shared" ref="AT6:AU6" si="22">AVERAGE(AT7:AT9)</f>
        <v>1.3573333333333333</v>
      </c>
      <c r="AU6" s="145">
        <f t="shared" si="22"/>
        <v>1.333</v>
      </c>
      <c r="AV6" s="145">
        <f t="shared" ref="AV6:BB6" si="23">AVERAGE(AV7:AV9)</f>
        <v>1.3083333333333333</v>
      </c>
      <c r="AW6" s="145">
        <f t="shared" si="23"/>
        <v>1.2839999999999998</v>
      </c>
      <c r="AX6" s="145">
        <f t="shared" si="23"/>
        <v>1.2593333333333334</v>
      </c>
      <c r="AY6" s="145">
        <f t="shared" si="23"/>
        <v>1.2346666666666666</v>
      </c>
      <c r="AZ6" s="145">
        <f t="shared" si="23"/>
        <v>1.21</v>
      </c>
      <c r="BA6" s="145">
        <f t="shared" si="23"/>
        <v>1.1853333333333333</v>
      </c>
      <c r="BB6" s="145">
        <f t="shared" si="23"/>
        <v>1.1603333333333332</v>
      </c>
      <c r="BC6" s="145">
        <f t="shared" ref="BC6:CK6" si="24">AVERAGE(BC7:BC9)</f>
        <v>1.1359999999999999</v>
      </c>
      <c r="BD6" s="145">
        <f t="shared" si="24"/>
        <v>1.1113333333333333</v>
      </c>
      <c r="BE6" s="145">
        <f t="shared" si="24"/>
        <v>1.0563333333333333</v>
      </c>
      <c r="BF6" s="145">
        <f t="shared" si="24"/>
        <v>1.0513333333333332</v>
      </c>
      <c r="BG6" s="145">
        <f t="shared" si="24"/>
        <v>1.0469999999999999</v>
      </c>
      <c r="BH6" s="145">
        <f t="shared" si="24"/>
        <v>1.0416666666666667</v>
      </c>
      <c r="BI6" s="145">
        <f t="shared" si="24"/>
        <v>1.0370000000000001</v>
      </c>
      <c r="BJ6" s="145">
        <f t="shared" si="24"/>
        <v>1.0323333333333333</v>
      </c>
      <c r="BK6" s="145">
        <f t="shared" si="24"/>
        <v>1.0279999999999998</v>
      </c>
      <c r="BL6" s="145">
        <f t="shared" si="24"/>
        <v>1.0229999999999999</v>
      </c>
      <c r="BM6" s="145">
        <f t="shared" si="24"/>
        <v>1.0183333333333333</v>
      </c>
      <c r="BN6" s="145">
        <f t="shared" si="24"/>
        <v>1.0133333333333334</v>
      </c>
      <c r="BO6" s="145">
        <f t="shared" si="24"/>
        <v>1.0086666666666666</v>
      </c>
      <c r="BP6" s="145">
        <f t="shared" si="24"/>
        <v>1.6483333333333334</v>
      </c>
      <c r="BQ6" s="145">
        <f t="shared" si="24"/>
        <v>1.5880000000000001</v>
      </c>
      <c r="BR6" s="145">
        <f t="shared" si="24"/>
        <v>1.529333333333333</v>
      </c>
      <c r="BS6" s="145">
        <f t="shared" si="24"/>
        <v>1.4676666666666669</v>
      </c>
      <c r="BT6" s="145">
        <f t="shared" si="24"/>
        <v>1.407</v>
      </c>
      <c r="BU6" s="145">
        <f t="shared" si="24"/>
        <v>1.3483333333333334</v>
      </c>
      <c r="BV6" s="145">
        <f t="shared" si="24"/>
        <v>1.2893333333333334</v>
      </c>
      <c r="BW6" s="145">
        <f t="shared" si="24"/>
        <v>1.2336666666666667</v>
      </c>
      <c r="BX6" s="145">
        <f t="shared" si="24"/>
        <v>1.2086666666666666</v>
      </c>
      <c r="BY6" s="145">
        <f t="shared" si="24"/>
        <v>1.1830000000000001</v>
      </c>
      <c r="BZ6" s="145">
        <f t="shared" si="24"/>
        <v>1.1576666666666666</v>
      </c>
      <c r="CA6" s="145">
        <f>AVERAGE(CA7:CA9)</f>
        <v>1.8013333333333332</v>
      </c>
      <c r="CB6" s="145">
        <f t="shared" ref="CB6" si="25">AVERAGE(CB7:CB9)</f>
        <v>1.7343333333333331</v>
      </c>
      <c r="CC6" s="145">
        <f t="shared" si="11"/>
        <v>1.6686666666666667</v>
      </c>
      <c r="CD6" s="145">
        <f t="shared" si="11"/>
        <v>1.5996666666666668</v>
      </c>
      <c r="CE6" s="145">
        <f t="shared" si="11"/>
        <v>1.5313333333333334</v>
      </c>
      <c r="CF6" s="145">
        <f t="shared" si="11"/>
        <v>1.466</v>
      </c>
      <c r="CG6" s="145">
        <f t="shared" si="11"/>
        <v>1.4006666666666667</v>
      </c>
      <c r="CH6" s="145">
        <f t="shared" si="11"/>
        <v>1.3323333333333334</v>
      </c>
      <c r="CI6" s="145">
        <f t="shared" si="11"/>
        <v>1.2663333333333333</v>
      </c>
      <c r="CJ6" s="145">
        <f t="shared" si="24"/>
        <v>1.1983333333333335</v>
      </c>
      <c r="CK6" s="148">
        <f t="shared" si="24"/>
        <v>1.1313333333333333</v>
      </c>
      <c r="CL6" s="145"/>
      <c r="CM6" s="145"/>
    </row>
    <row r="7" spans="1:91" x14ac:dyDescent="0.25">
      <c r="A7" s="126">
        <v>1</v>
      </c>
      <c r="B7" s="83" t="str">
        <f t="shared" si="0"/>
        <v>VDER - Value of Distributed Energy Resources</v>
      </c>
      <c r="C7" s="83" t="str">
        <f t="shared" si="1"/>
        <v>Solar - Tracking</v>
      </c>
      <c r="D7" s="83" t="s">
        <v>221</v>
      </c>
      <c r="E7" s="83" t="str">
        <f>A7&amp;" - "&amp;D7</f>
        <v>1 - F</v>
      </c>
      <c r="F7" s="129">
        <v>0.2095294751629842</v>
      </c>
      <c r="H7" s="102" t="s">
        <v>287</v>
      </c>
      <c r="I7" s="102" t="s">
        <v>205</v>
      </c>
      <c r="J7" s="138">
        <f>J6*(1-0.065)</f>
        <v>12.080200000000001</v>
      </c>
      <c r="K7" s="139">
        <v>0.33</v>
      </c>
      <c r="L7" s="139">
        <v>1.25</v>
      </c>
      <c r="M7" s="140">
        <f t="shared" si="12"/>
        <v>13.0768165</v>
      </c>
      <c r="N7" s="112"/>
      <c r="Q7" s="122" t="s">
        <v>31</v>
      </c>
      <c r="R7" s="123">
        <v>1.0840000000000001</v>
      </c>
      <c r="S7" s="124">
        <v>0.21</v>
      </c>
      <c r="T7" s="63">
        <v>2.8199999999999999E-2</v>
      </c>
      <c r="V7" s="133">
        <f t="shared" si="4"/>
        <v>6</v>
      </c>
      <c r="W7" s="83" t="s">
        <v>204</v>
      </c>
      <c r="X7" s="134" t="s">
        <v>287</v>
      </c>
      <c r="Z7" s="122" t="s">
        <v>222</v>
      </c>
      <c r="AA7" s="125" t="s">
        <v>221</v>
      </c>
      <c r="AC7" s="126">
        <v>2005</v>
      </c>
      <c r="AD7" s="125">
        <f t="shared" si="2"/>
        <v>365</v>
      </c>
      <c r="AH7" s="146">
        <v>2026</v>
      </c>
      <c r="AI7" s="149">
        <v>1.9690000000000001</v>
      </c>
      <c r="AJ7" s="150">
        <v>2.101</v>
      </c>
      <c r="AK7" s="150">
        <v>2.2330000000000001</v>
      </c>
      <c r="AL7" s="150">
        <v>2.3650000000000002</v>
      </c>
      <c r="AM7" s="150">
        <v>2.4969999999999999</v>
      </c>
      <c r="AN7" s="150">
        <v>2.286</v>
      </c>
      <c r="AO7" s="150">
        <v>2.0739999999999998</v>
      </c>
      <c r="AP7" s="150">
        <v>1.863</v>
      </c>
      <c r="AQ7" s="150">
        <v>1.651</v>
      </c>
      <c r="AR7" s="150">
        <v>1.44</v>
      </c>
      <c r="AS7" s="150">
        <v>1.2290000000000001</v>
      </c>
      <c r="AT7" s="150">
        <v>1.395</v>
      </c>
      <c r="AU7" s="150">
        <v>1.3680000000000001</v>
      </c>
      <c r="AV7" s="150">
        <v>1.341</v>
      </c>
      <c r="AW7" s="150">
        <v>1.3140000000000001</v>
      </c>
      <c r="AX7" s="150">
        <v>1.2869999999999999</v>
      </c>
      <c r="AY7" s="150">
        <v>1.2589999999999999</v>
      </c>
      <c r="AZ7" s="150">
        <v>1.232</v>
      </c>
      <c r="BA7" s="150">
        <v>1.2050000000000001</v>
      </c>
      <c r="BB7" s="150">
        <v>1.177</v>
      </c>
      <c r="BC7" s="150">
        <v>1.1499999999999999</v>
      </c>
      <c r="BD7" s="150">
        <v>1.123</v>
      </c>
      <c r="BE7" s="150">
        <v>1.048</v>
      </c>
      <c r="BF7" s="150">
        <v>1.044</v>
      </c>
      <c r="BG7" s="150">
        <v>1.0409999999999999</v>
      </c>
      <c r="BH7" s="150">
        <v>1.036</v>
      </c>
      <c r="BI7" s="150">
        <v>1.032</v>
      </c>
      <c r="BJ7" s="150">
        <v>1.028</v>
      </c>
      <c r="BK7" s="150">
        <v>1.0249999999999999</v>
      </c>
      <c r="BL7" s="150">
        <v>1.0209999999999999</v>
      </c>
      <c r="BM7" s="150">
        <v>1.0169999999999999</v>
      </c>
      <c r="BN7" s="150">
        <v>1.0129999999999999</v>
      </c>
      <c r="BO7" s="150">
        <v>1.0089999999999999</v>
      </c>
      <c r="BP7" s="150">
        <v>2.2320000000000002</v>
      </c>
      <c r="BQ7" s="150">
        <v>2.1560000000000001</v>
      </c>
      <c r="BR7" s="150">
        <v>2.0819999999999999</v>
      </c>
      <c r="BS7" s="150">
        <v>2.004</v>
      </c>
      <c r="BT7" s="150">
        <v>1.927</v>
      </c>
      <c r="BU7" s="150">
        <v>1.853</v>
      </c>
      <c r="BV7" s="150">
        <v>1.778</v>
      </c>
      <c r="BW7" s="150">
        <v>1.7010000000000001</v>
      </c>
      <c r="BX7" s="150">
        <v>1.6259999999999999</v>
      </c>
      <c r="BY7" s="150">
        <v>1.5489999999999999</v>
      </c>
      <c r="BZ7" s="150">
        <v>1.4730000000000001</v>
      </c>
      <c r="CA7" s="150">
        <v>1.728</v>
      </c>
      <c r="CB7" s="150">
        <v>1.669</v>
      </c>
      <c r="CC7" s="150">
        <v>1.61</v>
      </c>
      <c r="CD7" s="150">
        <v>1.55</v>
      </c>
      <c r="CE7" s="150">
        <v>1.49</v>
      </c>
      <c r="CF7" s="150">
        <v>1.4319999999999999</v>
      </c>
      <c r="CG7" s="150">
        <v>1.373</v>
      </c>
      <c r="CH7" s="150">
        <v>1.3140000000000001</v>
      </c>
      <c r="CI7" s="150">
        <v>1.2549999999999999</v>
      </c>
      <c r="CJ7" s="150">
        <v>1.1950000000000001</v>
      </c>
      <c r="CK7" s="151">
        <v>1.1359999999999999</v>
      </c>
      <c r="CL7" s="150"/>
      <c r="CM7" s="150"/>
    </row>
    <row r="8" spans="1:91" x14ac:dyDescent="0.25">
      <c r="A8" s="126">
        <v>1</v>
      </c>
      <c r="B8" s="83" t="str">
        <f t="shared" si="0"/>
        <v>VDER - Value of Distributed Energy Resources</v>
      </c>
      <c r="C8" s="83" t="str">
        <f t="shared" si="1"/>
        <v>Solar - Tracking</v>
      </c>
      <c r="D8" s="83" t="s">
        <v>223</v>
      </c>
      <c r="E8" s="83" t="str">
        <f t="shared" si="3"/>
        <v>1 - G</v>
      </c>
      <c r="F8" s="129">
        <v>0.2128821557777667</v>
      </c>
      <c r="H8" s="102" t="s">
        <v>219</v>
      </c>
      <c r="I8" s="102" t="s">
        <v>204</v>
      </c>
      <c r="J8" s="138">
        <v>24.87</v>
      </c>
      <c r="K8" s="139">
        <v>0.1</v>
      </c>
      <c r="L8" s="139">
        <v>1.25</v>
      </c>
      <c r="M8" s="140">
        <f t="shared" si="12"/>
        <v>25.491750000000003</v>
      </c>
      <c r="N8" s="112"/>
      <c r="Q8" s="122" t="s">
        <v>21</v>
      </c>
      <c r="R8" s="123">
        <v>1.0728</v>
      </c>
      <c r="S8" s="124">
        <v>8.8999999999999996E-2</v>
      </c>
      <c r="T8" s="63">
        <v>3.1399999999999997E-2</v>
      </c>
      <c r="V8" s="133">
        <f t="shared" si="4"/>
        <v>7</v>
      </c>
      <c r="W8" s="83" t="s">
        <v>204</v>
      </c>
      <c r="X8" s="134" t="s">
        <v>210</v>
      </c>
      <c r="Z8" s="122" t="s">
        <v>224</v>
      </c>
      <c r="AA8" s="125" t="s">
        <v>223</v>
      </c>
      <c r="AC8" s="126">
        <v>2006</v>
      </c>
      <c r="AD8" s="125">
        <f t="shared" si="2"/>
        <v>365</v>
      </c>
      <c r="AH8" s="146">
        <v>2027</v>
      </c>
      <c r="AI8" s="149">
        <v>2.0750000000000002</v>
      </c>
      <c r="AJ8" s="150">
        <v>2.2210000000000001</v>
      </c>
      <c r="AK8" s="150">
        <v>2.3660000000000001</v>
      </c>
      <c r="AL8" s="150">
        <v>2.512</v>
      </c>
      <c r="AM8" s="150">
        <v>2.657</v>
      </c>
      <c r="AN8" s="150">
        <v>2.4249999999999998</v>
      </c>
      <c r="AO8" s="150">
        <v>2.1920000000000002</v>
      </c>
      <c r="AP8" s="150">
        <v>1.9590000000000001</v>
      </c>
      <c r="AQ8" s="150">
        <v>1.726</v>
      </c>
      <c r="AR8" s="150">
        <v>1.4930000000000001</v>
      </c>
      <c r="AS8" s="150">
        <v>1.26</v>
      </c>
      <c r="AT8" s="150">
        <v>1.3440000000000001</v>
      </c>
      <c r="AU8" s="150">
        <v>1.32</v>
      </c>
      <c r="AV8" s="150">
        <v>1.296</v>
      </c>
      <c r="AW8" s="150">
        <v>1.2729999999999999</v>
      </c>
      <c r="AX8" s="150">
        <v>1.2490000000000001</v>
      </c>
      <c r="AY8" s="150">
        <v>1.226</v>
      </c>
      <c r="AZ8" s="150">
        <v>1.202</v>
      </c>
      <c r="BA8" s="150">
        <v>1.1779999999999999</v>
      </c>
      <c r="BB8" s="150">
        <v>1.1539999999999999</v>
      </c>
      <c r="BC8" s="150">
        <v>1.131</v>
      </c>
      <c r="BD8" s="150">
        <v>1.107</v>
      </c>
      <c r="BE8" s="150">
        <v>1.0569999999999999</v>
      </c>
      <c r="BF8" s="150">
        <v>1.052</v>
      </c>
      <c r="BG8" s="150">
        <v>1.0469999999999999</v>
      </c>
      <c r="BH8" s="150">
        <v>1.042</v>
      </c>
      <c r="BI8" s="150">
        <v>1.038</v>
      </c>
      <c r="BJ8" s="150">
        <v>1.0329999999999999</v>
      </c>
      <c r="BK8" s="150">
        <v>1.028</v>
      </c>
      <c r="BL8" s="150">
        <v>1.0229999999999999</v>
      </c>
      <c r="BM8" s="150">
        <v>1.018</v>
      </c>
      <c r="BN8" s="150">
        <v>1.0129999999999999</v>
      </c>
      <c r="BO8" s="150">
        <v>1.008</v>
      </c>
      <c r="BP8" s="150">
        <v>1.3460000000000001</v>
      </c>
      <c r="BQ8" s="150">
        <v>1.294</v>
      </c>
      <c r="BR8" s="150">
        <v>1.244</v>
      </c>
      <c r="BS8" s="150">
        <v>1.1910000000000001</v>
      </c>
      <c r="BT8" s="150">
        <v>1.139</v>
      </c>
      <c r="BU8" s="150">
        <v>1.089</v>
      </c>
      <c r="BV8" s="150">
        <v>1.0389999999999999</v>
      </c>
      <c r="BW8" s="150">
        <v>1</v>
      </c>
      <c r="BX8" s="150">
        <v>1</v>
      </c>
      <c r="BY8" s="150">
        <v>1</v>
      </c>
      <c r="BZ8" s="150">
        <v>1</v>
      </c>
      <c r="CA8" s="150">
        <v>1.829</v>
      </c>
      <c r="CB8" s="150">
        <v>1.7589999999999999</v>
      </c>
      <c r="CC8" s="150">
        <v>1.6910000000000001</v>
      </c>
      <c r="CD8" s="150">
        <v>1.6180000000000001</v>
      </c>
      <c r="CE8" s="150">
        <v>1.546</v>
      </c>
      <c r="CF8" s="150">
        <v>1.478</v>
      </c>
      <c r="CG8" s="150">
        <v>1.411</v>
      </c>
      <c r="CH8" s="150">
        <v>1.339</v>
      </c>
      <c r="CI8" s="150">
        <v>1.27</v>
      </c>
      <c r="CJ8" s="150">
        <v>1.1990000000000001</v>
      </c>
      <c r="CK8" s="151">
        <v>1.129</v>
      </c>
      <c r="CL8" s="150"/>
      <c r="CM8" s="150"/>
    </row>
    <row r="9" spans="1:91" x14ac:dyDescent="0.25">
      <c r="A9" s="126">
        <v>1</v>
      </c>
      <c r="B9" s="83" t="str">
        <f t="shared" si="0"/>
        <v>VDER - Value of Distributed Energy Resources</v>
      </c>
      <c r="C9" s="83" t="str">
        <f t="shared" si="1"/>
        <v>Solar - Tracking</v>
      </c>
      <c r="D9" s="83" t="s">
        <v>225</v>
      </c>
      <c r="E9" s="83" t="str">
        <f t="shared" si="3"/>
        <v>1 - H</v>
      </c>
      <c r="F9" s="129">
        <v>0.21623483639254928</v>
      </c>
      <c r="H9" s="102" t="s">
        <v>210</v>
      </c>
      <c r="I9" s="102" t="s">
        <v>204</v>
      </c>
      <c r="J9" s="138">
        <v>52.67</v>
      </c>
      <c r="K9" s="139">
        <v>0.3</v>
      </c>
      <c r="L9" s="139">
        <v>1.25</v>
      </c>
      <c r="M9" s="140">
        <f t="shared" si="12"/>
        <v>56.620249999999999</v>
      </c>
      <c r="N9" s="112"/>
      <c r="Q9" s="122" t="s">
        <v>226</v>
      </c>
      <c r="R9" s="123">
        <v>1.0798700000000001</v>
      </c>
      <c r="S9" s="124">
        <v>0.222</v>
      </c>
      <c r="T9" s="63">
        <v>9.11E-2</v>
      </c>
      <c r="V9" s="152">
        <f t="shared" si="4"/>
        <v>8</v>
      </c>
      <c r="W9" s="153" t="s">
        <v>204</v>
      </c>
      <c r="X9" s="154" t="s">
        <v>219</v>
      </c>
      <c r="Z9" s="122" t="s">
        <v>227</v>
      </c>
      <c r="AA9" s="125" t="s">
        <v>225</v>
      </c>
      <c r="AC9" s="126">
        <v>2007</v>
      </c>
      <c r="AD9" s="125">
        <f t="shared" si="2"/>
        <v>365</v>
      </c>
      <c r="AH9" s="146">
        <v>2028</v>
      </c>
      <c r="AI9" s="149">
        <v>2.1309999999999998</v>
      </c>
      <c r="AJ9" s="150">
        <v>2.2869999999999999</v>
      </c>
      <c r="AK9" s="150">
        <v>2.4420000000000002</v>
      </c>
      <c r="AL9" s="150">
        <v>2.5979999999999999</v>
      </c>
      <c r="AM9" s="150">
        <v>2.7530000000000001</v>
      </c>
      <c r="AN9" s="150">
        <v>2.504</v>
      </c>
      <c r="AO9" s="150">
        <v>2.2549999999999999</v>
      </c>
      <c r="AP9" s="150">
        <v>2.0070000000000001</v>
      </c>
      <c r="AQ9" s="150">
        <v>1.758</v>
      </c>
      <c r="AR9" s="150">
        <v>1.5089999999999999</v>
      </c>
      <c r="AS9" s="150">
        <v>1.26</v>
      </c>
      <c r="AT9" s="150">
        <v>1.333</v>
      </c>
      <c r="AU9" s="150">
        <v>1.3109999999999999</v>
      </c>
      <c r="AV9" s="150">
        <v>1.288</v>
      </c>
      <c r="AW9" s="150">
        <v>1.2649999999999999</v>
      </c>
      <c r="AX9" s="150">
        <v>1.242</v>
      </c>
      <c r="AY9" s="150">
        <v>1.2190000000000001</v>
      </c>
      <c r="AZ9" s="150">
        <v>1.196</v>
      </c>
      <c r="BA9" s="150">
        <v>1.173</v>
      </c>
      <c r="BB9" s="150">
        <v>1.1499999999999999</v>
      </c>
      <c r="BC9" s="150">
        <v>1.127</v>
      </c>
      <c r="BD9" s="150">
        <v>1.1040000000000001</v>
      </c>
      <c r="BE9" s="150">
        <v>1.0640000000000001</v>
      </c>
      <c r="BF9" s="150">
        <v>1.0580000000000001</v>
      </c>
      <c r="BG9" s="150">
        <v>1.0529999999999999</v>
      </c>
      <c r="BH9" s="150">
        <v>1.0469999999999999</v>
      </c>
      <c r="BI9" s="150">
        <v>1.0409999999999999</v>
      </c>
      <c r="BJ9" s="150">
        <v>1.036</v>
      </c>
      <c r="BK9" s="150">
        <v>1.0309999999999999</v>
      </c>
      <c r="BL9" s="150">
        <v>1.0249999999999999</v>
      </c>
      <c r="BM9" s="150">
        <v>1.02</v>
      </c>
      <c r="BN9" s="150">
        <v>1.014</v>
      </c>
      <c r="BO9" s="150">
        <v>1.0089999999999999</v>
      </c>
      <c r="BP9" s="150">
        <v>1.367</v>
      </c>
      <c r="BQ9" s="150">
        <v>1.3140000000000001</v>
      </c>
      <c r="BR9" s="150">
        <v>1.262</v>
      </c>
      <c r="BS9" s="150">
        <v>1.208</v>
      </c>
      <c r="BT9" s="150">
        <v>1.155</v>
      </c>
      <c r="BU9" s="150">
        <v>1.103</v>
      </c>
      <c r="BV9" s="150">
        <v>1.0509999999999999</v>
      </c>
      <c r="BW9" s="150">
        <v>1</v>
      </c>
      <c r="BX9" s="150">
        <v>1</v>
      </c>
      <c r="BY9" s="150">
        <v>1</v>
      </c>
      <c r="BZ9" s="150">
        <v>1</v>
      </c>
      <c r="CA9" s="150">
        <v>1.847</v>
      </c>
      <c r="CB9" s="150">
        <v>1.7749999999999999</v>
      </c>
      <c r="CC9" s="150">
        <v>1.7050000000000001</v>
      </c>
      <c r="CD9" s="150">
        <v>1.631</v>
      </c>
      <c r="CE9" s="150">
        <v>1.5580000000000001</v>
      </c>
      <c r="CF9" s="150">
        <v>1.488</v>
      </c>
      <c r="CG9" s="150">
        <v>1.4179999999999999</v>
      </c>
      <c r="CH9" s="150">
        <v>1.3440000000000001</v>
      </c>
      <c r="CI9" s="150">
        <v>1.274</v>
      </c>
      <c r="CJ9" s="150">
        <v>1.2010000000000001</v>
      </c>
      <c r="CK9" s="151">
        <v>1.129</v>
      </c>
      <c r="CL9" s="150"/>
      <c r="CM9" s="150"/>
    </row>
    <row r="10" spans="1:91" x14ac:dyDescent="0.25">
      <c r="A10" s="126">
        <v>1</v>
      </c>
      <c r="B10" s="83" t="str">
        <f t="shared" si="0"/>
        <v>VDER - Value of Distributed Energy Resources</v>
      </c>
      <c r="C10" s="83" t="str">
        <f t="shared" si="1"/>
        <v>Solar - Tracking</v>
      </c>
      <c r="D10" s="83" t="s">
        <v>228</v>
      </c>
      <c r="E10" s="83" t="str">
        <f>A10&amp;" - "&amp;D10</f>
        <v>1 - I</v>
      </c>
      <c r="F10" s="129">
        <v>0.21623483639254928</v>
      </c>
      <c r="H10" s="103" t="s">
        <v>210</v>
      </c>
      <c r="I10" s="103" t="s">
        <v>205</v>
      </c>
      <c r="J10" s="155">
        <v>52.6</v>
      </c>
      <c r="K10" s="156">
        <v>0.33</v>
      </c>
      <c r="L10" s="156">
        <v>1.25</v>
      </c>
      <c r="M10" s="157">
        <f>J10*K10*L10+J10*(1-K10)*100%</f>
        <v>56.939499999999995</v>
      </c>
      <c r="N10" s="112"/>
      <c r="Q10" s="122" t="s">
        <v>230</v>
      </c>
      <c r="R10" s="123">
        <v>1.0669</v>
      </c>
      <c r="S10" s="124">
        <v>0.33800000000000002</v>
      </c>
      <c r="T10" s="63">
        <v>0.05</v>
      </c>
      <c r="Z10" s="122" t="s">
        <v>231</v>
      </c>
      <c r="AA10" s="125" t="s">
        <v>228</v>
      </c>
      <c r="AC10" s="126">
        <v>2008</v>
      </c>
      <c r="AD10" s="125">
        <f t="shared" si="2"/>
        <v>366</v>
      </c>
      <c r="AH10" s="146">
        <v>2029</v>
      </c>
      <c r="AI10" s="149">
        <v>2.3159999999999998</v>
      </c>
      <c r="AJ10" s="150">
        <v>2.4950000000000001</v>
      </c>
      <c r="AK10" s="150">
        <v>2.6739999999999999</v>
      </c>
      <c r="AL10" s="150">
        <v>2.8530000000000002</v>
      </c>
      <c r="AM10" s="150">
        <v>3.032</v>
      </c>
      <c r="AN10" s="150">
        <v>2.746</v>
      </c>
      <c r="AO10" s="150">
        <v>2.4590000000000001</v>
      </c>
      <c r="AP10" s="150">
        <v>2.173</v>
      </c>
      <c r="AQ10" s="150">
        <v>1.887</v>
      </c>
      <c r="AR10" s="150">
        <v>1.6</v>
      </c>
      <c r="AS10" s="150">
        <v>1.3140000000000001</v>
      </c>
      <c r="AT10" s="150">
        <v>1.3440000000000001</v>
      </c>
      <c r="AU10" s="150">
        <v>1.32</v>
      </c>
      <c r="AV10" s="150">
        <v>1.296</v>
      </c>
      <c r="AW10" s="150">
        <v>1.272</v>
      </c>
      <c r="AX10" s="150">
        <v>1.248</v>
      </c>
      <c r="AY10" s="150">
        <v>1.224</v>
      </c>
      <c r="AZ10" s="150">
        <v>1.2</v>
      </c>
      <c r="BA10" s="150">
        <v>1.1759999999999999</v>
      </c>
      <c r="BB10" s="150">
        <v>1.153</v>
      </c>
      <c r="BC10" s="150">
        <v>1.129</v>
      </c>
      <c r="BD10" s="150">
        <v>1.105</v>
      </c>
      <c r="BE10" s="150">
        <v>1.0629999999999999</v>
      </c>
      <c r="BF10" s="150">
        <v>1.0569999999999999</v>
      </c>
      <c r="BG10" s="150">
        <v>1.052</v>
      </c>
      <c r="BH10" s="150">
        <v>1.046</v>
      </c>
      <c r="BI10" s="150">
        <v>1.04</v>
      </c>
      <c r="BJ10" s="150">
        <v>1.0349999999999999</v>
      </c>
      <c r="BK10" s="150">
        <v>1.03</v>
      </c>
      <c r="BL10" s="150">
        <v>1.024</v>
      </c>
      <c r="BM10" s="150">
        <v>1.018</v>
      </c>
      <c r="BN10" s="150">
        <v>1.0129999999999999</v>
      </c>
      <c r="BO10" s="150">
        <v>1.0069999999999999</v>
      </c>
      <c r="BP10" s="150">
        <v>1.4450000000000001</v>
      </c>
      <c r="BQ10" s="150">
        <v>1.387</v>
      </c>
      <c r="BR10" s="150">
        <v>1.331</v>
      </c>
      <c r="BS10" s="150">
        <v>1.2729999999999999</v>
      </c>
      <c r="BT10" s="150">
        <v>1.2150000000000001</v>
      </c>
      <c r="BU10" s="150">
        <v>1.159</v>
      </c>
      <c r="BV10" s="150">
        <v>1.103</v>
      </c>
      <c r="BW10" s="150">
        <v>1.0449999999999999</v>
      </c>
      <c r="BX10" s="150">
        <v>1</v>
      </c>
      <c r="BY10" s="150">
        <v>1</v>
      </c>
      <c r="BZ10" s="150">
        <v>1</v>
      </c>
      <c r="CA10" s="150">
        <v>1.8779999999999999</v>
      </c>
      <c r="CB10" s="150">
        <v>1.8029999999999999</v>
      </c>
      <c r="CC10" s="150">
        <v>1.7290000000000001</v>
      </c>
      <c r="CD10" s="150">
        <v>1.653</v>
      </c>
      <c r="CE10" s="150">
        <v>1.5760000000000001</v>
      </c>
      <c r="CF10" s="150">
        <v>1.5029999999999999</v>
      </c>
      <c r="CG10" s="150">
        <v>1.43</v>
      </c>
      <c r="CH10" s="150">
        <v>1.3540000000000001</v>
      </c>
      <c r="CI10" s="150">
        <v>1.28</v>
      </c>
      <c r="CJ10" s="150">
        <v>1.204</v>
      </c>
      <c r="CK10" s="151">
        <v>1.129</v>
      </c>
      <c r="CL10" s="150"/>
      <c r="CM10" s="150"/>
    </row>
    <row r="11" spans="1:91" x14ac:dyDescent="0.25">
      <c r="A11" s="126">
        <v>1</v>
      </c>
      <c r="B11" s="83" t="str">
        <f t="shared" si="0"/>
        <v>VDER - Value of Distributed Energy Resources</v>
      </c>
      <c r="C11" s="83" t="str">
        <f t="shared" si="1"/>
        <v>Solar - Tracking</v>
      </c>
      <c r="D11" s="83" t="s">
        <v>232</v>
      </c>
      <c r="E11" s="83" t="str">
        <f t="shared" si="3"/>
        <v>1 - J</v>
      </c>
      <c r="F11" s="129">
        <v>0.21623483639254928</v>
      </c>
      <c r="J11" s="158"/>
      <c r="N11" s="112"/>
      <c r="Q11" s="159" t="s">
        <v>237</v>
      </c>
      <c r="R11" s="160">
        <v>1.0692899914456799</v>
      </c>
      <c r="S11" s="161">
        <v>0.109</v>
      </c>
      <c r="T11" s="64">
        <v>3.8289999999999998E-2</v>
      </c>
      <c r="Z11" s="122" t="s">
        <v>238</v>
      </c>
      <c r="AA11" s="125" t="s">
        <v>232</v>
      </c>
      <c r="AC11" s="126">
        <v>2009</v>
      </c>
      <c r="AD11" s="125">
        <f t="shared" si="2"/>
        <v>365</v>
      </c>
      <c r="AH11" s="146">
        <v>2030</v>
      </c>
      <c r="AI11" s="149">
        <v>2.4649999999999999</v>
      </c>
      <c r="AJ11" s="150">
        <v>2.6640000000000001</v>
      </c>
      <c r="AK11" s="150">
        <v>2.863</v>
      </c>
      <c r="AL11" s="150">
        <v>3.0619999999999998</v>
      </c>
      <c r="AM11" s="150">
        <v>3.26</v>
      </c>
      <c r="AN11" s="150">
        <v>2.9420000000000002</v>
      </c>
      <c r="AO11" s="150">
        <v>2.6240000000000001</v>
      </c>
      <c r="AP11" s="150">
        <v>2.306</v>
      </c>
      <c r="AQ11" s="150">
        <v>1.9870000000000001</v>
      </c>
      <c r="AR11" s="150">
        <v>1.669</v>
      </c>
      <c r="AS11" s="150">
        <v>1.351</v>
      </c>
      <c r="AT11" s="150">
        <v>1.3859999999999999</v>
      </c>
      <c r="AU11" s="150">
        <v>1.359</v>
      </c>
      <c r="AV11" s="150">
        <v>1.333</v>
      </c>
      <c r="AW11" s="150">
        <v>1.306</v>
      </c>
      <c r="AX11" s="150">
        <v>1.28</v>
      </c>
      <c r="AY11" s="150">
        <v>1.2529999999999999</v>
      </c>
      <c r="AZ11" s="150">
        <v>1.2270000000000001</v>
      </c>
      <c r="BA11" s="150">
        <v>1.2</v>
      </c>
      <c r="BB11" s="150">
        <v>1.1739999999999999</v>
      </c>
      <c r="BC11" s="150">
        <v>1.147</v>
      </c>
      <c r="BD11" s="150">
        <v>1.121</v>
      </c>
      <c r="BE11" s="150">
        <v>1.079</v>
      </c>
      <c r="BF11" s="150">
        <v>1.0720000000000001</v>
      </c>
      <c r="BG11" s="150">
        <v>1.0649999999999999</v>
      </c>
      <c r="BH11" s="150">
        <v>1.0580000000000001</v>
      </c>
      <c r="BI11" s="150">
        <v>1.0509999999999999</v>
      </c>
      <c r="BJ11" s="150">
        <v>1.044</v>
      </c>
      <c r="BK11" s="150">
        <v>1.0369999999999999</v>
      </c>
      <c r="BL11" s="150">
        <v>1.03</v>
      </c>
      <c r="BM11" s="150">
        <v>1.0229999999999999</v>
      </c>
      <c r="BN11" s="150">
        <v>1.016</v>
      </c>
      <c r="BO11" s="150">
        <v>1.0089999999999999</v>
      </c>
      <c r="BP11" s="150">
        <v>1.415</v>
      </c>
      <c r="BQ11" s="150">
        <v>1.357</v>
      </c>
      <c r="BR11" s="150">
        <v>1.3</v>
      </c>
      <c r="BS11" s="150">
        <v>1.2410000000000001</v>
      </c>
      <c r="BT11" s="150">
        <v>1.1819999999999999</v>
      </c>
      <c r="BU11" s="150">
        <v>1.125</v>
      </c>
      <c r="BV11" s="150">
        <v>1.0680000000000001</v>
      </c>
      <c r="BW11" s="150">
        <v>1.0089999999999999</v>
      </c>
      <c r="BX11" s="150">
        <v>1</v>
      </c>
      <c r="BY11" s="150">
        <v>1</v>
      </c>
      <c r="BZ11" s="150">
        <v>1</v>
      </c>
      <c r="CA11" s="150">
        <v>1.89</v>
      </c>
      <c r="CB11" s="150">
        <v>1.8129999999999999</v>
      </c>
      <c r="CC11" s="150">
        <v>1.7370000000000001</v>
      </c>
      <c r="CD11" s="150">
        <v>1.657</v>
      </c>
      <c r="CE11" s="150">
        <v>1.5780000000000001</v>
      </c>
      <c r="CF11" s="150">
        <v>1.502</v>
      </c>
      <c r="CG11" s="150">
        <v>1.4259999999999999</v>
      </c>
      <c r="CH11" s="150">
        <v>1.347</v>
      </c>
      <c r="CI11" s="150">
        <v>1.2709999999999999</v>
      </c>
      <c r="CJ11" s="150">
        <v>1.1919999999999999</v>
      </c>
      <c r="CK11" s="151">
        <v>1.1140000000000001</v>
      </c>
      <c r="CL11" s="150"/>
      <c r="CM11" s="150"/>
    </row>
    <row r="12" spans="1:91" x14ac:dyDescent="0.25">
      <c r="A12" s="162">
        <v>1</v>
      </c>
      <c r="B12" s="153" t="str">
        <f t="shared" si="0"/>
        <v>VDER - Value of Distributed Energy Resources</v>
      </c>
      <c r="C12" s="153" t="str">
        <f t="shared" si="1"/>
        <v>Solar - Tracking</v>
      </c>
      <c r="D12" s="153" t="s">
        <v>239</v>
      </c>
      <c r="E12" s="153" t="str">
        <f t="shared" si="3"/>
        <v>1 - K</v>
      </c>
      <c r="F12" s="163">
        <v>0.22963040057423109</v>
      </c>
      <c r="H12" s="164" t="s">
        <v>229</v>
      </c>
      <c r="Z12" s="159" t="s">
        <v>240</v>
      </c>
      <c r="AA12" s="166" t="s">
        <v>239</v>
      </c>
      <c r="AC12" s="126">
        <v>2010</v>
      </c>
      <c r="AD12" s="125">
        <f t="shared" si="2"/>
        <v>365</v>
      </c>
      <c r="AH12" s="146">
        <v>2031</v>
      </c>
      <c r="AI12" s="149">
        <v>2.484</v>
      </c>
      <c r="AJ12" s="150">
        <v>2.6850000000000001</v>
      </c>
      <c r="AK12" s="150">
        <v>2.887</v>
      </c>
      <c r="AL12" s="150">
        <v>3.0880000000000001</v>
      </c>
      <c r="AM12" s="150">
        <v>3.29</v>
      </c>
      <c r="AN12" s="150">
        <v>2.9670000000000001</v>
      </c>
      <c r="AO12" s="150">
        <v>2.645</v>
      </c>
      <c r="AP12" s="150">
        <v>2.323</v>
      </c>
      <c r="AQ12" s="150">
        <v>2.0009999999999999</v>
      </c>
      <c r="AR12" s="150">
        <v>1.679</v>
      </c>
      <c r="AS12" s="150">
        <v>1.3560000000000001</v>
      </c>
      <c r="AT12" s="150">
        <v>1.3819999999999999</v>
      </c>
      <c r="AU12" s="150">
        <v>1.3560000000000001</v>
      </c>
      <c r="AV12" s="150">
        <v>1.33</v>
      </c>
      <c r="AW12" s="150">
        <v>1.304</v>
      </c>
      <c r="AX12" s="150">
        <v>1.278</v>
      </c>
      <c r="AY12" s="150">
        <v>1.2509999999999999</v>
      </c>
      <c r="AZ12" s="150">
        <v>1.2250000000000001</v>
      </c>
      <c r="BA12" s="150">
        <v>1.1990000000000001</v>
      </c>
      <c r="BB12" s="150">
        <v>1.173</v>
      </c>
      <c r="BC12" s="150">
        <v>1.147</v>
      </c>
      <c r="BD12" s="150">
        <v>1.121</v>
      </c>
      <c r="BE12" s="150">
        <v>1.085</v>
      </c>
      <c r="BF12" s="150">
        <v>1.077</v>
      </c>
      <c r="BG12" s="150">
        <v>1.07</v>
      </c>
      <c r="BH12" s="150">
        <v>1.0620000000000001</v>
      </c>
      <c r="BI12" s="150">
        <v>1.054</v>
      </c>
      <c r="BJ12" s="150">
        <v>1.0469999999999999</v>
      </c>
      <c r="BK12" s="150">
        <v>1.0389999999999999</v>
      </c>
      <c r="BL12" s="150">
        <v>1.0309999999999999</v>
      </c>
      <c r="BM12" s="150">
        <v>1.024</v>
      </c>
      <c r="BN12" s="150">
        <v>1.016</v>
      </c>
      <c r="BO12" s="150">
        <v>1.008</v>
      </c>
      <c r="BP12" s="150">
        <v>1.486</v>
      </c>
      <c r="BQ12" s="150">
        <v>1.425</v>
      </c>
      <c r="BR12" s="150">
        <v>1.365</v>
      </c>
      <c r="BS12" s="150">
        <v>1.3009999999999999</v>
      </c>
      <c r="BT12" s="150">
        <v>1.238</v>
      </c>
      <c r="BU12" s="150">
        <v>1.179</v>
      </c>
      <c r="BV12" s="150">
        <v>1.119</v>
      </c>
      <c r="BW12" s="150">
        <v>1.056</v>
      </c>
      <c r="BX12" s="150">
        <v>1</v>
      </c>
      <c r="BY12" s="150">
        <v>1</v>
      </c>
      <c r="BZ12" s="150">
        <v>1</v>
      </c>
      <c r="CA12" s="150">
        <v>1.919</v>
      </c>
      <c r="CB12" s="150">
        <v>1.839</v>
      </c>
      <c r="CC12" s="150">
        <v>1.762</v>
      </c>
      <c r="CD12" s="150">
        <v>1.679</v>
      </c>
      <c r="CE12" s="150">
        <v>1.5960000000000001</v>
      </c>
      <c r="CF12" s="150">
        <v>1.5189999999999999</v>
      </c>
      <c r="CG12" s="150">
        <v>1.4419999999999999</v>
      </c>
      <c r="CH12" s="150">
        <v>1.36</v>
      </c>
      <c r="CI12" s="150">
        <v>1.282</v>
      </c>
      <c r="CJ12" s="150">
        <v>1.2</v>
      </c>
      <c r="CK12" s="151">
        <v>1.1200000000000001</v>
      </c>
      <c r="CL12" s="150"/>
      <c r="CM12" s="150"/>
    </row>
    <row r="13" spans="1:91" ht="15" customHeight="1" x14ac:dyDescent="0.25">
      <c r="A13" s="108">
        <v>2</v>
      </c>
      <c r="B13" s="109" t="str">
        <f t="shared" si="0"/>
        <v>VDER - Value of Distributed Energy Resources</v>
      </c>
      <c r="C13" s="109" t="str">
        <f t="shared" si="1"/>
        <v>Solar - Fixed</v>
      </c>
      <c r="D13" s="109" t="s">
        <v>206</v>
      </c>
      <c r="E13" s="109" t="str">
        <f t="shared" si="3"/>
        <v>2 - A</v>
      </c>
      <c r="F13" s="121">
        <v>0.18755870172944997</v>
      </c>
      <c r="H13" s="299" t="s">
        <v>233</v>
      </c>
      <c r="I13" s="295" t="s">
        <v>234</v>
      </c>
      <c r="J13" s="295" t="s">
        <v>235</v>
      </c>
      <c r="K13" s="297" t="s">
        <v>236</v>
      </c>
      <c r="AC13" s="126">
        <v>2011</v>
      </c>
      <c r="AD13" s="125">
        <f t="shared" si="2"/>
        <v>365</v>
      </c>
      <c r="AH13" s="146">
        <v>2032</v>
      </c>
      <c r="AI13" s="149">
        <v>2.504</v>
      </c>
      <c r="AJ13" s="150">
        <v>2.7080000000000002</v>
      </c>
      <c r="AK13" s="150">
        <v>2.9119999999999999</v>
      </c>
      <c r="AL13" s="150">
        <v>3.1160000000000001</v>
      </c>
      <c r="AM13" s="150">
        <v>3.32</v>
      </c>
      <c r="AN13" s="150">
        <v>2.9940000000000002</v>
      </c>
      <c r="AO13" s="150">
        <v>2.6669999999999998</v>
      </c>
      <c r="AP13" s="150">
        <v>2.34</v>
      </c>
      <c r="AQ13" s="150">
        <v>2.0139999999999998</v>
      </c>
      <c r="AR13" s="150">
        <v>1.6870000000000001</v>
      </c>
      <c r="AS13" s="150">
        <v>1.361</v>
      </c>
      <c r="AT13" s="150">
        <v>1.3759999999999999</v>
      </c>
      <c r="AU13" s="150">
        <v>1.35</v>
      </c>
      <c r="AV13" s="150">
        <v>1.3240000000000001</v>
      </c>
      <c r="AW13" s="150">
        <v>1.298</v>
      </c>
      <c r="AX13" s="150">
        <v>1.2729999999999999</v>
      </c>
      <c r="AY13" s="150">
        <v>1.2470000000000001</v>
      </c>
      <c r="AZ13" s="150">
        <v>1.2210000000000001</v>
      </c>
      <c r="BA13" s="150">
        <v>1.1950000000000001</v>
      </c>
      <c r="BB13" s="150">
        <v>1.169</v>
      </c>
      <c r="BC13" s="150">
        <v>1.143</v>
      </c>
      <c r="BD13" s="150">
        <v>1.117</v>
      </c>
      <c r="BE13" s="150">
        <v>1.0860000000000001</v>
      </c>
      <c r="BF13" s="150">
        <v>1.079</v>
      </c>
      <c r="BG13" s="150">
        <v>1.071</v>
      </c>
      <c r="BH13" s="150">
        <v>1.0629999999999999</v>
      </c>
      <c r="BI13" s="150">
        <v>1.0549999999999999</v>
      </c>
      <c r="BJ13" s="150">
        <v>1.0469999999999999</v>
      </c>
      <c r="BK13" s="150">
        <v>1.04</v>
      </c>
      <c r="BL13" s="150">
        <v>1.032</v>
      </c>
      <c r="BM13" s="150">
        <v>1.024</v>
      </c>
      <c r="BN13" s="150">
        <v>1.016</v>
      </c>
      <c r="BO13" s="150">
        <v>1.008</v>
      </c>
      <c r="BP13" s="150">
        <v>1.49</v>
      </c>
      <c r="BQ13" s="150">
        <v>1.4259999999999999</v>
      </c>
      <c r="BR13" s="150">
        <v>1.365</v>
      </c>
      <c r="BS13" s="150">
        <v>1.2989999999999999</v>
      </c>
      <c r="BT13" s="150">
        <v>1.234</v>
      </c>
      <c r="BU13" s="150">
        <v>1.173</v>
      </c>
      <c r="BV13" s="150">
        <v>1.111</v>
      </c>
      <c r="BW13" s="150">
        <v>1.046</v>
      </c>
      <c r="BX13" s="150">
        <v>1</v>
      </c>
      <c r="BY13" s="150">
        <v>1</v>
      </c>
      <c r="BZ13" s="150">
        <v>1</v>
      </c>
      <c r="CA13" s="150">
        <v>1.9370000000000001</v>
      </c>
      <c r="CB13" s="150">
        <v>1.855</v>
      </c>
      <c r="CC13" s="150">
        <v>1.7749999999999999</v>
      </c>
      <c r="CD13" s="150">
        <v>1.6890000000000001</v>
      </c>
      <c r="CE13" s="150">
        <v>1.603</v>
      </c>
      <c r="CF13" s="150">
        <v>1.524</v>
      </c>
      <c r="CG13" s="150">
        <v>1.4450000000000001</v>
      </c>
      <c r="CH13" s="150">
        <v>1.36</v>
      </c>
      <c r="CI13" s="150">
        <v>1.2789999999999999</v>
      </c>
      <c r="CJ13" s="150">
        <v>1.1950000000000001</v>
      </c>
      <c r="CK13" s="151">
        <v>1.113</v>
      </c>
      <c r="CL13" s="150"/>
      <c r="CM13" s="150"/>
    </row>
    <row r="14" spans="1:91" x14ac:dyDescent="0.25">
      <c r="A14" s="126">
        <v>2</v>
      </c>
      <c r="B14" s="83" t="str">
        <f t="shared" si="0"/>
        <v>VDER - Value of Distributed Energy Resources</v>
      </c>
      <c r="C14" s="83" t="str">
        <f t="shared" si="1"/>
        <v>Solar - Fixed</v>
      </c>
      <c r="D14" s="83" t="s">
        <v>208</v>
      </c>
      <c r="E14" s="83" t="str">
        <f>A14&amp;" - "&amp;D14</f>
        <v>2 - B</v>
      </c>
      <c r="F14" s="129">
        <v>0.17372944800010132</v>
      </c>
      <c r="H14" s="299"/>
      <c r="I14" s="296"/>
      <c r="J14" s="296"/>
      <c r="K14" s="298"/>
      <c r="AC14" s="126">
        <v>2012</v>
      </c>
      <c r="AD14" s="125">
        <f t="shared" si="2"/>
        <v>366</v>
      </c>
      <c r="AH14" s="146">
        <v>2033</v>
      </c>
      <c r="AI14" s="149">
        <v>2.4830000000000001</v>
      </c>
      <c r="AJ14" s="150">
        <v>2.6829999999999998</v>
      </c>
      <c r="AK14" s="150">
        <v>2.8839999999999999</v>
      </c>
      <c r="AL14" s="150">
        <v>3.085</v>
      </c>
      <c r="AM14" s="150">
        <v>3.2850000000000001</v>
      </c>
      <c r="AN14" s="150">
        <v>2.964</v>
      </c>
      <c r="AO14" s="150">
        <v>2.6429999999999998</v>
      </c>
      <c r="AP14" s="150">
        <v>2.3220000000000001</v>
      </c>
      <c r="AQ14" s="150">
        <v>2.0009999999999999</v>
      </c>
      <c r="AR14" s="150">
        <v>1.68</v>
      </c>
      <c r="AS14" s="150">
        <v>1.359</v>
      </c>
      <c r="AT14" s="150">
        <v>1.393</v>
      </c>
      <c r="AU14" s="150">
        <v>1.3660000000000001</v>
      </c>
      <c r="AV14" s="150">
        <v>1.34</v>
      </c>
      <c r="AW14" s="150">
        <v>1.3129999999999999</v>
      </c>
      <c r="AX14" s="150">
        <v>1.286</v>
      </c>
      <c r="AY14" s="150">
        <v>1.2589999999999999</v>
      </c>
      <c r="AZ14" s="150">
        <v>1.232</v>
      </c>
      <c r="BA14" s="150">
        <v>1.2050000000000001</v>
      </c>
      <c r="BB14" s="150">
        <v>1.1779999999999999</v>
      </c>
      <c r="BC14" s="150">
        <v>1.151</v>
      </c>
      <c r="BD14" s="150">
        <v>1.1240000000000001</v>
      </c>
      <c r="BE14" s="150">
        <v>1.087</v>
      </c>
      <c r="BF14" s="150">
        <v>1.079</v>
      </c>
      <c r="BG14" s="150">
        <v>1.071</v>
      </c>
      <c r="BH14" s="150">
        <v>1.0629999999999999</v>
      </c>
      <c r="BI14" s="150">
        <v>1.054</v>
      </c>
      <c r="BJ14" s="150">
        <v>1.0469999999999999</v>
      </c>
      <c r="BK14" s="150">
        <v>1.0389999999999999</v>
      </c>
      <c r="BL14" s="150">
        <v>1.0309999999999999</v>
      </c>
      <c r="BM14" s="150">
        <v>1.0229999999999999</v>
      </c>
      <c r="BN14" s="150">
        <v>1.0149999999999999</v>
      </c>
      <c r="BO14" s="150">
        <v>1.0069999999999999</v>
      </c>
      <c r="BP14" s="150">
        <v>1.591</v>
      </c>
      <c r="BQ14" s="150">
        <v>1.5209999999999999</v>
      </c>
      <c r="BR14" s="150">
        <v>1.454</v>
      </c>
      <c r="BS14" s="150">
        <v>1.3819999999999999</v>
      </c>
      <c r="BT14" s="150">
        <v>1.31</v>
      </c>
      <c r="BU14" s="150">
        <v>1.2430000000000001</v>
      </c>
      <c r="BV14" s="150">
        <v>1.1759999999999999</v>
      </c>
      <c r="BW14" s="150">
        <v>1.105</v>
      </c>
      <c r="BX14" s="150">
        <v>1.0369999999999999</v>
      </c>
      <c r="BY14" s="150">
        <v>1</v>
      </c>
      <c r="BZ14" s="150">
        <v>1</v>
      </c>
      <c r="CA14" s="150">
        <v>1.984</v>
      </c>
      <c r="CB14" s="150">
        <v>1.8979999999999999</v>
      </c>
      <c r="CC14" s="150">
        <v>1.8140000000000001</v>
      </c>
      <c r="CD14" s="150">
        <v>1.724</v>
      </c>
      <c r="CE14" s="150">
        <v>1.633</v>
      </c>
      <c r="CF14" s="150">
        <v>1.55</v>
      </c>
      <c r="CG14" s="150">
        <v>1.4670000000000001</v>
      </c>
      <c r="CH14" s="150">
        <v>1.3779999999999999</v>
      </c>
      <c r="CI14" s="150">
        <v>1.2929999999999999</v>
      </c>
      <c r="CJ14" s="150">
        <v>1.2050000000000001</v>
      </c>
      <c r="CK14" s="151">
        <v>1.1180000000000001</v>
      </c>
      <c r="CL14" s="150"/>
      <c r="CM14" s="150"/>
    </row>
    <row r="15" spans="1:91" x14ac:dyDescent="0.25">
      <c r="A15" s="126">
        <v>2</v>
      </c>
      <c r="B15" s="83" t="str">
        <f t="shared" si="0"/>
        <v>VDER - Value of Distributed Energy Resources</v>
      </c>
      <c r="C15" s="83" t="str">
        <f t="shared" si="1"/>
        <v>Solar - Fixed</v>
      </c>
      <c r="D15" s="83" t="s">
        <v>212</v>
      </c>
      <c r="E15" s="83" t="str">
        <f t="shared" si="3"/>
        <v>2 - C</v>
      </c>
      <c r="F15" s="129">
        <v>0.18054623122969884</v>
      </c>
      <c r="H15" s="102" t="s">
        <v>285</v>
      </c>
      <c r="I15" s="167">
        <v>25</v>
      </c>
      <c r="J15" s="168">
        <v>10</v>
      </c>
      <c r="K15" s="169">
        <v>500</v>
      </c>
      <c r="AC15" s="126">
        <v>2013</v>
      </c>
      <c r="AD15" s="125">
        <f t="shared" si="2"/>
        <v>365</v>
      </c>
      <c r="AH15" s="146">
        <v>2034</v>
      </c>
      <c r="AI15" s="149">
        <v>2.9849999999999999</v>
      </c>
      <c r="AJ15" s="150">
        <v>3.2410000000000001</v>
      </c>
      <c r="AK15" s="150">
        <v>3.4969999999999999</v>
      </c>
      <c r="AL15" s="150">
        <v>3.754</v>
      </c>
      <c r="AM15" s="150">
        <v>4.01</v>
      </c>
      <c r="AN15" s="150">
        <v>3.6</v>
      </c>
      <c r="AO15" s="150">
        <v>3.19</v>
      </c>
      <c r="AP15" s="150">
        <v>2.7789999999999999</v>
      </c>
      <c r="AQ15" s="150">
        <v>2.3690000000000002</v>
      </c>
      <c r="AR15" s="150">
        <v>1.9590000000000001</v>
      </c>
      <c r="AS15" s="150">
        <v>1.548</v>
      </c>
      <c r="AT15" s="150">
        <v>1.413</v>
      </c>
      <c r="AU15" s="150">
        <v>1.385</v>
      </c>
      <c r="AV15" s="150">
        <v>1.357</v>
      </c>
      <c r="AW15" s="150">
        <v>1.329</v>
      </c>
      <c r="AX15" s="150">
        <v>1.3009999999999999</v>
      </c>
      <c r="AY15" s="150">
        <v>1.2729999999999999</v>
      </c>
      <c r="AZ15" s="150">
        <v>1.244</v>
      </c>
      <c r="BA15" s="150">
        <v>1.216</v>
      </c>
      <c r="BB15" s="150">
        <v>1.1879999999999999</v>
      </c>
      <c r="BC15" s="150">
        <v>1.1599999999999999</v>
      </c>
      <c r="BD15" s="150">
        <v>1.1319999999999999</v>
      </c>
      <c r="BE15" s="150">
        <v>1.087</v>
      </c>
      <c r="BF15" s="150">
        <v>1.079</v>
      </c>
      <c r="BG15" s="150">
        <v>1.071</v>
      </c>
      <c r="BH15" s="150">
        <v>1.0620000000000001</v>
      </c>
      <c r="BI15" s="150">
        <v>1.0529999999999999</v>
      </c>
      <c r="BJ15" s="150">
        <v>1.0449999999999999</v>
      </c>
      <c r="BK15" s="150">
        <v>1.038</v>
      </c>
      <c r="BL15" s="150">
        <v>1.0289999999999999</v>
      </c>
      <c r="BM15" s="150">
        <v>1.0209999999999999</v>
      </c>
      <c r="BN15" s="150">
        <v>1.012</v>
      </c>
      <c r="BO15" s="150">
        <v>1.004</v>
      </c>
      <c r="BP15" s="150">
        <v>1.573</v>
      </c>
      <c r="BQ15" s="150">
        <v>1.5029999999999999</v>
      </c>
      <c r="BR15" s="150">
        <v>1.4370000000000001</v>
      </c>
      <c r="BS15" s="150">
        <v>1.363</v>
      </c>
      <c r="BT15" s="150">
        <v>1.29</v>
      </c>
      <c r="BU15" s="150">
        <v>1.224</v>
      </c>
      <c r="BV15" s="150">
        <v>1.159</v>
      </c>
      <c r="BW15" s="150">
        <v>1.0860000000000001</v>
      </c>
      <c r="BX15" s="150">
        <v>1.0189999999999999</v>
      </c>
      <c r="BY15" s="150">
        <v>1</v>
      </c>
      <c r="BZ15" s="150">
        <v>1</v>
      </c>
      <c r="CA15" s="150">
        <v>1.994</v>
      </c>
      <c r="CB15" s="150">
        <v>1.9059999999999999</v>
      </c>
      <c r="CC15" s="150">
        <v>1.8220000000000001</v>
      </c>
      <c r="CD15" s="150">
        <v>1.73</v>
      </c>
      <c r="CE15" s="150">
        <v>1.637</v>
      </c>
      <c r="CF15" s="150">
        <v>1.554</v>
      </c>
      <c r="CG15" s="150">
        <v>1.47</v>
      </c>
      <c r="CH15" s="150">
        <v>1.379</v>
      </c>
      <c r="CI15" s="150">
        <v>1.2929999999999999</v>
      </c>
      <c r="CJ15" s="150">
        <v>1.2030000000000001</v>
      </c>
      <c r="CK15" s="151">
        <v>1.115</v>
      </c>
      <c r="CL15" s="150"/>
      <c r="CM15" s="150"/>
    </row>
    <row r="16" spans="1:91" x14ac:dyDescent="0.25">
      <c r="A16" s="126">
        <v>2</v>
      </c>
      <c r="B16" s="83" t="str">
        <f t="shared" si="0"/>
        <v>VDER - Value of Distributed Energy Resources</v>
      </c>
      <c r="C16" s="83" t="str">
        <f t="shared" si="1"/>
        <v>Solar - Fixed</v>
      </c>
      <c r="D16" s="83" t="s">
        <v>215</v>
      </c>
      <c r="E16" s="83" t="str">
        <f t="shared" si="3"/>
        <v>2 - D</v>
      </c>
      <c r="F16" s="129">
        <v>0.1839778933771849</v>
      </c>
      <c r="H16" s="102" t="s">
        <v>287</v>
      </c>
      <c r="I16" s="170">
        <v>25</v>
      </c>
      <c r="J16" s="171">
        <v>10</v>
      </c>
      <c r="K16" s="172">
        <v>500</v>
      </c>
      <c r="AC16" s="126">
        <v>2014</v>
      </c>
      <c r="AD16" s="125">
        <f t="shared" si="2"/>
        <v>365</v>
      </c>
      <c r="AH16" s="146">
        <v>2035</v>
      </c>
      <c r="AI16" s="149">
        <v>2.9870000000000001</v>
      </c>
      <c r="AJ16" s="150">
        <v>3.2440000000000002</v>
      </c>
      <c r="AK16" s="150">
        <v>3.5009999999999999</v>
      </c>
      <c r="AL16" s="150">
        <v>3.758</v>
      </c>
      <c r="AM16" s="150">
        <v>4.0149999999999997</v>
      </c>
      <c r="AN16" s="150">
        <v>3.6030000000000002</v>
      </c>
      <c r="AO16" s="150">
        <v>3.1920000000000002</v>
      </c>
      <c r="AP16" s="150">
        <v>2.7810000000000001</v>
      </c>
      <c r="AQ16" s="150">
        <v>2.37</v>
      </c>
      <c r="AR16" s="150">
        <v>1.9590000000000001</v>
      </c>
      <c r="AS16" s="150">
        <v>1.548</v>
      </c>
      <c r="AT16" s="150">
        <v>1.4470000000000001</v>
      </c>
      <c r="AU16" s="150">
        <v>1.4159999999999999</v>
      </c>
      <c r="AV16" s="150">
        <v>1.3859999999999999</v>
      </c>
      <c r="AW16" s="150">
        <v>1.355</v>
      </c>
      <c r="AX16" s="150">
        <v>1.325</v>
      </c>
      <c r="AY16" s="150">
        <v>1.294</v>
      </c>
      <c r="AZ16" s="150">
        <v>1.264</v>
      </c>
      <c r="BA16" s="150">
        <v>1.2330000000000001</v>
      </c>
      <c r="BB16" s="150">
        <v>1.2030000000000001</v>
      </c>
      <c r="BC16" s="150">
        <v>1.1719999999999999</v>
      </c>
      <c r="BD16" s="150">
        <v>1.1419999999999999</v>
      </c>
      <c r="BE16" s="150">
        <v>1.0920000000000001</v>
      </c>
      <c r="BF16" s="150">
        <v>1.083</v>
      </c>
      <c r="BG16" s="150">
        <v>1.075</v>
      </c>
      <c r="BH16" s="150">
        <v>1.0660000000000001</v>
      </c>
      <c r="BI16" s="150">
        <v>1.0569999999999999</v>
      </c>
      <c r="BJ16" s="150">
        <v>1.0489999999999999</v>
      </c>
      <c r="BK16" s="150">
        <v>1.04</v>
      </c>
      <c r="BL16" s="150">
        <v>1.032</v>
      </c>
      <c r="BM16" s="150">
        <v>1.0229999999999999</v>
      </c>
      <c r="BN16" s="150">
        <v>1.014</v>
      </c>
      <c r="BO16" s="150">
        <v>1.006</v>
      </c>
      <c r="BP16" s="150">
        <v>1.5249999999999999</v>
      </c>
      <c r="BQ16" s="150">
        <v>1.4570000000000001</v>
      </c>
      <c r="BR16" s="150">
        <v>1.3919999999999999</v>
      </c>
      <c r="BS16" s="150">
        <v>1.321</v>
      </c>
      <c r="BT16" s="150">
        <v>1.25</v>
      </c>
      <c r="BU16" s="150">
        <v>1.1850000000000001</v>
      </c>
      <c r="BV16" s="150">
        <v>1.1200000000000001</v>
      </c>
      <c r="BW16" s="150">
        <v>1.05</v>
      </c>
      <c r="BX16" s="150">
        <v>1</v>
      </c>
      <c r="BY16" s="150">
        <v>1</v>
      </c>
      <c r="BZ16" s="150">
        <v>1</v>
      </c>
      <c r="CA16" s="150">
        <v>1.9990000000000001</v>
      </c>
      <c r="CB16" s="150">
        <v>1.91</v>
      </c>
      <c r="CC16" s="150">
        <v>1.825</v>
      </c>
      <c r="CD16" s="150">
        <v>1.732</v>
      </c>
      <c r="CE16" s="150">
        <v>1.6379999999999999</v>
      </c>
      <c r="CF16" s="150">
        <v>1.554</v>
      </c>
      <c r="CG16" s="150">
        <v>1.47</v>
      </c>
      <c r="CH16" s="150">
        <v>1.3779999999999999</v>
      </c>
      <c r="CI16" s="150">
        <v>1.2909999999999999</v>
      </c>
      <c r="CJ16" s="150">
        <v>1.2</v>
      </c>
      <c r="CK16" s="151">
        <v>1.111</v>
      </c>
      <c r="CL16" s="150"/>
      <c r="CM16" s="150"/>
    </row>
    <row r="17" spans="1:91" x14ac:dyDescent="0.25">
      <c r="A17" s="126">
        <v>2</v>
      </c>
      <c r="B17" s="83" t="str">
        <f t="shared" si="0"/>
        <v>VDER - Value of Distributed Energy Resources</v>
      </c>
      <c r="C17" s="83" t="str">
        <f t="shared" si="1"/>
        <v>Solar - Fixed</v>
      </c>
      <c r="D17" s="83" t="s">
        <v>218</v>
      </c>
      <c r="E17" s="83" t="str">
        <f t="shared" si="3"/>
        <v>2 - E</v>
      </c>
      <c r="F17" s="129">
        <v>0.18054623122969884</v>
      </c>
      <c r="H17" s="103" t="s">
        <v>219</v>
      </c>
      <c r="I17" s="173">
        <v>25</v>
      </c>
      <c r="J17" s="174">
        <v>10</v>
      </c>
      <c r="K17" s="175">
        <v>1000</v>
      </c>
      <c r="AC17" s="126">
        <v>2015</v>
      </c>
      <c r="AD17" s="125">
        <f t="shared" si="2"/>
        <v>365</v>
      </c>
      <c r="AH17" s="146">
        <v>2036</v>
      </c>
      <c r="AI17" s="149">
        <v>3.0339999999999998</v>
      </c>
      <c r="AJ17" s="150">
        <v>3.2970000000000002</v>
      </c>
      <c r="AK17" s="150">
        <v>3.5609999999999999</v>
      </c>
      <c r="AL17" s="150">
        <v>3.8239999999999998</v>
      </c>
      <c r="AM17" s="150">
        <v>4.0869999999999997</v>
      </c>
      <c r="AN17" s="150">
        <v>3.6659999999999999</v>
      </c>
      <c r="AO17" s="150">
        <v>3.2450000000000001</v>
      </c>
      <c r="AP17" s="150">
        <v>2.8239999999999998</v>
      </c>
      <c r="AQ17" s="150">
        <v>2.4020000000000001</v>
      </c>
      <c r="AR17" s="150">
        <v>1.9810000000000001</v>
      </c>
      <c r="AS17" s="150">
        <v>1.56</v>
      </c>
      <c r="AT17" s="150">
        <v>1.4590000000000001</v>
      </c>
      <c r="AU17" s="150">
        <v>1.4279999999999999</v>
      </c>
      <c r="AV17" s="150">
        <v>1.397</v>
      </c>
      <c r="AW17" s="150">
        <v>1.365</v>
      </c>
      <c r="AX17" s="150">
        <v>1.3340000000000001</v>
      </c>
      <c r="AY17" s="150">
        <v>1.3029999999999999</v>
      </c>
      <c r="AZ17" s="150">
        <v>1.2709999999999999</v>
      </c>
      <c r="BA17" s="150">
        <v>1.24</v>
      </c>
      <c r="BB17" s="150">
        <v>1.2090000000000001</v>
      </c>
      <c r="BC17" s="150">
        <v>1.177</v>
      </c>
      <c r="BD17" s="150">
        <v>1.1459999999999999</v>
      </c>
      <c r="BE17" s="150">
        <v>1.1020000000000001</v>
      </c>
      <c r="BF17" s="150">
        <v>1.093</v>
      </c>
      <c r="BG17" s="150">
        <v>1.0840000000000001</v>
      </c>
      <c r="BH17" s="150">
        <v>1.0740000000000001</v>
      </c>
      <c r="BI17" s="150">
        <v>1.0640000000000001</v>
      </c>
      <c r="BJ17" s="150">
        <v>1.0549999999999999</v>
      </c>
      <c r="BK17" s="150">
        <v>1.046</v>
      </c>
      <c r="BL17" s="150">
        <v>1.036</v>
      </c>
      <c r="BM17" s="150">
        <v>1.0269999999999999</v>
      </c>
      <c r="BN17" s="150">
        <v>1.0169999999999999</v>
      </c>
      <c r="BO17" s="150">
        <v>1.008</v>
      </c>
      <c r="BP17" s="150">
        <v>1.548</v>
      </c>
      <c r="BQ17" s="150">
        <v>1.4790000000000001</v>
      </c>
      <c r="BR17" s="150">
        <v>1.4119999999999999</v>
      </c>
      <c r="BS17" s="150">
        <v>1.341</v>
      </c>
      <c r="BT17" s="150">
        <v>1.2709999999999999</v>
      </c>
      <c r="BU17" s="150">
        <v>1.204</v>
      </c>
      <c r="BV17" s="150">
        <v>1.1359999999999999</v>
      </c>
      <c r="BW17" s="150">
        <v>1.0660000000000001</v>
      </c>
      <c r="BX17" s="150">
        <v>1</v>
      </c>
      <c r="BY17" s="150">
        <v>1</v>
      </c>
      <c r="BZ17" s="150">
        <v>1</v>
      </c>
      <c r="CA17" s="150">
        <v>2.0099999999999998</v>
      </c>
      <c r="CB17" s="150">
        <v>1.921</v>
      </c>
      <c r="CC17" s="150">
        <v>1.8340000000000001</v>
      </c>
      <c r="CD17" s="150">
        <v>1.7410000000000001</v>
      </c>
      <c r="CE17" s="150">
        <v>1.649</v>
      </c>
      <c r="CF17" s="150">
        <v>1.5629999999999999</v>
      </c>
      <c r="CG17" s="150">
        <v>1.4770000000000001</v>
      </c>
      <c r="CH17" s="150">
        <v>1.385</v>
      </c>
      <c r="CI17" s="150">
        <v>1.2969999999999999</v>
      </c>
      <c r="CJ17" s="150">
        <v>1.206</v>
      </c>
      <c r="CK17" s="151">
        <v>1.117</v>
      </c>
      <c r="CL17" s="150"/>
      <c r="CM17" s="150"/>
    </row>
    <row r="18" spans="1:91" x14ac:dyDescent="0.25">
      <c r="A18" s="126">
        <v>2</v>
      </c>
      <c r="B18" s="83" t="str">
        <f t="shared" si="0"/>
        <v>VDER - Value of Distributed Energy Resources</v>
      </c>
      <c r="C18" s="83" t="str">
        <f t="shared" si="1"/>
        <v>Solar - Fixed</v>
      </c>
      <c r="D18" s="83" t="s">
        <v>221</v>
      </c>
      <c r="E18" s="83" t="str">
        <f t="shared" si="3"/>
        <v>2 - F</v>
      </c>
      <c r="F18" s="129">
        <v>0.19014918655726828</v>
      </c>
      <c r="J18" s="176"/>
      <c r="AC18" s="126">
        <v>2016</v>
      </c>
      <c r="AD18" s="125">
        <f t="shared" si="2"/>
        <v>366</v>
      </c>
      <c r="AH18" s="146">
        <v>2037</v>
      </c>
      <c r="AI18" s="149">
        <v>3.105</v>
      </c>
      <c r="AJ18" s="150">
        <v>3.3769999999999998</v>
      </c>
      <c r="AK18" s="150">
        <v>3.649</v>
      </c>
      <c r="AL18" s="150">
        <v>3.9209999999999998</v>
      </c>
      <c r="AM18" s="150">
        <v>4.1929999999999996</v>
      </c>
      <c r="AN18" s="150">
        <v>3.758</v>
      </c>
      <c r="AO18" s="150">
        <v>3.323</v>
      </c>
      <c r="AP18" s="150">
        <v>2.887</v>
      </c>
      <c r="AQ18" s="150">
        <v>2.452</v>
      </c>
      <c r="AR18" s="150">
        <v>2.016</v>
      </c>
      <c r="AS18" s="150">
        <v>1.581</v>
      </c>
      <c r="AT18" s="150">
        <v>1.4730000000000001</v>
      </c>
      <c r="AU18" s="150">
        <v>1.4410000000000001</v>
      </c>
      <c r="AV18" s="150">
        <v>1.409</v>
      </c>
      <c r="AW18" s="150">
        <v>1.3759999999999999</v>
      </c>
      <c r="AX18" s="150">
        <v>1.3440000000000001</v>
      </c>
      <c r="AY18" s="150">
        <v>1.3109999999999999</v>
      </c>
      <c r="AZ18" s="150">
        <v>1.2789999999999999</v>
      </c>
      <c r="BA18" s="150">
        <v>1.246</v>
      </c>
      <c r="BB18" s="150">
        <v>1.214</v>
      </c>
      <c r="BC18" s="150">
        <v>1.181</v>
      </c>
      <c r="BD18" s="150">
        <v>1.1479999999999999</v>
      </c>
      <c r="BE18" s="150">
        <v>1.109</v>
      </c>
      <c r="BF18" s="150">
        <v>1.099</v>
      </c>
      <c r="BG18" s="150">
        <v>1.0900000000000001</v>
      </c>
      <c r="BH18" s="150">
        <v>1.079</v>
      </c>
      <c r="BI18" s="150">
        <v>1.0680000000000001</v>
      </c>
      <c r="BJ18" s="150">
        <v>1.0580000000000001</v>
      </c>
      <c r="BK18" s="150">
        <v>1.0489999999999999</v>
      </c>
      <c r="BL18" s="150">
        <v>1.038</v>
      </c>
      <c r="BM18" s="150">
        <v>1.028</v>
      </c>
      <c r="BN18" s="150">
        <v>1.018</v>
      </c>
      <c r="BO18" s="150">
        <v>1.008</v>
      </c>
      <c r="BP18" s="150">
        <v>1.534</v>
      </c>
      <c r="BQ18" s="150">
        <v>1.4650000000000001</v>
      </c>
      <c r="BR18" s="150">
        <v>1.3979999999999999</v>
      </c>
      <c r="BS18" s="150">
        <v>1.3280000000000001</v>
      </c>
      <c r="BT18" s="150">
        <v>1.2569999999999999</v>
      </c>
      <c r="BU18" s="150">
        <v>1.19</v>
      </c>
      <c r="BV18" s="150">
        <v>1.1240000000000001</v>
      </c>
      <c r="BW18" s="150">
        <v>1.0529999999999999</v>
      </c>
      <c r="BX18" s="150">
        <v>1</v>
      </c>
      <c r="BY18" s="150">
        <v>1</v>
      </c>
      <c r="BZ18" s="150">
        <v>1</v>
      </c>
      <c r="CA18" s="150">
        <v>2.0099999999999998</v>
      </c>
      <c r="CB18" s="150">
        <v>1.921</v>
      </c>
      <c r="CC18" s="150">
        <v>1.8340000000000001</v>
      </c>
      <c r="CD18" s="150">
        <v>1.742</v>
      </c>
      <c r="CE18" s="150">
        <v>1.649</v>
      </c>
      <c r="CF18" s="150">
        <v>1.5629999999999999</v>
      </c>
      <c r="CG18" s="150">
        <v>1.4770000000000001</v>
      </c>
      <c r="CH18" s="150">
        <v>1.385</v>
      </c>
      <c r="CI18" s="150">
        <v>1.298</v>
      </c>
      <c r="CJ18" s="150">
        <v>1.2070000000000001</v>
      </c>
      <c r="CK18" s="151">
        <v>1.117</v>
      </c>
      <c r="CL18" s="150"/>
      <c r="CM18" s="150"/>
    </row>
    <row r="19" spans="1:91" x14ac:dyDescent="0.25">
      <c r="A19" s="126">
        <v>2</v>
      </c>
      <c r="B19" s="83" t="str">
        <f t="shared" si="0"/>
        <v>VDER - Value of Distributed Energy Resources</v>
      </c>
      <c r="C19" s="83" t="str">
        <f t="shared" si="1"/>
        <v>Solar - Fixed</v>
      </c>
      <c r="D19" s="83" t="s">
        <v>223</v>
      </c>
      <c r="E19" s="83" t="str">
        <f t="shared" si="3"/>
        <v>2 - G</v>
      </c>
      <c r="F19" s="129">
        <v>0.19205931174197832</v>
      </c>
      <c r="H19" s="164" t="s">
        <v>331</v>
      </c>
      <c r="K19" s="177"/>
      <c r="AC19" s="126">
        <v>2017</v>
      </c>
      <c r="AD19" s="125">
        <f t="shared" si="2"/>
        <v>365</v>
      </c>
      <c r="AH19" s="146">
        <v>2038</v>
      </c>
      <c r="AI19" s="149">
        <v>3.1739999999999999</v>
      </c>
      <c r="AJ19" s="150">
        <v>3.4550000000000001</v>
      </c>
      <c r="AK19" s="150">
        <v>3.7370000000000001</v>
      </c>
      <c r="AL19" s="150">
        <v>4.0179999999999998</v>
      </c>
      <c r="AM19" s="150">
        <v>4.2990000000000004</v>
      </c>
      <c r="AN19" s="150">
        <v>3.8490000000000002</v>
      </c>
      <c r="AO19" s="150">
        <v>3.399</v>
      </c>
      <c r="AP19" s="150">
        <v>2.9489999999999998</v>
      </c>
      <c r="AQ19" s="150">
        <v>2.4990000000000001</v>
      </c>
      <c r="AR19" s="150">
        <v>2.0489999999999999</v>
      </c>
      <c r="AS19" s="150">
        <v>1.599</v>
      </c>
      <c r="AT19" s="150">
        <v>1.4650000000000001</v>
      </c>
      <c r="AU19" s="150">
        <v>1.4339999999999999</v>
      </c>
      <c r="AV19" s="150">
        <v>1.4019999999999999</v>
      </c>
      <c r="AW19" s="150">
        <v>1.371</v>
      </c>
      <c r="AX19" s="150">
        <v>1.34</v>
      </c>
      <c r="AY19" s="150">
        <v>1.3080000000000001</v>
      </c>
      <c r="AZ19" s="150">
        <v>1.276</v>
      </c>
      <c r="BA19" s="150">
        <v>1.2450000000000001</v>
      </c>
      <c r="BB19" s="150">
        <v>1.2130000000000001</v>
      </c>
      <c r="BC19" s="150">
        <v>1.181</v>
      </c>
      <c r="BD19" s="150">
        <v>1.149</v>
      </c>
      <c r="BE19" s="150">
        <v>1.093</v>
      </c>
      <c r="BF19" s="150">
        <v>1.085</v>
      </c>
      <c r="BG19" s="150">
        <v>1.0760000000000001</v>
      </c>
      <c r="BH19" s="150">
        <v>1.0669999999999999</v>
      </c>
      <c r="BI19" s="150">
        <v>1.0569999999999999</v>
      </c>
      <c r="BJ19" s="150">
        <v>1.0489999999999999</v>
      </c>
      <c r="BK19" s="150">
        <v>1.0409999999999999</v>
      </c>
      <c r="BL19" s="150">
        <v>1.032</v>
      </c>
      <c r="BM19" s="150">
        <v>1.0229999999999999</v>
      </c>
      <c r="BN19" s="150">
        <v>1.014</v>
      </c>
      <c r="BO19" s="150">
        <v>1.006</v>
      </c>
      <c r="BP19" s="150">
        <v>1.508</v>
      </c>
      <c r="BQ19" s="150">
        <v>1.4410000000000001</v>
      </c>
      <c r="BR19" s="150">
        <v>1.377</v>
      </c>
      <c r="BS19" s="150">
        <v>1.3069999999999999</v>
      </c>
      <c r="BT19" s="150">
        <v>1.236</v>
      </c>
      <c r="BU19" s="150">
        <v>1.173</v>
      </c>
      <c r="BV19" s="150">
        <v>1.1100000000000001</v>
      </c>
      <c r="BW19" s="150">
        <v>1.04</v>
      </c>
      <c r="BX19" s="150">
        <v>1</v>
      </c>
      <c r="BY19" s="150">
        <v>1</v>
      </c>
      <c r="BZ19" s="150">
        <v>1</v>
      </c>
      <c r="CA19" s="150">
        <v>1.9990000000000001</v>
      </c>
      <c r="CB19" s="150">
        <v>1.91</v>
      </c>
      <c r="CC19" s="150">
        <v>1.825</v>
      </c>
      <c r="CD19" s="150">
        <v>1.732</v>
      </c>
      <c r="CE19" s="150">
        <v>1.639</v>
      </c>
      <c r="CF19" s="150">
        <v>1.5549999999999999</v>
      </c>
      <c r="CG19" s="150">
        <v>1.4710000000000001</v>
      </c>
      <c r="CH19" s="150">
        <v>1.379</v>
      </c>
      <c r="CI19" s="150">
        <v>1.2929999999999999</v>
      </c>
      <c r="CJ19" s="150">
        <v>1.2010000000000001</v>
      </c>
      <c r="CK19" s="151">
        <v>1.113</v>
      </c>
      <c r="CL19" s="150"/>
      <c r="CM19" s="150"/>
    </row>
    <row r="20" spans="1:91" x14ac:dyDescent="0.25">
      <c r="A20" s="126">
        <v>2</v>
      </c>
      <c r="B20" s="83" t="str">
        <f t="shared" si="0"/>
        <v>VDER - Value of Distributed Energy Resources</v>
      </c>
      <c r="C20" s="83" t="str">
        <f t="shared" si="1"/>
        <v>Solar - Fixed</v>
      </c>
      <c r="D20" s="83" t="s">
        <v>225</v>
      </c>
      <c r="E20" s="83" t="str">
        <f>A20&amp;" - "&amp;D20</f>
        <v>2 - H</v>
      </c>
      <c r="F20" s="129">
        <v>0.1939694369266883</v>
      </c>
      <c r="H20" s="292" t="s">
        <v>241</v>
      </c>
      <c r="I20" s="293"/>
      <c r="J20" s="178">
        <f>0.01741*Inputs!$C$59</f>
        <v>2.33294E-2</v>
      </c>
      <c r="K20" s="179"/>
      <c r="AC20" s="126">
        <v>2018</v>
      </c>
      <c r="AD20" s="125">
        <f t="shared" si="2"/>
        <v>365</v>
      </c>
      <c r="AH20" s="146">
        <v>2039</v>
      </c>
      <c r="AI20" s="149">
        <v>3.2290000000000001</v>
      </c>
      <c r="AJ20" s="150">
        <v>3.5169999999999999</v>
      </c>
      <c r="AK20" s="150">
        <v>3.8050000000000002</v>
      </c>
      <c r="AL20" s="150">
        <v>4.093</v>
      </c>
      <c r="AM20" s="150">
        <v>4.3810000000000002</v>
      </c>
      <c r="AN20" s="150">
        <v>3.92</v>
      </c>
      <c r="AO20" s="150">
        <v>3.4590000000000001</v>
      </c>
      <c r="AP20" s="150">
        <v>2.9980000000000002</v>
      </c>
      <c r="AQ20" s="150">
        <v>2.5369999999999999</v>
      </c>
      <c r="AR20" s="150">
        <v>2.0760000000000001</v>
      </c>
      <c r="AS20" s="150">
        <v>1.615</v>
      </c>
      <c r="AT20" s="150">
        <v>1.4890000000000001</v>
      </c>
      <c r="AU20" s="150">
        <v>1.4570000000000001</v>
      </c>
      <c r="AV20" s="150">
        <v>1.4239999999999999</v>
      </c>
      <c r="AW20" s="150">
        <v>1.391</v>
      </c>
      <c r="AX20" s="150">
        <v>1.359</v>
      </c>
      <c r="AY20" s="150">
        <v>1.3260000000000001</v>
      </c>
      <c r="AZ20" s="150">
        <v>1.2929999999999999</v>
      </c>
      <c r="BA20" s="150">
        <v>1.26</v>
      </c>
      <c r="BB20" s="150">
        <v>1.2270000000000001</v>
      </c>
      <c r="BC20" s="150">
        <v>1.194</v>
      </c>
      <c r="BD20" s="150">
        <v>1.161</v>
      </c>
      <c r="BE20" s="150">
        <v>1.097</v>
      </c>
      <c r="BF20" s="150">
        <v>1.0880000000000001</v>
      </c>
      <c r="BG20" s="150">
        <v>1.079</v>
      </c>
      <c r="BH20" s="150">
        <v>1.069</v>
      </c>
      <c r="BI20" s="150">
        <v>1.0589999999999999</v>
      </c>
      <c r="BJ20" s="150">
        <v>1.0509999999999999</v>
      </c>
      <c r="BK20" s="150">
        <v>1.042</v>
      </c>
      <c r="BL20" s="150">
        <v>1.032</v>
      </c>
      <c r="BM20" s="150">
        <v>1.0229999999999999</v>
      </c>
      <c r="BN20" s="150">
        <v>1.0129999999999999</v>
      </c>
      <c r="BO20" s="150">
        <v>1.004</v>
      </c>
      <c r="BP20" s="150">
        <v>1.579</v>
      </c>
      <c r="BQ20" s="150">
        <v>1.5069999999999999</v>
      </c>
      <c r="BR20" s="150">
        <v>1.4390000000000001</v>
      </c>
      <c r="BS20" s="150">
        <v>1.363</v>
      </c>
      <c r="BT20" s="150">
        <v>1.2869999999999999</v>
      </c>
      <c r="BU20" s="150">
        <v>1.22</v>
      </c>
      <c r="BV20" s="150">
        <v>1.1519999999999999</v>
      </c>
      <c r="BW20" s="150">
        <v>1.077</v>
      </c>
      <c r="BX20" s="150">
        <v>1.0069999999999999</v>
      </c>
      <c r="BY20" s="150">
        <v>1</v>
      </c>
      <c r="BZ20" s="150">
        <v>1</v>
      </c>
      <c r="CA20" s="150">
        <v>2.0249999999999999</v>
      </c>
      <c r="CB20" s="150">
        <v>1.9330000000000001</v>
      </c>
      <c r="CC20" s="150">
        <v>1.845</v>
      </c>
      <c r="CD20" s="150">
        <v>1.748</v>
      </c>
      <c r="CE20" s="150">
        <v>1.651</v>
      </c>
      <c r="CF20" s="150">
        <v>1.5640000000000001</v>
      </c>
      <c r="CG20" s="150">
        <v>1.4770000000000001</v>
      </c>
      <c r="CH20" s="150">
        <v>1.381</v>
      </c>
      <c r="CI20" s="150">
        <v>1.292</v>
      </c>
      <c r="CJ20" s="150">
        <v>1.1970000000000001</v>
      </c>
      <c r="CK20" s="151">
        <v>1.1060000000000001</v>
      </c>
      <c r="CL20" s="150"/>
      <c r="CM20" s="150"/>
    </row>
    <row r="21" spans="1:91" x14ac:dyDescent="0.25">
      <c r="A21" s="126">
        <v>2</v>
      </c>
      <c r="B21" s="83" t="str">
        <f t="shared" si="0"/>
        <v>VDER - Value of Distributed Energy Resources</v>
      </c>
      <c r="C21" s="83" t="str">
        <f t="shared" si="1"/>
        <v>Solar - Fixed</v>
      </c>
      <c r="D21" s="83" t="s">
        <v>228</v>
      </c>
      <c r="E21" s="83" t="str">
        <f t="shared" si="3"/>
        <v>2 - I</v>
      </c>
      <c r="F21" s="129">
        <v>0.1939694369266883</v>
      </c>
      <c r="K21" s="177"/>
      <c r="AC21" s="126">
        <v>2019</v>
      </c>
      <c r="AD21" s="125">
        <f t="shared" si="2"/>
        <v>365</v>
      </c>
      <c r="AH21" s="146">
        <v>2040</v>
      </c>
      <c r="AI21" s="149">
        <v>3.165</v>
      </c>
      <c r="AJ21" s="150">
        <v>3.4649999999999999</v>
      </c>
      <c r="AK21" s="150">
        <v>3.7650000000000001</v>
      </c>
      <c r="AL21" s="150">
        <v>4.0650000000000004</v>
      </c>
      <c r="AM21" s="150">
        <v>4.3650000000000002</v>
      </c>
      <c r="AN21" s="150">
        <v>3.8849999999999998</v>
      </c>
      <c r="AO21" s="150">
        <v>3.4049999999999998</v>
      </c>
      <c r="AP21" s="150">
        <v>2.9249999999999998</v>
      </c>
      <c r="AQ21" s="150">
        <v>2.4449999999999998</v>
      </c>
      <c r="AR21" s="150">
        <v>1.9650000000000001</v>
      </c>
      <c r="AS21" s="150">
        <v>1.4850000000000001</v>
      </c>
      <c r="AT21" s="150">
        <v>1.51</v>
      </c>
      <c r="AU21" s="150">
        <v>1.476</v>
      </c>
      <c r="AV21" s="150">
        <v>1.4419999999999999</v>
      </c>
      <c r="AW21" s="150">
        <v>1.4079999999999999</v>
      </c>
      <c r="AX21" s="150">
        <v>1.3740000000000001</v>
      </c>
      <c r="AY21" s="150">
        <v>1.34</v>
      </c>
      <c r="AZ21" s="150">
        <v>1.306</v>
      </c>
      <c r="BA21" s="150">
        <v>1.272</v>
      </c>
      <c r="BB21" s="150">
        <v>1.2370000000000001</v>
      </c>
      <c r="BC21" s="150">
        <v>1.2030000000000001</v>
      </c>
      <c r="BD21" s="150">
        <v>1.169</v>
      </c>
      <c r="BE21" s="150">
        <v>1.1000000000000001</v>
      </c>
      <c r="BF21" s="150">
        <v>1.0900000000000001</v>
      </c>
      <c r="BG21" s="150">
        <v>1.081</v>
      </c>
      <c r="BH21" s="150">
        <v>1.071</v>
      </c>
      <c r="BI21" s="150">
        <v>1.06</v>
      </c>
      <c r="BJ21" s="150">
        <v>1.052</v>
      </c>
      <c r="BK21" s="150">
        <v>1.0429999999999999</v>
      </c>
      <c r="BL21" s="150">
        <v>1.0329999999999999</v>
      </c>
      <c r="BM21" s="150">
        <v>1.0229999999999999</v>
      </c>
      <c r="BN21" s="150">
        <v>1.014</v>
      </c>
      <c r="BO21" s="150">
        <v>1.004</v>
      </c>
      <c r="BP21" s="150">
        <v>1.5580000000000001</v>
      </c>
      <c r="BQ21" s="150">
        <v>1.488</v>
      </c>
      <c r="BR21" s="150">
        <v>1.419</v>
      </c>
      <c r="BS21" s="150">
        <v>1.3460000000000001</v>
      </c>
      <c r="BT21" s="150">
        <v>1.272</v>
      </c>
      <c r="BU21" s="150">
        <v>1.2050000000000001</v>
      </c>
      <c r="BV21" s="150">
        <v>1.137</v>
      </c>
      <c r="BW21" s="150">
        <v>1.0640000000000001</v>
      </c>
      <c r="BX21" s="150">
        <v>1</v>
      </c>
      <c r="BY21" s="150">
        <v>1</v>
      </c>
      <c r="BZ21" s="150">
        <v>1</v>
      </c>
      <c r="CA21" s="150">
        <v>2.024</v>
      </c>
      <c r="CB21" s="150">
        <v>1.9330000000000001</v>
      </c>
      <c r="CC21" s="150">
        <v>1.845</v>
      </c>
      <c r="CD21" s="150">
        <v>1.7490000000000001</v>
      </c>
      <c r="CE21" s="150">
        <v>1.6519999999999999</v>
      </c>
      <c r="CF21" s="150">
        <v>1.5660000000000001</v>
      </c>
      <c r="CG21" s="150">
        <v>1.4790000000000001</v>
      </c>
      <c r="CH21" s="150">
        <v>1.383</v>
      </c>
      <c r="CI21" s="150">
        <v>1.2949999999999999</v>
      </c>
      <c r="CJ21" s="150">
        <v>1.2</v>
      </c>
      <c r="CK21" s="151">
        <v>1.109</v>
      </c>
      <c r="CL21" s="150"/>
      <c r="CM21" s="150"/>
    </row>
    <row r="22" spans="1:91" x14ac:dyDescent="0.25">
      <c r="A22" s="126">
        <v>2</v>
      </c>
      <c r="B22" s="83" t="str">
        <f t="shared" si="0"/>
        <v>VDER - Value of Distributed Energy Resources</v>
      </c>
      <c r="C22" s="83" t="str">
        <f t="shared" si="1"/>
        <v>Solar - Fixed</v>
      </c>
      <c r="D22" s="83" t="s">
        <v>232</v>
      </c>
      <c r="E22" s="83" t="str">
        <f t="shared" si="3"/>
        <v>2 - J</v>
      </c>
      <c r="F22" s="129">
        <v>0.1939694369266883</v>
      </c>
      <c r="H22" s="164" t="s">
        <v>242</v>
      </c>
      <c r="AC22" s="126">
        <v>2020</v>
      </c>
      <c r="AD22" s="125">
        <f t="shared" si="2"/>
        <v>366</v>
      </c>
      <c r="AH22" s="146">
        <v>2041</v>
      </c>
      <c r="AI22" s="149">
        <v>3.1549999999999998</v>
      </c>
      <c r="AJ22" s="150">
        <v>3.4540000000000002</v>
      </c>
      <c r="AK22" s="150">
        <v>3.7530000000000001</v>
      </c>
      <c r="AL22" s="150">
        <v>4.0519999999999996</v>
      </c>
      <c r="AM22" s="150">
        <v>4.351</v>
      </c>
      <c r="AN22" s="150">
        <v>3.8730000000000002</v>
      </c>
      <c r="AO22" s="150">
        <v>3.3940000000000001</v>
      </c>
      <c r="AP22" s="150">
        <v>2.915</v>
      </c>
      <c r="AQ22" s="150">
        <v>2.4359999999999999</v>
      </c>
      <c r="AR22" s="150">
        <v>1.958</v>
      </c>
      <c r="AS22" s="150">
        <v>1.4790000000000001</v>
      </c>
      <c r="AT22" s="150">
        <v>1.516</v>
      </c>
      <c r="AU22" s="150">
        <v>1.4810000000000001</v>
      </c>
      <c r="AV22" s="150">
        <v>1.446</v>
      </c>
      <c r="AW22" s="150">
        <v>1.411</v>
      </c>
      <c r="AX22" s="150">
        <v>1.377</v>
      </c>
      <c r="AY22" s="150">
        <v>1.3420000000000001</v>
      </c>
      <c r="AZ22" s="150">
        <v>1.3069999999999999</v>
      </c>
      <c r="BA22" s="150">
        <v>1.272</v>
      </c>
      <c r="BB22" s="150">
        <v>1.2370000000000001</v>
      </c>
      <c r="BC22" s="150">
        <v>1.202</v>
      </c>
      <c r="BD22" s="150">
        <v>1.167</v>
      </c>
      <c r="BE22" s="150">
        <v>1.105</v>
      </c>
      <c r="BF22" s="150">
        <v>1.095</v>
      </c>
      <c r="BG22" s="150">
        <v>1.085</v>
      </c>
      <c r="BH22" s="150">
        <v>1.075</v>
      </c>
      <c r="BI22" s="150">
        <v>1.0640000000000001</v>
      </c>
      <c r="BJ22" s="150">
        <v>1.0549999999999999</v>
      </c>
      <c r="BK22" s="150">
        <v>1.0449999999999999</v>
      </c>
      <c r="BL22" s="150">
        <v>1.0349999999999999</v>
      </c>
      <c r="BM22" s="150">
        <v>1.0249999999999999</v>
      </c>
      <c r="BN22" s="150">
        <v>1.0149999999999999</v>
      </c>
      <c r="BO22" s="150">
        <v>1.0049999999999999</v>
      </c>
      <c r="BP22" s="150">
        <v>1.532</v>
      </c>
      <c r="BQ22" s="150">
        <v>1.4630000000000001</v>
      </c>
      <c r="BR22" s="150">
        <v>1.3959999999999999</v>
      </c>
      <c r="BS22" s="150">
        <v>1.3240000000000001</v>
      </c>
      <c r="BT22" s="150">
        <v>1.2509999999999999</v>
      </c>
      <c r="BU22" s="150">
        <v>1.1850000000000001</v>
      </c>
      <c r="BV22" s="150">
        <v>1.119</v>
      </c>
      <c r="BW22" s="150">
        <v>1.0469999999999999</v>
      </c>
      <c r="BX22" s="150">
        <v>1</v>
      </c>
      <c r="BY22" s="150">
        <v>1</v>
      </c>
      <c r="BZ22" s="150">
        <v>1</v>
      </c>
      <c r="CA22" s="150">
        <v>2.0150000000000001</v>
      </c>
      <c r="CB22" s="150">
        <v>1.925</v>
      </c>
      <c r="CC22" s="150">
        <v>1.8380000000000001</v>
      </c>
      <c r="CD22" s="150">
        <v>1.7430000000000001</v>
      </c>
      <c r="CE22" s="150">
        <v>1.6479999999999999</v>
      </c>
      <c r="CF22" s="150">
        <v>1.5620000000000001</v>
      </c>
      <c r="CG22" s="150">
        <v>1.4750000000000001</v>
      </c>
      <c r="CH22" s="150">
        <v>1.381</v>
      </c>
      <c r="CI22" s="150">
        <v>1.2929999999999999</v>
      </c>
      <c r="CJ22" s="150">
        <v>1.2</v>
      </c>
      <c r="CK22" s="151">
        <v>1.1100000000000001</v>
      </c>
      <c r="CL22" s="150"/>
      <c r="CM22" s="150"/>
    </row>
    <row r="23" spans="1:91" x14ac:dyDescent="0.25">
      <c r="A23" s="162">
        <v>2</v>
      </c>
      <c r="B23" s="153" t="str">
        <f t="shared" si="0"/>
        <v>VDER - Value of Distributed Energy Resources</v>
      </c>
      <c r="C23" s="153" t="str">
        <f t="shared" si="1"/>
        <v>Solar - Fixed</v>
      </c>
      <c r="D23" s="153" t="s">
        <v>239</v>
      </c>
      <c r="E23" s="153" t="str">
        <f t="shared" si="3"/>
        <v>2 - K</v>
      </c>
      <c r="F23" s="163">
        <v>0.20611141185471976</v>
      </c>
      <c r="H23" s="292" t="s">
        <v>243</v>
      </c>
      <c r="I23" s="293"/>
      <c r="J23" s="180">
        <v>0.02</v>
      </c>
      <c r="AC23" s="126">
        <v>2021</v>
      </c>
      <c r="AD23" s="125">
        <f t="shared" si="2"/>
        <v>365</v>
      </c>
      <c r="AH23" s="146">
        <v>2042</v>
      </c>
      <c r="AI23" s="149">
        <v>3.1840000000000002</v>
      </c>
      <c r="AJ23" s="150">
        <v>3.4860000000000002</v>
      </c>
      <c r="AK23" s="150">
        <v>3.7890000000000001</v>
      </c>
      <c r="AL23" s="150">
        <v>4.0919999999999996</v>
      </c>
      <c r="AM23" s="150">
        <v>4.3949999999999996</v>
      </c>
      <c r="AN23" s="150">
        <v>3.91</v>
      </c>
      <c r="AO23" s="150">
        <v>3.4260000000000002</v>
      </c>
      <c r="AP23" s="150">
        <v>2.9420000000000002</v>
      </c>
      <c r="AQ23" s="150">
        <v>2.4569999999999999</v>
      </c>
      <c r="AR23" s="150">
        <v>1.9730000000000001</v>
      </c>
      <c r="AS23" s="150">
        <v>1.4890000000000001</v>
      </c>
      <c r="AT23" s="150">
        <v>1.5269999999999999</v>
      </c>
      <c r="AU23" s="150">
        <v>1.492</v>
      </c>
      <c r="AV23" s="150">
        <v>1.4570000000000001</v>
      </c>
      <c r="AW23" s="150">
        <v>1.421</v>
      </c>
      <c r="AX23" s="150">
        <v>1.3859999999999999</v>
      </c>
      <c r="AY23" s="150">
        <v>1.35</v>
      </c>
      <c r="AZ23" s="150">
        <v>1.3149999999999999</v>
      </c>
      <c r="BA23" s="150">
        <v>1.2789999999999999</v>
      </c>
      <c r="BB23" s="150">
        <v>1.2430000000000001</v>
      </c>
      <c r="BC23" s="150">
        <v>1.208</v>
      </c>
      <c r="BD23" s="150">
        <v>1.1719999999999999</v>
      </c>
      <c r="BE23" s="150">
        <v>1.1040000000000001</v>
      </c>
      <c r="BF23" s="150">
        <v>1.0940000000000001</v>
      </c>
      <c r="BG23" s="150">
        <v>1.0840000000000001</v>
      </c>
      <c r="BH23" s="150">
        <v>1.073</v>
      </c>
      <c r="BI23" s="150">
        <v>1.0620000000000001</v>
      </c>
      <c r="BJ23" s="150">
        <v>1.0529999999999999</v>
      </c>
      <c r="BK23" s="150">
        <v>1.044</v>
      </c>
      <c r="BL23" s="150">
        <v>1.0329999999999999</v>
      </c>
      <c r="BM23" s="150">
        <v>1.0229999999999999</v>
      </c>
      <c r="BN23" s="150">
        <v>1.0129999999999999</v>
      </c>
      <c r="BO23" s="150">
        <v>1.0029999999999999</v>
      </c>
      <c r="BP23" s="150">
        <v>1.5880000000000001</v>
      </c>
      <c r="BQ23" s="150">
        <v>1.516</v>
      </c>
      <c r="BR23" s="150">
        <v>1.4470000000000001</v>
      </c>
      <c r="BS23" s="150">
        <v>1.371</v>
      </c>
      <c r="BT23" s="150">
        <v>1.2949999999999999</v>
      </c>
      <c r="BU23" s="150">
        <v>1.2270000000000001</v>
      </c>
      <c r="BV23" s="150">
        <v>1.159</v>
      </c>
      <c r="BW23" s="150">
        <v>1.0840000000000001</v>
      </c>
      <c r="BX23" s="150">
        <v>1.014</v>
      </c>
      <c r="BY23" s="150">
        <v>1</v>
      </c>
      <c r="BZ23" s="150">
        <v>1</v>
      </c>
      <c r="CA23" s="150">
        <v>2.0139999999999998</v>
      </c>
      <c r="CB23" s="150">
        <v>1.9239999999999999</v>
      </c>
      <c r="CC23" s="150">
        <v>1.8380000000000001</v>
      </c>
      <c r="CD23" s="150">
        <v>1.744</v>
      </c>
      <c r="CE23" s="150">
        <v>1.651</v>
      </c>
      <c r="CF23" s="150">
        <v>1.5660000000000001</v>
      </c>
      <c r="CG23" s="150">
        <v>1.48</v>
      </c>
      <c r="CH23" s="150">
        <v>1.387</v>
      </c>
      <c r="CI23" s="150">
        <v>1.3</v>
      </c>
      <c r="CJ23" s="150">
        <v>1.2090000000000001</v>
      </c>
      <c r="CK23" s="151">
        <v>1.119</v>
      </c>
      <c r="CL23" s="150"/>
      <c r="CM23" s="150"/>
    </row>
    <row r="24" spans="1:91" x14ac:dyDescent="0.25">
      <c r="A24" s="108">
        <v>3</v>
      </c>
      <c r="B24" s="109" t="str">
        <f t="shared" si="0"/>
        <v>VDER - Value of Distributed Energy Resources</v>
      </c>
      <c r="C24" s="109" t="str">
        <f t="shared" si="1"/>
        <v>Hybrid Solar Plus Storage</v>
      </c>
      <c r="D24" s="109" t="s">
        <v>206</v>
      </c>
      <c r="E24" s="109" t="str">
        <f t="shared" si="3"/>
        <v>3 - A</v>
      </c>
      <c r="F24" s="121">
        <v>0.21011199300317809</v>
      </c>
      <c r="R24" s="111"/>
      <c r="T24" s="165"/>
      <c r="AC24" s="126">
        <v>2022</v>
      </c>
      <c r="AD24" s="125">
        <f t="shared" ref="AD24:AD35" si="26">_xlfn.DAYS(DATE(AC24,12,31),DATE(AC24-1,12,31))</f>
        <v>365</v>
      </c>
      <c r="AH24" s="146">
        <v>2043</v>
      </c>
      <c r="AI24" s="149">
        <v>3.21</v>
      </c>
      <c r="AJ24" s="150">
        <v>3.516</v>
      </c>
      <c r="AK24" s="150">
        <v>3.8220000000000001</v>
      </c>
      <c r="AL24" s="150">
        <v>4.1280000000000001</v>
      </c>
      <c r="AM24" s="150">
        <v>4.4340000000000002</v>
      </c>
      <c r="AN24" s="150">
        <v>3.944</v>
      </c>
      <c r="AO24" s="150">
        <v>3.4550000000000001</v>
      </c>
      <c r="AP24" s="150">
        <v>2.9649999999999999</v>
      </c>
      <c r="AQ24" s="150">
        <v>2.4750000000000001</v>
      </c>
      <c r="AR24" s="150">
        <v>1.9850000000000001</v>
      </c>
      <c r="AS24" s="150">
        <v>1.496</v>
      </c>
      <c r="AT24" s="150">
        <v>1.5389999999999999</v>
      </c>
      <c r="AU24" s="150">
        <v>1.5029999999999999</v>
      </c>
      <c r="AV24" s="150">
        <v>1.4670000000000001</v>
      </c>
      <c r="AW24" s="150">
        <v>1.431</v>
      </c>
      <c r="AX24" s="150">
        <v>1.3959999999999999</v>
      </c>
      <c r="AY24" s="150">
        <v>1.359</v>
      </c>
      <c r="AZ24" s="150">
        <v>1.323</v>
      </c>
      <c r="BA24" s="150">
        <v>1.2869999999999999</v>
      </c>
      <c r="BB24" s="150">
        <v>1.2509999999999999</v>
      </c>
      <c r="BC24" s="150">
        <v>1.2150000000000001</v>
      </c>
      <c r="BD24" s="150">
        <v>1.179</v>
      </c>
      <c r="BE24" s="150">
        <v>1.095</v>
      </c>
      <c r="BF24" s="150">
        <v>1.085</v>
      </c>
      <c r="BG24" s="150">
        <v>1.0760000000000001</v>
      </c>
      <c r="BH24" s="150">
        <v>1.0660000000000001</v>
      </c>
      <c r="BI24" s="150">
        <v>1.0549999999999999</v>
      </c>
      <c r="BJ24" s="150">
        <v>1.0469999999999999</v>
      </c>
      <c r="BK24" s="150">
        <v>1.038</v>
      </c>
      <c r="BL24" s="150">
        <v>1.0269999999999999</v>
      </c>
      <c r="BM24" s="150">
        <v>1.018</v>
      </c>
      <c r="BN24" s="150">
        <v>1.008</v>
      </c>
      <c r="BO24" s="150">
        <v>1</v>
      </c>
      <c r="BP24" s="150">
        <v>1.5489999999999999</v>
      </c>
      <c r="BQ24" s="150">
        <v>1.4770000000000001</v>
      </c>
      <c r="BR24" s="150">
        <v>1.4079999999999999</v>
      </c>
      <c r="BS24" s="150">
        <v>1.333</v>
      </c>
      <c r="BT24" s="150">
        <v>1.2569999999999999</v>
      </c>
      <c r="BU24" s="150">
        <v>1.1890000000000001</v>
      </c>
      <c r="BV24" s="150">
        <v>1.121</v>
      </c>
      <c r="BW24" s="150">
        <v>1.046</v>
      </c>
      <c r="BX24" s="150">
        <v>1</v>
      </c>
      <c r="BY24" s="150">
        <v>1</v>
      </c>
      <c r="BZ24" s="150">
        <v>1</v>
      </c>
      <c r="CA24" s="150">
        <v>2.036</v>
      </c>
      <c r="CB24" s="150">
        <v>1.9430000000000001</v>
      </c>
      <c r="CC24" s="150">
        <v>1.8540000000000001</v>
      </c>
      <c r="CD24" s="150">
        <v>1.7569999999999999</v>
      </c>
      <c r="CE24" s="150">
        <v>1.66</v>
      </c>
      <c r="CF24" s="150">
        <v>1.5720000000000001</v>
      </c>
      <c r="CG24" s="150">
        <v>1.484</v>
      </c>
      <c r="CH24" s="150">
        <v>1.387</v>
      </c>
      <c r="CI24" s="150">
        <v>1.2969999999999999</v>
      </c>
      <c r="CJ24" s="150">
        <v>1.202</v>
      </c>
      <c r="CK24" s="151">
        <v>1.1100000000000001</v>
      </c>
      <c r="CL24" s="150"/>
      <c r="CM24" s="150"/>
    </row>
    <row r="25" spans="1:91" x14ac:dyDescent="0.25">
      <c r="A25" s="126">
        <v>3</v>
      </c>
      <c r="B25" s="83" t="str">
        <f t="shared" si="0"/>
        <v>VDER - Value of Distributed Energy Resources</v>
      </c>
      <c r="C25" s="83" t="str">
        <f t="shared" si="1"/>
        <v>Hybrid Solar Plus Storage</v>
      </c>
      <c r="D25" s="83" t="s">
        <v>208</v>
      </c>
      <c r="E25" s="83" t="str">
        <f t="shared" si="3"/>
        <v>3 - B</v>
      </c>
      <c r="F25" s="129">
        <v>0.19709678125804792</v>
      </c>
      <c r="R25" s="111"/>
      <c r="T25" s="165"/>
      <c r="AC25" s="126">
        <v>2023</v>
      </c>
      <c r="AD25" s="125">
        <f t="shared" si="26"/>
        <v>365</v>
      </c>
      <c r="AH25" s="146">
        <v>2044</v>
      </c>
      <c r="AI25" s="149">
        <v>3.1930000000000001</v>
      </c>
      <c r="AJ25" s="150">
        <v>3.4980000000000002</v>
      </c>
      <c r="AK25" s="150">
        <v>3.8029999999999999</v>
      </c>
      <c r="AL25" s="150">
        <v>4.1079999999999997</v>
      </c>
      <c r="AM25" s="150">
        <v>4.4139999999999997</v>
      </c>
      <c r="AN25" s="150">
        <v>3.9249999999999998</v>
      </c>
      <c r="AO25" s="150">
        <v>3.4369999999999998</v>
      </c>
      <c r="AP25" s="150">
        <v>2.9489999999999998</v>
      </c>
      <c r="AQ25" s="150">
        <v>2.46</v>
      </c>
      <c r="AR25" s="150">
        <v>1.972</v>
      </c>
      <c r="AS25" s="150">
        <v>1.4830000000000001</v>
      </c>
      <c r="AT25" s="150">
        <v>1.5620000000000001</v>
      </c>
      <c r="AU25" s="150">
        <v>1.5249999999999999</v>
      </c>
      <c r="AV25" s="150">
        <v>1.488</v>
      </c>
      <c r="AW25" s="150">
        <v>1.45</v>
      </c>
      <c r="AX25" s="150">
        <v>1.413</v>
      </c>
      <c r="AY25" s="150">
        <v>1.375</v>
      </c>
      <c r="AZ25" s="150">
        <v>1.337</v>
      </c>
      <c r="BA25" s="150">
        <v>1.3</v>
      </c>
      <c r="BB25" s="150">
        <v>1.262</v>
      </c>
      <c r="BC25" s="150">
        <v>1.224</v>
      </c>
      <c r="BD25" s="150">
        <v>1.1859999999999999</v>
      </c>
      <c r="BE25" s="150">
        <v>1.0920000000000001</v>
      </c>
      <c r="BF25" s="150">
        <v>1.083</v>
      </c>
      <c r="BG25" s="150">
        <v>1.0740000000000001</v>
      </c>
      <c r="BH25" s="150">
        <v>1.0640000000000001</v>
      </c>
      <c r="BI25" s="150">
        <v>1.054</v>
      </c>
      <c r="BJ25" s="150">
        <v>1.046</v>
      </c>
      <c r="BK25" s="150">
        <v>1.038</v>
      </c>
      <c r="BL25" s="150">
        <v>1.028</v>
      </c>
      <c r="BM25" s="150">
        <v>1.018</v>
      </c>
      <c r="BN25" s="150">
        <v>1.0089999999999999</v>
      </c>
      <c r="BO25" s="150">
        <v>1</v>
      </c>
      <c r="BP25" s="150">
        <v>1.5489999999999999</v>
      </c>
      <c r="BQ25" s="150">
        <v>1.476</v>
      </c>
      <c r="BR25" s="150">
        <v>1.407</v>
      </c>
      <c r="BS25" s="150">
        <v>1.329</v>
      </c>
      <c r="BT25" s="150">
        <v>1.252</v>
      </c>
      <c r="BU25" s="150">
        <v>1.1830000000000001</v>
      </c>
      <c r="BV25" s="150">
        <v>1.115</v>
      </c>
      <c r="BW25" s="150">
        <v>1.038</v>
      </c>
      <c r="BX25" s="150">
        <v>1</v>
      </c>
      <c r="BY25" s="150">
        <v>1</v>
      </c>
      <c r="BZ25" s="150">
        <v>1</v>
      </c>
      <c r="CA25" s="150">
        <v>2.0550000000000002</v>
      </c>
      <c r="CB25" s="150">
        <v>1.9590000000000001</v>
      </c>
      <c r="CC25" s="150">
        <v>1.8680000000000001</v>
      </c>
      <c r="CD25" s="150">
        <v>1.766</v>
      </c>
      <c r="CE25" s="150">
        <v>1.6639999999999999</v>
      </c>
      <c r="CF25" s="150">
        <v>1.5740000000000001</v>
      </c>
      <c r="CG25" s="150">
        <v>1.484</v>
      </c>
      <c r="CH25" s="150">
        <v>1.3839999999999999</v>
      </c>
      <c r="CI25" s="150">
        <v>1.2909999999999999</v>
      </c>
      <c r="CJ25" s="150">
        <v>1.1919999999999999</v>
      </c>
      <c r="CK25" s="151">
        <v>1.0960000000000001</v>
      </c>
      <c r="CL25" s="150"/>
      <c r="CM25" s="150"/>
    </row>
    <row r="26" spans="1:91" x14ac:dyDescent="0.25">
      <c r="A26" s="126">
        <v>3</v>
      </c>
      <c r="B26" s="83" t="str">
        <f t="shared" si="0"/>
        <v>VDER - Value of Distributed Energy Resources</v>
      </c>
      <c r="C26" s="83" t="str">
        <f t="shared" si="1"/>
        <v>Hybrid Solar Plus Storage</v>
      </c>
      <c r="D26" s="83" t="s">
        <v>212</v>
      </c>
      <c r="E26" s="83" t="str">
        <f t="shared" si="3"/>
        <v>3 - C</v>
      </c>
      <c r="F26" s="129">
        <v>0.19950895802011934</v>
      </c>
      <c r="R26" s="111"/>
      <c r="T26" s="165"/>
      <c r="AC26" s="126">
        <v>2024</v>
      </c>
      <c r="AD26" s="125">
        <f t="shared" si="26"/>
        <v>366</v>
      </c>
      <c r="AH26" s="146">
        <v>2045</v>
      </c>
      <c r="AI26" s="149">
        <v>3.1680000000000001</v>
      </c>
      <c r="AJ26" s="150">
        <v>3.47</v>
      </c>
      <c r="AK26" s="150">
        <v>3.7709999999999999</v>
      </c>
      <c r="AL26" s="150">
        <v>4.0730000000000004</v>
      </c>
      <c r="AM26" s="150">
        <v>4.375</v>
      </c>
      <c r="AN26" s="150">
        <v>3.8919999999999999</v>
      </c>
      <c r="AO26" s="150">
        <v>3.4089999999999998</v>
      </c>
      <c r="AP26" s="150">
        <v>2.927</v>
      </c>
      <c r="AQ26" s="150">
        <v>2.444</v>
      </c>
      <c r="AR26" s="150">
        <v>1.962</v>
      </c>
      <c r="AS26" s="150">
        <v>1.4790000000000001</v>
      </c>
      <c r="AT26" s="150">
        <v>1.5680000000000001</v>
      </c>
      <c r="AU26" s="150">
        <v>1.53</v>
      </c>
      <c r="AV26" s="150">
        <v>1.4930000000000001</v>
      </c>
      <c r="AW26" s="150">
        <v>1.4550000000000001</v>
      </c>
      <c r="AX26" s="150">
        <v>1.417</v>
      </c>
      <c r="AY26" s="150">
        <v>1.379</v>
      </c>
      <c r="AZ26" s="150">
        <v>1.341</v>
      </c>
      <c r="BA26" s="150">
        <v>1.3029999999999999</v>
      </c>
      <c r="BB26" s="150">
        <v>1.2649999999999999</v>
      </c>
      <c r="BC26" s="150">
        <v>1.2270000000000001</v>
      </c>
      <c r="BD26" s="150">
        <v>1.1890000000000001</v>
      </c>
      <c r="BE26" s="150">
        <v>1.0900000000000001</v>
      </c>
      <c r="BF26" s="150">
        <v>1.081</v>
      </c>
      <c r="BG26" s="150">
        <v>1.073</v>
      </c>
      <c r="BH26" s="150">
        <v>1.0629999999999999</v>
      </c>
      <c r="BI26" s="150">
        <v>1.0529999999999999</v>
      </c>
      <c r="BJ26" s="150">
        <v>1.0449999999999999</v>
      </c>
      <c r="BK26" s="150">
        <v>1.0369999999999999</v>
      </c>
      <c r="BL26" s="150">
        <v>1.0269999999999999</v>
      </c>
      <c r="BM26" s="150">
        <v>1.0189999999999999</v>
      </c>
      <c r="BN26" s="150">
        <v>1.01</v>
      </c>
      <c r="BO26" s="150">
        <v>1.0009999999999999</v>
      </c>
      <c r="BP26" s="150">
        <v>1.5629999999999999</v>
      </c>
      <c r="BQ26" s="150">
        <v>1.49</v>
      </c>
      <c r="BR26" s="150">
        <v>1.42</v>
      </c>
      <c r="BS26" s="150">
        <v>1.343</v>
      </c>
      <c r="BT26" s="150">
        <v>1.2649999999999999</v>
      </c>
      <c r="BU26" s="150">
        <v>1.1970000000000001</v>
      </c>
      <c r="BV26" s="150">
        <v>1.1279999999999999</v>
      </c>
      <c r="BW26" s="150">
        <v>1.0509999999999999</v>
      </c>
      <c r="BX26" s="150">
        <v>1</v>
      </c>
      <c r="BY26" s="150">
        <v>1</v>
      </c>
      <c r="BZ26" s="150">
        <v>1</v>
      </c>
      <c r="CA26" s="150">
        <v>2.052</v>
      </c>
      <c r="CB26" s="150">
        <v>1.9570000000000001</v>
      </c>
      <c r="CC26" s="150">
        <v>1.867</v>
      </c>
      <c r="CD26" s="150">
        <v>1.7669999999999999</v>
      </c>
      <c r="CE26" s="150">
        <v>1.667</v>
      </c>
      <c r="CF26" s="150">
        <v>1.577</v>
      </c>
      <c r="CG26" s="150">
        <v>1.488</v>
      </c>
      <c r="CH26" s="150">
        <v>1.389</v>
      </c>
      <c r="CI26" s="150">
        <v>1.298</v>
      </c>
      <c r="CJ26" s="150">
        <v>1.2</v>
      </c>
      <c r="CK26" s="151">
        <v>1.105</v>
      </c>
      <c r="CL26" s="150"/>
      <c r="CM26" s="150"/>
    </row>
    <row r="27" spans="1:91" x14ac:dyDescent="0.25">
      <c r="A27" s="126">
        <v>3</v>
      </c>
      <c r="B27" s="83" t="str">
        <f t="shared" si="0"/>
        <v>VDER - Value of Distributed Energy Resources</v>
      </c>
      <c r="C27" s="83" t="str">
        <f t="shared" si="1"/>
        <v>Hybrid Solar Plus Storage</v>
      </c>
      <c r="D27" s="83" t="s">
        <v>215</v>
      </c>
      <c r="E27" s="83" t="str">
        <f t="shared" si="3"/>
        <v>3 - D</v>
      </c>
      <c r="F27" s="129">
        <v>0.2045460263423082</v>
      </c>
      <c r="R27" s="111"/>
      <c r="T27" s="165"/>
      <c r="AC27" s="126">
        <v>2025</v>
      </c>
      <c r="AD27" s="125">
        <f t="shared" si="26"/>
        <v>365</v>
      </c>
      <c r="AH27" s="146">
        <v>2046</v>
      </c>
      <c r="AI27" s="149">
        <v>3.1869999999999998</v>
      </c>
      <c r="AJ27" s="150">
        <v>3.4910000000000001</v>
      </c>
      <c r="AK27" s="150">
        <v>3.7949999999999999</v>
      </c>
      <c r="AL27" s="150">
        <v>4.0990000000000002</v>
      </c>
      <c r="AM27" s="150">
        <v>4.4039999999999999</v>
      </c>
      <c r="AN27" s="150">
        <v>3.9169999999999998</v>
      </c>
      <c r="AO27" s="150">
        <v>3.43</v>
      </c>
      <c r="AP27" s="150">
        <v>2.944</v>
      </c>
      <c r="AQ27" s="150">
        <v>2.4569999999999999</v>
      </c>
      <c r="AR27" s="150">
        <v>1.9710000000000001</v>
      </c>
      <c r="AS27" s="150">
        <v>1.484</v>
      </c>
      <c r="AT27" s="150">
        <v>1.5760000000000001</v>
      </c>
      <c r="AU27" s="150">
        <v>1.538</v>
      </c>
      <c r="AV27" s="150">
        <v>1.4990000000000001</v>
      </c>
      <c r="AW27" s="150">
        <v>1.4610000000000001</v>
      </c>
      <c r="AX27" s="150">
        <v>1.423</v>
      </c>
      <c r="AY27" s="150">
        <v>1.3839999999999999</v>
      </c>
      <c r="AZ27" s="150">
        <v>1.3460000000000001</v>
      </c>
      <c r="BA27" s="150">
        <v>1.3069999999999999</v>
      </c>
      <c r="BB27" s="150">
        <v>1.268</v>
      </c>
      <c r="BC27" s="150">
        <v>1.23</v>
      </c>
      <c r="BD27" s="150">
        <v>1.1910000000000001</v>
      </c>
      <c r="BE27" s="150">
        <v>1.095</v>
      </c>
      <c r="BF27" s="150">
        <v>1.0860000000000001</v>
      </c>
      <c r="BG27" s="150">
        <v>1.077</v>
      </c>
      <c r="BH27" s="150">
        <v>1.0680000000000001</v>
      </c>
      <c r="BI27" s="150">
        <v>1.0580000000000001</v>
      </c>
      <c r="BJ27" s="150">
        <v>1.0489999999999999</v>
      </c>
      <c r="BK27" s="150">
        <v>1.0409999999999999</v>
      </c>
      <c r="BL27" s="150">
        <v>1.0309999999999999</v>
      </c>
      <c r="BM27" s="150">
        <v>1.022</v>
      </c>
      <c r="BN27" s="150">
        <v>1.0129999999999999</v>
      </c>
      <c r="BO27" s="150">
        <v>1.004</v>
      </c>
      <c r="BP27" s="150">
        <v>1.5089999999999999</v>
      </c>
      <c r="BQ27" s="150">
        <v>1.44</v>
      </c>
      <c r="BR27" s="150">
        <v>1.3740000000000001</v>
      </c>
      <c r="BS27" s="150">
        <v>1.3</v>
      </c>
      <c r="BT27" s="150">
        <v>1.2270000000000001</v>
      </c>
      <c r="BU27" s="150">
        <v>1.1619999999999999</v>
      </c>
      <c r="BV27" s="150">
        <v>1.097</v>
      </c>
      <c r="BW27" s="150">
        <v>1.024</v>
      </c>
      <c r="BX27" s="150">
        <v>1</v>
      </c>
      <c r="BY27" s="150">
        <v>1</v>
      </c>
      <c r="BZ27" s="150">
        <v>1</v>
      </c>
      <c r="CA27" s="150">
        <v>2.0230000000000001</v>
      </c>
      <c r="CB27" s="150">
        <v>1.931</v>
      </c>
      <c r="CC27" s="150">
        <v>1.843</v>
      </c>
      <c r="CD27" s="150">
        <v>1.746</v>
      </c>
      <c r="CE27" s="150">
        <v>1.65</v>
      </c>
      <c r="CF27" s="150">
        <v>1.5620000000000001</v>
      </c>
      <c r="CG27" s="150">
        <v>1.4750000000000001</v>
      </c>
      <c r="CH27" s="150">
        <v>1.379</v>
      </c>
      <c r="CI27" s="150">
        <v>1.29</v>
      </c>
      <c r="CJ27" s="150">
        <v>1.196</v>
      </c>
      <c r="CK27" s="151">
        <v>1.1040000000000001</v>
      </c>
      <c r="CL27" s="150"/>
      <c r="CM27" s="150"/>
    </row>
    <row r="28" spans="1:91" x14ac:dyDescent="0.25">
      <c r="A28" s="126">
        <v>3</v>
      </c>
      <c r="B28" s="83" t="str">
        <f t="shared" si="0"/>
        <v>VDER - Value of Distributed Energy Resources</v>
      </c>
      <c r="C28" s="83" t="str">
        <f t="shared" si="1"/>
        <v>Hybrid Solar Plus Storage</v>
      </c>
      <c r="D28" s="83" t="s">
        <v>218</v>
      </c>
      <c r="E28" s="83" t="str">
        <f t="shared" si="3"/>
        <v>3 - E</v>
      </c>
      <c r="F28" s="129">
        <v>0.19950895802011934</v>
      </c>
      <c r="R28" s="111"/>
      <c r="S28" s="111"/>
      <c r="AC28" s="126">
        <v>2026</v>
      </c>
      <c r="AD28" s="125">
        <f t="shared" si="26"/>
        <v>365</v>
      </c>
      <c r="AH28" s="146">
        <v>2047</v>
      </c>
      <c r="AI28" s="149">
        <v>3.1640000000000001</v>
      </c>
      <c r="AJ28" s="150">
        <v>3.4649999999999999</v>
      </c>
      <c r="AK28" s="150">
        <v>3.7650000000000001</v>
      </c>
      <c r="AL28" s="150">
        <v>4.0659999999999998</v>
      </c>
      <c r="AM28" s="150">
        <v>4.367</v>
      </c>
      <c r="AN28" s="150">
        <v>3.8860000000000001</v>
      </c>
      <c r="AO28" s="150">
        <v>3.4039999999999999</v>
      </c>
      <c r="AP28" s="150">
        <v>2.923</v>
      </c>
      <c r="AQ28" s="150">
        <v>2.4420000000000002</v>
      </c>
      <c r="AR28" s="150">
        <v>1.96</v>
      </c>
      <c r="AS28" s="150">
        <v>1.4790000000000001</v>
      </c>
      <c r="AT28" s="150">
        <v>1.593</v>
      </c>
      <c r="AU28" s="150">
        <v>1.554</v>
      </c>
      <c r="AV28" s="150">
        <v>1.514</v>
      </c>
      <c r="AW28" s="150">
        <v>1.4750000000000001</v>
      </c>
      <c r="AX28" s="150">
        <v>1.4350000000000001</v>
      </c>
      <c r="AY28" s="150">
        <v>1.3959999999999999</v>
      </c>
      <c r="AZ28" s="150">
        <v>1.3560000000000001</v>
      </c>
      <c r="BA28" s="150">
        <v>1.3160000000000001</v>
      </c>
      <c r="BB28" s="150">
        <v>1.276</v>
      </c>
      <c r="BC28" s="150">
        <v>1.236</v>
      </c>
      <c r="BD28" s="150">
        <v>1.196</v>
      </c>
      <c r="BE28" s="150">
        <v>1.085</v>
      </c>
      <c r="BF28" s="150">
        <v>1.0760000000000001</v>
      </c>
      <c r="BG28" s="150">
        <v>1.069</v>
      </c>
      <c r="BH28" s="150">
        <v>1.0589999999999999</v>
      </c>
      <c r="BI28" s="150">
        <v>1.05</v>
      </c>
      <c r="BJ28" s="150">
        <v>1.042</v>
      </c>
      <c r="BK28" s="150">
        <v>1.0349999999999999</v>
      </c>
      <c r="BL28" s="150">
        <v>1.026</v>
      </c>
      <c r="BM28" s="150">
        <v>1.0169999999999999</v>
      </c>
      <c r="BN28" s="150">
        <v>1.0089999999999999</v>
      </c>
      <c r="BO28" s="150">
        <v>1</v>
      </c>
      <c r="BP28" s="150">
        <v>1.526</v>
      </c>
      <c r="BQ28" s="150">
        <v>1.4550000000000001</v>
      </c>
      <c r="BR28" s="150">
        <v>1.3859999999999999</v>
      </c>
      <c r="BS28" s="150">
        <v>1.31</v>
      </c>
      <c r="BT28" s="150">
        <v>1.234</v>
      </c>
      <c r="BU28" s="150">
        <v>1.1659999999999999</v>
      </c>
      <c r="BV28" s="150">
        <v>1.0980000000000001</v>
      </c>
      <c r="BW28" s="150">
        <v>1.0229999999999999</v>
      </c>
      <c r="BX28" s="150">
        <v>1</v>
      </c>
      <c r="BY28" s="150">
        <v>1</v>
      </c>
      <c r="BZ28" s="150">
        <v>1</v>
      </c>
      <c r="CA28" s="150">
        <v>2.056</v>
      </c>
      <c r="CB28" s="150">
        <v>1.9610000000000001</v>
      </c>
      <c r="CC28" s="150">
        <v>1.87</v>
      </c>
      <c r="CD28" s="150">
        <v>1.768</v>
      </c>
      <c r="CE28" s="150">
        <v>1.6659999999999999</v>
      </c>
      <c r="CF28" s="150">
        <v>1.5760000000000001</v>
      </c>
      <c r="CG28" s="150">
        <v>1.486</v>
      </c>
      <c r="CH28" s="150">
        <v>1.3859999999999999</v>
      </c>
      <c r="CI28" s="150">
        <v>1.2929999999999999</v>
      </c>
      <c r="CJ28" s="150">
        <v>1.194</v>
      </c>
      <c r="CK28" s="151">
        <v>1.0980000000000001</v>
      </c>
      <c r="CL28" s="150"/>
      <c r="CM28" s="150"/>
    </row>
    <row r="29" spans="1:91" x14ac:dyDescent="0.25">
      <c r="A29" s="126">
        <v>3</v>
      </c>
      <c r="B29" s="83" t="str">
        <f t="shared" si="0"/>
        <v>VDER - Value of Distributed Energy Resources</v>
      </c>
      <c r="C29" s="83" t="str">
        <f t="shared" si="1"/>
        <v>Hybrid Solar Plus Storage</v>
      </c>
      <c r="D29" s="83" t="s">
        <v>221</v>
      </c>
      <c r="E29" s="83" t="str">
        <f t="shared" si="3"/>
        <v>3 - F</v>
      </c>
      <c r="F29" s="129">
        <v>0.2095294751629842</v>
      </c>
      <c r="AC29" s="126">
        <v>2027</v>
      </c>
      <c r="AD29" s="125">
        <f t="shared" si="26"/>
        <v>365</v>
      </c>
      <c r="AH29" s="146">
        <v>2048</v>
      </c>
      <c r="AI29" s="149">
        <v>3.153</v>
      </c>
      <c r="AJ29" s="150">
        <v>3.452</v>
      </c>
      <c r="AK29" s="150">
        <v>3.7519999999999998</v>
      </c>
      <c r="AL29" s="150">
        <v>4.0510000000000002</v>
      </c>
      <c r="AM29" s="150">
        <v>4.3499999999999996</v>
      </c>
      <c r="AN29" s="150">
        <v>3.871</v>
      </c>
      <c r="AO29" s="150">
        <v>3.3919999999999999</v>
      </c>
      <c r="AP29" s="150">
        <v>2.9140000000000001</v>
      </c>
      <c r="AQ29" s="150">
        <v>2.4350000000000001</v>
      </c>
      <c r="AR29" s="150">
        <v>1.956</v>
      </c>
      <c r="AS29" s="150">
        <v>1.4770000000000001</v>
      </c>
      <c r="AT29" s="150">
        <v>1.581</v>
      </c>
      <c r="AU29" s="150">
        <v>1.5429999999999999</v>
      </c>
      <c r="AV29" s="150">
        <v>1.504</v>
      </c>
      <c r="AW29" s="150">
        <v>1.466</v>
      </c>
      <c r="AX29" s="150">
        <v>1.427</v>
      </c>
      <c r="AY29" s="150">
        <v>1.3879999999999999</v>
      </c>
      <c r="AZ29" s="150">
        <v>1.349</v>
      </c>
      <c r="BA29" s="150">
        <v>1.31</v>
      </c>
      <c r="BB29" s="150">
        <v>1.2709999999999999</v>
      </c>
      <c r="BC29" s="150">
        <v>1.232</v>
      </c>
      <c r="BD29" s="150">
        <v>1.1930000000000001</v>
      </c>
      <c r="BE29" s="150">
        <v>1.0840000000000001</v>
      </c>
      <c r="BF29" s="150">
        <v>1.075</v>
      </c>
      <c r="BG29" s="150">
        <v>1.0680000000000001</v>
      </c>
      <c r="BH29" s="150">
        <v>1.0580000000000001</v>
      </c>
      <c r="BI29" s="150">
        <v>1.048</v>
      </c>
      <c r="BJ29" s="150">
        <v>1.0409999999999999</v>
      </c>
      <c r="BK29" s="150">
        <v>1.0329999999999999</v>
      </c>
      <c r="BL29" s="150">
        <v>1.024</v>
      </c>
      <c r="BM29" s="150">
        <v>1.0149999999999999</v>
      </c>
      <c r="BN29" s="150">
        <v>1.006</v>
      </c>
      <c r="BO29" s="150">
        <v>1</v>
      </c>
      <c r="BP29" s="150">
        <v>1.5229999999999999</v>
      </c>
      <c r="BQ29" s="150">
        <v>1.4530000000000001</v>
      </c>
      <c r="BR29" s="150">
        <v>1.385</v>
      </c>
      <c r="BS29" s="150">
        <v>1.31</v>
      </c>
      <c r="BT29" s="150">
        <v>1.2350000000000001</v>
      </c>
      <c r="BU29" s="150">
        <v>1.169</v>
      </c>
      <c r="BV29" s="150">
        <v>1.1020000000000001</v>
      </c>
      <c r="BW29" s="150">
        <v>1.028</v>
      </c>
      <c r="BX29" s="150">
        <v>1</v>
      </c>
      <c r="BY29" s="150">
        <v>1</v>
      </c>
      <c r="BZ29" s="150">
        <v>1</v>
      </c>
      <c r="CA29" s="150">
        <v>2.0369999999999999</v>
      </c>
      <c r="CB29" s="150">
        <v>1.9450000000000001</v>
      </c>
      <c r="CC29" s="150">
        <v>1.8560000000000001</v>
      </c>
      <c r="CD29" s="150">
        <v>1.76</v>
      </c>
      <c r="CE29" s="150">
        <v>1.663</v>
      </c>
      <c r="CF29" s="150">
        <v>1.575</v>
      </c>
      <c r="CG29" s="150">
        <v>1.4870000000000001</v>
      </c>
      <c r="CH29" s="150">
        <v>1.3919999999999999</v>
      </c>
      <c r="CI29" s="150">
        <v>1.302</v>
      </c>
      <c r="CJ29" s="150">
        <v>1.2070000000000001</v>
      </c>
      <c r="CK29" s="151">
        <v>1.115</v>
      </c>
      <c r="CL29" s="150"/>
      <c r="CM29" s="150"/>
    </row>
    <row r="30" spans="1:91" x14ac:dyDescent="0.25">
      <c r="A30" s="126">
        <v>3</v>
      </c>
      <c r="B30" s="83" t="str">
        <f t="shared" si="0"/>
        <v>VDER - Value of Distributed Energy Resources</v>
      </c>
      <c r="C30" s="83" t="str">
        <f t="shared" si="1"/>
        <v>Hybrid Solar Plus Storage</v>
      </c>
      <c r="D30" s="83" t="s">
        <v>223</v>
      </c>
      <c r="E30" s="83" t="str">
        <f t="shared" si="3"/>
        <v>3 - G</v>
      </c>
      <c r="F30" s="129">
        <v>0.2128821557777667</v>
      </c>
      <c r="AC30" s="126">
        <v>2028</v>
      </c>
      <c r="AD30" s="125">
        <f t="shared" si="26"/>
        <v>366</v>
      </c>
      <c r="AH30" s="146">
        <v>2049</v>
      </c>
      <c r="AI30" s="149">
        <v>3.1579999999999999</v>
      </c>
      <c r="AJ30" s="150">
        <v>3.4580000000000002</v>
      </c>
      <c r="AK30" s="150">
        <v>3.758</v>
      </c>
      <c r="AL30" s="150">
        <v>4.0590000000000002</v>
      </c>
      <c r="AM30" s="150">
        <v>4.359</v>
      </c>
      <c r="AN30" s="150">
        <v>3.8780000000000001</v>
      </c>
      <c r="AO30" s="150">
        <v>3.3980000000000001</v>
      </c>
      <c r="AP30" s="150">
        <v>2.9169999999999998</v>
      </c>
      <c r="AQ30" s="150">
        <v>2.4369999999999998</v>
      </c>
      <c r="AR30" s="150">
        <v>1.956</v>
      </c>
      <c r="AS30" s="150">
        <v>1.476</v>
      </c>
      <c r="AT30" s="150">
        <v>1.5920000000000001</v>
      </c>
      <c r="AU30" s="150">
        <v>1.5529999999999999</v>
      </c>
      <c r="AV30" s="150">
        <v>1.514</v>
      </c>
      <c r="AW30" s="150">
        <v>1.476</v>
      </c>
      <c r="AX30" s="150">
        <v>1.4370000000000001</v>
      </c>
      <c r="AY30" s="150">
        <v>1.3979999999999999</v>
      </c>
      <c r="AZ30" s="150">
        <v>1.359</v>
      </c>
      <c r="BA30" s="150">
        <v>1.319</v>
      </c>
      <c r="BB30" s="150">
        <v>1.28</v>
      </c>
      <c r="BC30" s="150">
        <v>1.2410000000000001</v>
      </c>
      <c r="BD30" s="150">
        <v>1.202</v>
      </c>
      <c r="BE30" s="150">
        <v>1.0760000000000001</v>
      </c>
      <c r="BF30" s="150">
        <v>1.069</v>
      </c>
      <c r="BG30" s="150">
        <v>1.0609999999999999</v>
      </c>
      <c r="BH30" s="150">
        <v>1.0529999999999999</v>
      </c>
      <c r="BI30" s="150">
        <v>1.0449999999999999</v>
      </c>
      <c r="BJ30" s="150">
        <v>1.038</v>
      </c>
      <c r="BK30" s="150">
        <v>1.0309999999999999</v>
      </c>
      <c r="BL30" s="150">
        <v>1.0229999999999999</v>
      </c>
      <c r="BM30" s="150">
        <v>1.0149999999999999</v>
      </c>
      <c r="BN30" s="150">
        <v>1.0069999999999999</v>
      </c>
      <c r="BO30" s="150">
        <v>1</v>
      </c>
      <c r="BP30" s="150">
        <v>1.5229999999999999</v>
      </c>
      <c r="BQ30" s="150">
        <v>1.452</v>
      </c>
      <c r="BR30" s="150">
        <v>1.3839999999999999</v>
      </c>
      <c r="BS30" s="150">
        <v>1.31</v>
      </c>
      <c r="BT30" s="150">
        <v>1.236</v>
      </c>
      <c r="BU30" s="150">
        <v>1.169</v>
      </c>
      <c r="BV30" s="150">
        <v>1.101</v>
      </c>
      <c r="BW30" s="150">
        <v>1.028</v>
      </c>
      <c r="BX30" s="150">
        <v>1</v>
      </c>
      <c r="BY30" s="150">
        <v>1</v>
      </c>
      <c r="BZ30" s="150">
        <v>1</v>
      </c>
      <c r="CA30" s="150">
        <v>2.0390000000000001</v>
      </c>
      <c r="CB30" s="150">
        <v>1.946</v>
      </c>
      <c r="CC30" s="150">
        <v>1.8560000000000001</v>
      </c>
      <c r="CD30" s="150">
        <v>1.758</v>
      </c>
      <c r="CE30" s="150">
        <v>1.66</v>
      </c>
      <c r="CF30" s="150">
        <v>1.571</v>
      </c>
      <c r="CG30" s="150">
        <v>1.482</v>
      </c>
      <c r="CH30" s="150">
        <v>1.385</v>
      </c>
      <c r="CI30" s="150">
        <v>1.294</v>
      </c>
      <c r="CJ30" s="150">
        <v>1.198</v>
      </c>
      <c r="CK30" s="151">
        <v>1.105</v>
      </c>
      <c r="CL30" s="150"/>
      <c r="CM30" s="150"/>
    </row>
    <row r="31" spans="1:91" x14ac:dyDescent="0.25">
      <c r="A31" s="126">
        <v>3</v>
      </c>
      <c r="B31" s="83" t="str">
        <f t="shared" si="0"/>
        <v>VDER - Value of Distributed Energy Resources</v>
      </c>
      <c r="C31" s="83" t="str">
        <f t="shared" si="1"/>
        <v>Hybrid Solar Plus Storage</v>
      </c>
      <c r="D31" s="83" t="s">
        <v>225</v>
      </c>
      <c r="E31" s="83" t="str">
        <f t="shared" si="3"/>
        <v>3 - H</v>
      </c>
      <c r="F31" s="129">
        <v>0.21623483639254928</v>
      </c>
      <c r="AC31" s="126">
        <v>2029</v>
      </c>
      <c r="AD31" s="125">
        <f t="shared" si="26"/>
        <v>365</v>
      </c>
      <c r="AH31" s="181">
        <v>2050</v>
      </c>
      <c r="AI31" s="182">
        <v>3.2090000000000001</v>
      </c>
      <c r="AJ31" s="183">
        <v>3.516</v>
      </c>
      <c r="AK31" s="183">
        <v>3.823</v>
      </c>
      <c r="AL31" s="183">
        <v>4.13</v>
      </c>
      <c r="AM31" s="183">
        <v>4.4379999999999997</v>
      </c>
      <c r="AN31" s="183">
        <v>3.9460000000000002</v>
      </c>
      <c r="AO31" s="183">
        <v>3.4540000000000002</v>
      </c>
      <c r="AP31" s="183">
        <v>2.9630000000000001</v>
      </c>
      <c r="AQ31" s="183">
        <v>2.4710000000000001</v>
      </c>
      <c r="AR31" s="183">
        <v>1.98</v>
      </c>
      <c r="AS31" s="183">
        <v>1.488</v>
      </c>
      <c r="AT31" s="183">
        <v>1.589</v>
      </c>
      <c r="AU31" s="183">
        <v>1.55</v>
      </c>
      <c r="AV31" s="183">
        <v>1.512</v>
      </c>
      <c r="AW31" s="183">
        <v>1.4730000000000001</v>
      </c>
      <c r="AX31" s="183">
        <v>1.4350000000000001</v>
      </c>
      <c r="AY31" s="183">
        <v>1.3959999999999999</v>
      </c>
      <c r="AZ31" s="183">
        <v>1.357</v>
      </c>
      <c r="BA31" s="183">
        <v>1.3180000000000001</v>
      </c>
      <c r="BB31" s="183">
        <v>1.2789999999999999</v>
      </c>
      <c r="BC31" s="183">
        <v>1.24</v>
      </c>
      <c r="BD31" s="183">
        <v>1.2010000000000001</v>
      </c>
      <c r="BE31" s="183">
        <v>1.0840000000000001</v>
      </c>
      <c r="BF31" s="183">
        <v>1.0760000000000001</v>
      </c>
      <c r="BG31" s="183">
        <v>1.0680000000000001</v>
      </c>
      <c r="BH31" s="183">
        <v>1.0589999999999999</v>
      </c>
      <c r="BI31" s="183">
        <v>1.05</v>
      </c>
      <c r="BJ31" s="183">
        <v>1.0429999999999999</v>
      </c>
      <c r="BK31" s="183">
        <v>1.0349999999999999</v>
      </c>
      <c r="BL31" s="183">
        <v>1.026</v>
      </c>
      <c r="BM31" s="183">
        <v>1.018</v>
      </c>
      <c r="BN31" s="183">
        <v>1.0089999999999999</v>
      </c>
      <c r="BO31" s="183">
        <v>1.0009999999999999</v>
      </c>
      <c r="BP31" s="183">
        <v>1.5620000000000001</v>
      </c>
      <c r="BQ31" s="183">
        <v>1.4890000000000001</v>
      </c>
      <c r="BR31" s="183">
        <v>1.419</v>
      </c>
      <c r="BS31" s="183">
        <v>1.343</v>
      </c>
      <c r="BT31" s="183">
        <v>1.2669999999999999</v>
      </c>
      <c r="BU31" s="183">
        <v>1.198</v>
      </c>
      <c r="BV31" s="183">
        <v>1.1279999999999999</v>
      </c>
      <c r="BW31" s="183">
        <v>1.0529999999999999</v>
      </c>
      <c r="BX31" s="183">
        <v>1</v>
      </c>
      <c r="BY31" s="183">
        <v>1</v>
      </c>
      <c r="BZ31" s="183">
        <v>1</v>
      </c>
      <c r="CA31" s="183">
        <v>2.028</v>
      </c>
      <c r="CB31" s="183">
        <v>1.9370000000000001</v>
      </c>
      <c r="CC31" s="183">
        <v>1.847</v>
      </c>
      <c r="CD31" s="183">
        <v>1.752</v>
      </c>
      <c r="CE31" s="183">
        <v>1.657</v>
      </c>
      <c r="CF31" s="183">
        <v>1.5680000000000001</v>
      </c>
      <c r="CG31" s="183">
        <v>1.4790000000000001</v>
      </c>
      <c r="CH31" s="183">
        <v>1.385</v>
      </c>
      <c r="CI31" s="183">
        <v>1.2949999999999999</v>
      </c>
      <c r="CJ31" s="183">
        <v>1.2010000000000001</v>
      </c>
      <c r="CK31" s="184">
        <v>1.109</v>
      </c>
      <c r="CL31" s="150"/>
      <c r="CM31" s="150"/>
    </row>
    <row r="32" spans="1:91" x14ac:dyDescent="0.25">
      <c r="A32" s="126">
        <v>3</v>
      </c>
      <c r="B32" s="83" t="str">
        <f t="shared" si="0"/>
        <v>VDER - Value of Distributed Energy Resources</v>
      </c>
      <c r="C32" s="83" t="str">
        <f t="shared" si="1"/>
        <v>Hybrid Solar Plus Storage</v>
      </c>
      <c r="D32" s="83" t="s">
        <v>228</v>
      </c>
      <c r="E32" s="83" t="str">
        <f t="shared" si="3"/>
        <v>3 - I</v>
      </c>
      <c r="F32" s="129">
        <v>0.21623483639254928</v>
      </c>
      <c r="AC32" s="126">
        <v>2030</v>
      </c>
      <c r="AD32" s="125">
        <f t="shared" si="26"/>
        <v>365</v>
      </c>
    </row>
    <row r="33" spans="1:30" x14ac:dyDescent="0.25">
      <c r="A33" s="126">
        <v>3</v>
      </c>
      <c r="B33" s="83" t="str">
        <f t="shared" si="0"/>
        <v>VDER - Value of Distributed Energy Resources</v>
      </c>
      <c r="C33" s="83" t="str">
        <f t="shared" si="1"/>
        <v>Hybrid Solar Plus Storage</v>
      </c>
      <c r="D33" s="83" t="s">
        <v>232</v>
      </c>
      <c r="E33" s="83" t="str">
        <f t="shared" si="3"/>
        <v>3 - J</v>
      </c>
      <c r="F33" s="129">
        <v>0.21623483639254928</v>
      </c>
      <c r="AC33" s="126">
        <v>2031</v>
      </c>
      <c r="AD33" s="125">
        <f t="shared" si="26"/>
        <v>365</v>
      </c>
    </row>
    <row r="34" spans="1:30" x14ac:dyDescent="0.25">
      <c r="A34" s="162">
        <v>3</v>
      </c>
      <c r="B34" s="153" t="str">
        <f t="shared" ref="B34:B65" si="27">INDEX(W$2:W$9,MATCH($A34,$V$2:$V$9,0))</f>
        <v>VDER - Value of Distributed Energy Resources</v>
      </c>
      <c r="C34" s="153" t="str">
        <f t="shared" ref="C34:C65" si="28">INDEX(X$2:X$9,MATCH($A34,$V$2:$V$9,0))</f>
        <v>Hybrid Solar Plus Storage</v>
      </c>
      <c r="D34" s="153" t="s">
        <v>239</v>
      </c>
      <c r="E34" s="153" t="str">
        <f t="shared" si="3"/>
        <v>3 - K</v>
      </c>
      <c r="F34" s="163">
        <v>0.22963040057423109</v>
      </c>
      <c r="AC34" s="126">
        <v>2032</v>
      </c>
      <c r="AD34" s="125">
        <f t="shared" si="26"/>
        <v>366</v>
      </c>
    </row>
    <row r="35" spans="1:30" x14ac:dyDescent="0.25">
      <c r="A35" s="108">
        <v>4</v>
      </c>
      <c r="B35" s="109" t="str">
        <f t="shared" si="27"/>
        <v>NEM - Net Energy Metering</v>
      </c>
      <c r="C35" s="109" t="str">
        <f t="shared" si="28"/>
        <v>Solar - Fixed</v>
      </c>
      <c r="D35" s="109" t="s">
        <v>207</v>
      </c>
      <c r="E35" s="109" t="str">
        <f t="shared" si="3"/>
        <v>4 - Central Hudson</v>
      </c>
      <c r="F35" s="129">
        <v>0.19209999999999999</v>
      </c>
      <c r="AC35" s="126">
        <v>2033</v>
      </c>
      <c r="AD35" s="125">
        <f t="shared" si="26"/>
        <v>365</v>
      </c>
    </row>
    <row r="36" spans="1:30" x14ac:dyDescent="0.25">
      <c r="A36" s="126">
        <v>4</v>
      </c>
      <c r="B36" s="83" t="str">
        <f t="shared" si="27"/>
        <v>NEM - Net Energy Metering</v>
      </c>
      <c r="C36" s="83" t="str">
        <f t="shared" si="28"/>
        <v>Solar - Fixed</v>
      </c>
      <c r="D36" s="83" t="s">
        <v>244</v>
      </c>
      <c r="E36" s="83" t="str">
        <f t="shared" si="3"/>
        <v xml:space="preserve">4 - ConEd NYC </v>
      </c>
      <c r="F36" s="129">
        <v>0.19400000000000001</v>
      </c>
      <c r="AC36" s="126">
        <v>2034</v>
      </c>
      <c r="AD36" s="125">
        <f t="shared" si="2"/>
        <v>365</v>
      </c>
    </row>
    <row r="37" spans="1:30" x14ac:dyDescent="0.25">
      <c r="A37" s="126">
        <v>4</v>
      </c>
      <c r="B37" s="83" t="str">
        <f t="shared" si="27"/>
        <v>NEM - Net Energy Metering</v>
      </c>
      <c r="C37" s="83" t="str">
        <f t="shared" si="28"/>
        <v>Solar - Fixed</v>
      </c>
      <c r="D37" s="83" t="s">
        <v>245</v>
      </c>
      <c r="E37" s="83" t="str">
        <f t="shared" si="3"/>
        <v>4 - ConEd West</v>
      </c>
      <c r="F37" s="129">
        <v>0.19400000000000001</v>
      </c>
      <c r="AC37" s="126">
        <v>2035</v>
      </c>
      <c r="AD37" s="125">
        <f t="shared" si="2"/>
        <v>365</v>
      </c>
    </row>
    <row r="38" spans="1:30" x14ac:dyDescent="0.25">
      <c r="A38" s="126">
        <v>4</v>
      </c>
      <c r="B38" s="83" t="str">
        <f t="shared" si="27"/>
        <v>NEM - Net Energy Metering</v>
      </c>
      <c r="C38" s="83" t="str">
        <f t="shared" si="28"/>
        <v>Solar - Fixed</v>
      </c>
      <c r="D38" s="83" t="s">
        <v>31</v>
      </c>
      <c r="E38" s="83" t="str">
        <f t="shared" si="3"/>
        <v>4 - National Grid</v>
      </c>
      <c r="F38" s="129">
        <v>0.18609999999999999</v>
      </c>
      <c r="AC38" s="126">
        <v>2036</v>
      </c>
      <c r="AD38" s="125">
        <f t="shared" si="2"/>
        <v>366</v>
      </c>
    </row>
    <row r="39" spans="1:30" x14ac:dyDescent="0.25">
      <c r="A39" s="126">
        <v>4</v>
      </c>
      <c r="B39" s="83" t="str">
        <f t="shared" si="27"/>
        <v>NEM - Net Energy Metering</v>
      </c>
      <c r="C39" s="83" t="str">
        <f t="shared" si="28"/>
        <v>Solar - Fixed</v>
      </c>
      <c r="D39" s="83" t="s">
        <v>21</v>
      </c>
      <c r="E39" s="83" t="str">
        <f t="shared" si="3"/>
        <v>4 - NYSEG</v>
      </c>
      <c r="F39" s="129">
        <v>0.1832</v>
      </c>
      <c r="AC39" s="126">
        <v>2037</v>
      </c>
      <c r="AD39" s="125">
        <f t="shared" si="2"/>
        <v>365</v>
      </c>
    </row>
    <row r="40" spans="1:30" x14ac:dyDescent="0.25">
      <c r="A40" s="126">
        <v>4</v>
      </c>
      <c r="B40" s="83" t="str">
        <f t="shared" si="27"/>
        <v>NEM - Net Energy Metering</v>
      </c>
      <c r="C40" s="83" t="str">
        <f t="shared" si="28"/>
        <v>Solar - Fixed</v>
      </c>
      <c r="D40" s="83" t="s">
        <v>226</v>
      </c>
      <c r="E40" s="83" t="str">
        <f t="shared" si="3"/>
        <v>4 - Orange &amp; Rockland</v>
      </c>
      <c r="F40" s="129">
        <v>0.19209999999999999</v>
      </c>
      <c r="AC40" s="126">
        <v>2038</v>
      </c>
      <c r="AD40" s="125">
        <f t="shared" si="2"/>
        <v>365</v>
      </c>
    </row>
    <row r="41" spans="1:30" x14ac:dyDescent="0.25">
      <c r="A41" s="126">
        <v>4</v>
      </c>
      <c r="B41" s="83" t="str">
        <f t="shared" si="27"/>
        <v>NEM - Net Energy Metering</v>
      </c>
      <c r="C41" s="83" t="str">
        <f t="shared" si="28"/>
        <v>Solar - Fixed</v>
      </c>
      <c r="D41" s="83" t="s">
        <v>230</v>
      </c>
      <c r="E41" s="83" t="str">
        <f t="shared" si="3"/>
        <v>4 - PSEG Long Island</v>
      </c>
      <c r="F41" s="129">
        <v>0.20610000000000001</v>
      </c>
      <c r="AC41" s="126">
        <v>2039</v>
      </c>
      <c r="AD41" s="125">
        <f t="shared" si="2"/>
        <v>365</v>
      </c>
    </row>
    <row r="42" spans="1:30" x14ac:dyDescent="0.25">
      <c r="A42" s="126">
        <v>4</v>
      </c>
      <c r="B42" s="83" t="str">
        <f t="shared" si="27"/>
        <v>NEM - Net Energy Metering</v>
      </c>
      <c r="C42" s="83" t="str">
        <f t="shared" si="28"/>
        <v>Solar - Fixed</v>
      </c>
      <c r="D42" s="153" t="s">
        <v>237</v>
      </c>
      <c r="E42" s="83" t="str">
        <f t="shared" si="3"/>
        <v>4 - RGE</v>
      </c>
      <c r="F42" s="163">
        <v>0.17369999999999999</v>
      </c>
      <c r="AC42" s="126">
        <v>2040</v>
      </c>
      <c r="AD42" s="125">
        <f t="shared" si="2"/>
        <v>366</v>
      </c>
    </row>
    <row r="43" spans="1:30" x14ac:dyDescent="0.25">
      <c r="A43" s="108">
        <v>5</v>
      </c>
      <c r="B43" s="109" t="str">
        <f t="shared" si="27"/>
        <v>Tier 1</v>
      </c>
      <c r="C43" s="109" t="str">
        <f t="shared" si="28"/>
        <v>Solar - Tracking</v>
      </c>
      <c r="D43" s="109" t="s">
        <v>206</v>
      </c>
      <c r="E43" s="109" t="str">
        <f t="shared" ref="E43:E76" si="29">A43&amp;" - "&amp;D43</f>
        <v>5 - A</v>
      </c>
      <c r="F43" s="121">
        <v>0.23339684815097766</v>
      </c>
      <c r="AC43" s="126">
        <v>2041</v>
      </c>
      <c r="AD43" s="125">
        <f t="shared" si="2"/>
        <v>365</v>
      </c>
    </row>
    <row r="44" spans="1:30" x14ac:dyDescent="0.25">
      <c r="A44" s="126">
        <v>5</v>
      </c>
      <c r="B44" s="83" t="str">
        <f t="shared" si="27"/>
        <v>Tier 1</v>
      </c>
      <c r="C44" s="83" t="str">
        <f t="shared" si="28"/>
        <v>Solar - Tracking</v>
      </c>
      <c r="D44" s="83" t="s">
        <v>208</v>
      </c>
      <c r="E44" s="83" t="str">
        <f t="shared" si="29"/>
        <v>5 - B</v>
      </c>
      <c r="F44" s="129">
        <v>0.23987652643201832</v>
      </c>
      <c r="AC44" s="126">
        <v>2042</v>
      </c>
      <c r="AD44" s="125">
        <f t="shared" si="2"/>
        <v>365</v>
      </c>
    </row>
    <row r="45" spans="1:30" x14ac:dyDescent="0.25">
      <c r="A45" s="126">
        <v>5</v>
      </c>
      <c r="B45" s="83" t="str">
        <f t="shared" si="27"/>
        <v>Tier 1</v>
      </c>
      <c r="C45" s="83" t="str">
        <f t="shared" si="28"/>
        <v>Solar - Tracking</v>
      </c>
      <c r="D45" s="83" t="s">
        <v>212</v>
      </c>
      <c r="E45" s="83" t="str">
        <f t="shared" si="29"/>
        <v>5 - C</v>
      </c>
      <c r="F45" s="129">
        <v>0.22456364081777536</v>
      </c>
      <c r="AC45" s="126">
        <v>2043</v>
      </c>
      <c r="AD45" s="125">
        <f t="shared" si="2"/>
        <v>365</v>
      </c>
    </row>
    <row r="46" spans="1:30" x14ac:dyDescent="0.25">
      <c r="A46" s="126">
        <v>5</v>
      </c>
      <c r="B46" s="83" t="str">
        <f t="shared" si="27"/>
        <v>Tier 1</v>
      </c>
      <c r="C46" s="83" t="str">
        <f t="shared" si="28"/>
        <v>Solar - Tracking</v>
      </c>
      <c r="D46" s="83" t="s">
        <v>215</v>
      </c>
      <c r="E46" s="83" t="str">
        <f t="shared" si="29"/>
        <v>5 - D</v>
      </c>
      <c r="F46" s="129">
        <v>0.2209892292436493</v>
      </c>
      <c r="AC46" s="126">
        <v>2044</v>
      </c>
      <c r="AD46" s="125">
        <f t="shared" si="2"/>
        <v>366</v>
      </c>
    </row>
    <row r="47" spans="1:30" x14ac:dyDescent="0.25">
      <c r="A47" s="126">
        <v>5</v>
      </c>
      <c r="B47" s="83" t="str">
        <f t="shared" si="27"/>
        <v>Tier 1</v>
      </c>
      <c r="C47" s="83" t="str">
        <f t="shared" si="28"/>
        <v>Solar - Tracking</v>
      </c>
      <c r="D47" s="83" t="s">
        <v>218</v>
      </c>
      <c r="E47" s="83" t="str">
        <f t="shared" si="29"/>
        <v>5 - E</v>
      </c>
      <c r="F47" s="129">
        <v>0.2209892292436493</v>
      </c>
      <c r="AC47" s="126">
        <v>2045</v>
      </c>
      <c r="AD47" s="125">
        <f t="shared" si="2"/>
        <v>365</v>
      </c>
    </row>
    <row r="48" spans="1:30" x14ac:dyDescent="0.25">
      <c r="A48" s="126">
        <v>5</v>
      </c>
      <c r="B48" s="83" t="str">
        <f t="shared" si="27"/>
        <v>Tier 1</v>
      </c>
      <c r="C48" s="83" t="str">
        <f t="shared" si="28"/>
        <v>Solar - Tracking</v>
      </c>
      <c r="D48" s="83" t="s">
        <v>221</v>
      </c>
      <c r="E48" s="83" t="str">
        <f t="shared" si="29"/>
        <v>5 - F</v>
      </c>
      <c r="F48" s="129">
        <v>0.22346593470602444</v>
      </c>
      <c r="AC48" s="126">
        <v>2046</v>
      </c>
      <c r="AD48" s="125">
        <f t="shared" si="2"/>
        <v>365</v>
      </c>
    </row>
    <row r="49" spans="1:30" x14ac:dyDescent="0.25">
      <c r="A49" s="126">
        <v>5</v>
      </c>
      <c r="B49" s="83" t="str">
        <f t="shared" si="27"/>
        <v>Tier 1</v>
      </c>
      <c r="C49" s="83" t="str">
        <f t="shared" si="28"/>
        <v>Solar - Tracking</v>
      </c>
      <c r="D49" s="83" t="s">
        <v>223</v>
      </c>
      <c r="E49" s="83" t="str">
        <f t="shared" si="29"/>
        <v>5 - G</v>
      </c>
      <c r="F49" s="129">
        <v>0.20998756314857955</v>
      </c>
      <c r="AC49" s="126">
        <v>2047</v>
      </c>
      <c r="AD49" s="125">
        <f t="shared" si="2"/>
        <v>365</v>
      </c>
    </row>
    <row r="50" spans="1:30" x14ac:dyDescent="0.25">
      <c r="A50" s="126">
        <v>5</v>
      </c>
      <c r="B50" s="83" t="str">
        <f t="shared" si="27"/>
        <v>Tier 1</v>
      </c>
      <c r="C50" s="83" t="str">
        <f t="shared" si="28"/>
        <v>Solar - Tracking</v>
      </c>
      <c r="D50" s="83" t="s">
        <v>225</v>
      </c>
      <c r="E50" s="83" t="str">
        <f t="shared" si="29"/>
        <v>5 - H</v>
      </c>
      <c r="F50" s="129">
        <v>0.20998756314857955</v>
      </c>
      <c r="AC50" s="126">
        <v>2048</v>
      </c>
      <c r="AD50" s="125">
        <f t="shared" si="2"/>
        <v>366</v>
      </c>
    </row>
    <row r="51" spans="1:30" x14ac:dyDescent="0.25">
      <c r="A51" s="126">
        <v>5</v>
      </c>
      <c r="B51" s="83" t="str">
        <f t="shared" si="27"/>
        <v>Tier 1</v>
      </c>
      <c r="C51" s="83" t="str">
        <f t="shared" si="28"/>
        <v>Solar - Tracking</v>
      </c>
      <c r="D51" s="83" t="s">
        <v>228</v>
      </c>
      <c r="E51" s="83" t="str">
        <f t="shared" si="29"/>
        <v>5 - I</v>
      </c>
      <c r="F51" s="129">
        <v>0.20998756314857955</v>
      </c>
      <c r="AC51" s="126">
        <v>2049</v>
      </c>
      <c r="AD51" s="125">
        <f t="shared" si="2"/>
        <v>365</v>
      </c>
    </row>
    <row r="52" spans="1:30" x14ac:dyDescent="0.25">
      <c r="A52" s="126">
        <v>5</v>
      </c>
      <c r="B52" s="83" t="str">
        <f t="shared" si="27"/>
        <v>Tier 1</v>
      </c>
      <c r="C52" s="83" t="str">
        <f t="shared" si="28"/>
        <v>Solar - Tracking</v>
      </c>
      <c r="D52" s="83" t="s">
        <v>232</v>
      </c>
      <c r="E52" s="83" t="str">
        <f t="shared" ref="E52" si="30">A52&amp;" - "&amp;D52</f>
        <v>5 - J</v>
      </c>
      <c r="F52" s="129">
        <v>0.20998756314857955</v>
      </c>
      <c r="AC52" s="162">
        <v>2050</v>
      </c>
      <c r="AD52" s="166">
        <f t="shared" si="2"/>
        <v>365</v>
      </c>
    </row>
    <row r="53" spans="1:30" x14ac:dyDescent="0.25">
      <c r="A53" s="162">
        <v>5</v>
      </c>
      <c r="B53" s="153" t="str">
        <f t="shared" si="27"/>
        <v>Tier 1</v>
      </c>
      <c r="C53" s="153" t="str">
        <f t="shared" si="28"/>
        <v>Solar - Tracking</v>
      </c>
      <c r="D53" s="153" t="s">
        <v>239</v>
      </c>
      <c r="E53" s="153" t="str">
        <f t="shared" si="29"/>
        <v>5 - K</v>
      </c>
      <c r="F53" s="163">
        <v>0.20998756314857955</v>
      </c>
    </row>
    <row r="54" spans="1:30" x14ac:dyDescent="0.25">
      <c r="A54" s="108">
        <v>6</v>
      </c>
      <c r="B54" s="109" t="str">
        <f t="shared" si="27"/>
        <v>Tier 1</v>
      </c>
      <c r="C54" s="109" t="str">
        <f t="shared" si="28"/>
        <v>Solar - Fixed</v>
      </c>
      <c r="D54" s="109" t="s">
        <v>206</v>
      </c>
      <c r="E54" s="109" t="str">
        <f t="shared" si="29"/>
        <v>6 - A</v>
      </c>
      <c r="F54" s="121">
        <v>0.19105044924288628</v>
      </c>
    </row>
    <row r="55" spans="1:30" x14ac:dyDescent="0.25">
      <c r="A55" s="126">
        <v>6</v>
      </c>
      <c r="B55" s="83" t="str">
        <f t="shared" si="27"/>
        <v>Tier 1</v>
      </c>
      <c r="C55" s="83" t="str">
        <f t="shared" si="28"/>
        <v>Solar - Fixed</v>
      </c>
      <c r="D55" s="83" t="s">
        <v>208</v>
      </c>
      <c r="E55" s="83" t="str">
        <f t="shared" si="29"/>
        <v>6 - B</v>
      </c>
      <c r="F55" s="129">
        <v>0.19105044924288628</v>
      </c>
    </row>
    <row r="56" spans="1:30" x14ac:dyDescent="0.25">
      <c r="A56" s="126">
        <v>6</v>
      </c>
      <c r="B56" s="83" t="str">
        <f t="shared" si="27"/>
        <v>Tier 1</v>
      </c>
      <c r="C56" s="83" t="str">
        <f t="shared" si="28"/>
        <v>Solar - Fixed</v>
      </c>
      <c r="D56" s="83" t="s">
        <v>212</v>
      </c>
      <c r="E56" s="83" t="str">
        <f t="shared" si="29"/>
        <v>6 - C</v>
      </c>
      <c r="F56" s="129">
        <v>0.1859520261958035</v>
      </c>
    </row>
    <row r="57" spans="1:30" x14ac:dyDescent="0.25">
      <c r="A57" s="126">
        <v>6</v>
      </c>
      <c r="B57" s="83" t="str">
        <f t="shared" si="27"/>
        <v>Tier 1</v>
      </c>
      <c r="C57" s="83" t="str">
        <f t="shared" si="28"/>
        <v>Solar - Fixed</v>
      </c>
      <c r="D57" s="83" t="s">
        <v>215</v>
      </c>
      <c r="E57" s="83" t="str">
        <f t="shared" si="29"/>
        <v>6 - D</v>
      </c>
      <c r="F57" s="129">
        <v>0.19515035200891084</v>
      </c>
    </row>
    <row r="58" spans="1:30" x14ac:dyDescent="0.25">
      <c r="A58" s="126">
        <v>6</v>
      </c>
      <c r="B58" s="83" t="str">
        <f t="shared" si="27"/>
        <v>Tier 1</v>
      </c>
      <c r="C58" s="83" t="str">
        <f t="shared" si="28"/>
        <v>Solar - Fixed</v>
      </c>
      <c r="D58" s="83" t="s">
        <v>218</v>
      </c>
      <c r="E58" s="83" t="str">
        <f t="shared" si="29"/>
        <v>6 - E</v>
      </c>
      <c r="F58" s="129">
        <v>0.19515035200891084</v>
      </c>
    </row>
    <row r="59" spans="1:30" x14ac:dyDescent="0.25">
      <c r="A59" s="126">
        <v>6</v>
      </c>
      <c r="B59" s="83" t="str">
        <f t="shared" si="27"/>
        <v>Tier 1</v>
      </c>
      <c r="C59" s="83" t="str">
        <f t="shared" si="28"/>
        <v>Solar - Fixed</v>
      </c>
      <c r="D59" s="83" t="s">
        <v>221</v>
      </c>
      <c r="E59" s="83" t="str">
        <f t="shared" si="29"/>
        <v>6 - F</v>
      </c>
      <c r="F59" s="129">
        <v>0.19515035200891084</v>
      </c>
    </row>
    <row r="60" spans="1:30" x14ac:dyDescent="0.25">
      <c r="A60" s="126">
        <v>6</v>
      </c>
      <c r="B60" s="83" t="str">
        <f t="shared" si="27"/>
        <v>Tier 1</v>
      </c>
      <c r="C60" s="83" t="str">
        <f t="shared" si="28"/>
        <v>Solar - Fixed</v>
      </c>
      <c r="D60" s="83" t="s">
        <v>223</v>
      </c>
      <c r="E60" s="83" t="str">
        <f t="shared" si="29"/>
        <v>6 - G</v>
      </c>
      <c r="F60" s="129">
        <v>0.19515035200891084</v>
      </c>
    </row>
    <row r="61" spans="1:30" x14ac:dyDescent="0.25">
      <c r="A61" s="126">
        <v>6</v>
      </c>
      <c r="B61" s="83" t="str">
        <f t="shared" si="27"/>
        <v>Tier 1</v>
      </c>
      <c r="C61" s="83" t="str">
        <f t="shared" si="28"/>
        <v>Solar - Fixed</v>
      </c>
      <c r="D61" s="83" t="s">
        <v>225</v>
      </c>
      <c r="E61" s="83" t="str">
        <f t="shared" si="29"/>
        <v>6 - H</v>
      </c>
      <c r="F61" s="129">
        <v>0.19515035200891084</v>
      </c>
    </row>
    <row r="62" spans="1:30" x14ac:dyDescent="0.25">
      <c r="A62" s="126">
        <v>6</v>
      </c>
      <c r="B62" s="83" t="str">
        <f t="shared" si="27"/>
        <v>Tier 1</v>
      </c>
      <c r="C62" s="83" t="str">
        <f t="shared" si="28"/>
        <v>Solar - Fixed</v>
      </c>
      <c r="D62" s="83" t="s">
        <v>228</v>
      </c>
      <c r="E62" s="83" t="str">
        <f t="shared" si="29"/>
        <v>6 - I</v>
      </c>
      <c r="F62" s="129">
        <v>0.19515035200891084</v>
      </c>
    </row>
    <row r="63" spans="1:30" x14ac:dyDescent="0.25">
      <c r="A63" s="126">
        <v>6</v>
      </c>
      <c r="B63" s="83" t="str">
        <f t="shared" si="27"/>
        <v>Tier 1</v>
      </c>
      <c r="C63" s="83" t="str">
        <f t="shared" si="28"/>
        <v>Solar - Fixed</v>
      </c>
      <c r="D63" s="83" t="s">
        <v>232</v>
      </c>
      <c r="E63" s="83" t="str">
        <f t="shared" si="29"/>
        <v>6 - J</v>
      </c>
      <c r="F63" s="129">
        <v>0.19515035200891084</v>
      </c>
    </row>
    <row r="64" spans="1:30" x14ac:dyDescent="0.25">
      <c r="A64" s="162">
        <v>6</v>
      </c>
      <c r="B64" s="153" t="str">
        <f t="shared" si="27"/>
        <v>Tier 1</v>
      </c>
      <c r="C64" s="153" t="str">
        <f t="shared" si="28"/>
        <v>Solar - Fixed</v>
      </c>
      <c r="D64" s="153" t="s">
        <v>239</v>
      </c>
      <c r="E64" s="153" t="str">
        <f t="shared" si="29"/>
        <v>6 - K</v>
      </c>
      <c r="F64" s="163">
        <v>0.19515035200891084</v>
      </c>
      <c r="R64" s="111"/>
      <c r="S64" s="111"/>
    </row>
    <row r="65" spans="1:9" x14ac:dyDescent="0.25">
      <c r="A65" s="126">
        <v>7</v>
      </c>
      <c r="B65" s="83" t="str">
        <f t="shared" si="27"/>
        <v>Tier 1</v>
      </c>
      <c r="C65" s="83" t="str">
        <f t="shared" si="28"/>
        <v>Hybrid Solar Plus Storage</v>
      </c>
      <c r="D65" s="83" t="s">
        <v>206</v>
      </c>
      <c r="E65" s="83" t="s">
        <v>401</v>
      </c>
      <c r="F65" s="129">
        <v>0.23339684815097766</v>
      </c>
      <c r="I65" s="185"/>
    </row>
    <row r="66" spans="1:9" x14ac:dyDescent="0.25">
      <c r="A66" s="126">
        <v>7</v>
      </c>
      <c r="B66" s="83" t="str">
        <f t="shared" ref="B66:B75" si="31">INDEX(W$2:W$9,MATCH($A66,$V$2:$V$9,0))</f>
        <v>Tier 1</v>
      </c>
      <c r="C66" s="83" t="str">
        <f t="shared" ref="C66:C75" si="32">INDEX(X$2:X$9,MATCH($A66,$V$2:$V$9,0))</f>
        <v>Hybrid Solar Plus Storage</v>
      </c>
      <c r="D66" s="83" t="s">
        <v>208</v>
      </c>
      <c r="E66" s="83" t="s">
        <v>402</v>
      </c>
      <c r="F66" s="129">
        <v>0.23987652643201832</v>
      </c>
    </row>
    <row r="67" spans="1:9" x14ac:dyDescent="0.25">
      <c r="A67" s="126">
        <v>7</v>
      </c>
      <c r="B67" s="83" t="str">
        <f t="shared" si="31"/>
        <v>Tier 1</v>
      </c>
      <c r="C67" s="83" t="str">
        <f t="shared" si="32"/>
        <v>Hybrid Solar Plus Storage</v>
      </c>
      <c r="D67" s="83" t="s">
        <v>212</v>
      </c>
      <c r="E67" s="83" t="s">
        <v>403</v>
      </c>
      <c r="F67" s="129">
        <v>0.22456364081777536</v>
      </c>
    </row>
    <row r="68" spans="1:9" x14ac:dyDescent="0.25">
      <c r="A68" s="126">
        <v>7</v>
      </c>
      <c r="B68" s="83" t="str">
        <f t="shared" si="31"/>
        <v>Tier 1</v>
      </c>
      <c r="C68" s="83" t="str">
        <f t="shared" si="32"/>
        <v>Hybrid Solar Plus Storage</v>
      </c>
      <c r="D68" s="83" t="s">
        <v>215</v>
      </c>
      <c r="E68" s="83" t="s">
        <v>404</v>
      </c>
      <c r="F68" s="129">
        <v>0.2209892292436493</v>
      </c>
    </row>
    <row r="69" spans="1:9" x14ac:dyDescent="0.25">
      <c r="A69" s="126">
        <v>7</v>
      </c>
      <c r="B69" s="83" t="str">
        <f t="shared" si="31"/>
        <v>Tier 1</v>
      </c>
      <c r="C69" s="83" t="str">
        <f t="shared" si="32"/>
        <v>Hybrid Solar Plus Storage</v>
      </c>
      <c r="D69" s="83" t="s">
        <v>218</v>
      </c>
      <c r="E69" s="83" t="s">
        <v>405</v>
      </c>
      <c r="F69" s="129">
        <v>0.2209892292436493</v>
      </c>
    </row>
    <row r="70" spans="1:9" x14ac:dyDescent="0.25">
      <c r="A70" s="126">
        <v>7</v>
      </c>
      <c r="B70" s="83" t="str">
        <f t="shared" si="31"/>
        <v>Tier 1</v>
      </c>
      <c r="C70" s="83" t="str">
        <f t="shared" si="32"/>
        <v>Hybrid Solar Plus Storage</v>
      </c>
      <c r="D70" s="83" t="s">
        <v>221</v>
      </c>
      <c r="E70" s="83" t="s">
        <v>406</v>
      </c>
      <c r="F70" s="129">
        <v>0.22346593470602444</v>
      </c>
    </row>
    <row r="71" spans="1:9" x14ac:dyDescent="0.25">
      <c r="A71" s="126">
        <v>7</v>
      </c>
      <c r="B71" s="83" t="str">
        <f t="shared" si="31"/>
        <v>Tier 1</v>
      </c>
      <c r="C71" s="83" t="str">
        <f t="shared" si="32"/>
        <v>Hybrid Solar Plus Storage</v>
      </c>
      <c r="D71" s="83" t="s">
        <v>223</v>
      </c>
      <c r="E71" s="83" t="s">
        <v>407</v>
      </c>
      <c r="F71" s="129">
        <v>0.20998756314857955</v>
      </c>
    </row>
    <row r="72" spans="1:9" x14ac:dyDescent="0.25">
      <c r="A72" s="126">
        <v>7</v>
      </c>
      <c r="B72" s="83" t="str">
        <f t="shared" si="31"/>
        <v>Tier 1</v>
      </c>
      <c r="C72" s="83" t="str">
        <f t="shared" si="32"/>
        <v>Hybrid Solar Plus Storage</v>
      </c>
      <c r="D72" s="83" t="s">
        <v>225</v>
      </c>
      <c r="E72" s="83" t="s">
        <v>408</v>
      </c>
      <c r="F72" s="129">
        <v>0.20998756314857955</v>
      </c>
    </row>
    <row r="73" spans="1:9" x14ac:dyDescent="0.25">
      <c r="A73" s="126">
        <v>7</v>
      </c>
      <c r="B73" s="83" t="str">
        <f t="shared" si="31"/>
        <v>Tier 1</v>
      </c>
      <c r="C73" s="83" t="str">
        <f t="shared" si="32"/>
        <v>Hybrid Solar Plus Storage</v>
      </c>
      <c r="D73" s="83" t="s">
        <v>228</v>
      </c>
      <c r="E73" s="83" t="s">
        <v>409</v>
      </c>
      <c r="F73" s="129">
        <v>0.20998756314857955</v>
      </c>
    </row>
    <row r="74" spans="1:9" x14ac:dyDescent="0.25">
      <c r="A74" s="126">
        <v>7</v>
      </c>
      <c r="B74" s="83" t="str">
        <f t="shared" si="31"/>
        <v>Tier 1</v>
      </c>
      <c r="C74" s="83" t="str">
        <f t="shared" si="32"/>
        <v>Hybrid Solar Plus Storage</v>
      </c>
      <c r="D74" s="83" t="s">
        <v>232</v>
      </c>
      <c r="E74" s="83" t="s">
        <v>410</v>
      </c>
      <c r="F74" s="129">
        <v>0.20998756314857955</v>
      </c>
    </row>
    <row r="75" spans="1:9" x14ac:dyDescent="0.25">
      <c r="A75" s="126">
        <v>7</v>
      </c>
      <c r="B75" s="83" t="str">
        <f t="shared" si="31"/>
        <v>Tier 1</v>
      </c>
      <c r="C75" s="83" t="str">
        <f t="shared" si="32"/>
        <v>Hybrid Solar Plus Storage</v>
      </c>
      <c r="D75" s="83" t="s">
        <v>239</v>
      </c>
      <c r="E75" s="83" t="s">
        <v>411</v>
      </c>
      <c r="F75" s="129">
        <v>0.20998756314857955</v>
      </c>
    </row>
    <row r="76" spans="1:9" x14ac:dyDescent="0.25">
      <c r="A76" s="108">
        <v>8</v>
      </c>
      <c r="B76" s="109" t="str">
        <f t="shared" ref="B76:B86" si="33">INDEX(W$2:W$9,MATCH($A76,$V$2:$V$9,0))</f>
        <v>Tier 1</v>
      </c>
      <c r="C76" s="109" t="str">
        <f t="shared" ref="C76:C86" si="34">INDEX(X$2:X$9,MATCH($A76,$V$2:$V$9,0))</f>
        <v>Land-Based Wind</v>
      </c>
      <c r="D76" s="109" t="s">
        <v>206</v>
      </c>
      <c r="E76" s="109" t="str">
        <f t="shared" si="29"/>
        <v>8 - A</v>
      </c>
      <c r="F76" s="186">
        <f>IF(YEAR(Date_of_Operation) &lt; 2015, SUMIFS('Wind Capacity Factor'!$B$4:$K$4,'Wind Capacity Factor'!$B$3:$K$3,VLOOKUP(D76,'Wind Capacity Factor'!$M$6:$N$16,2,FALSE)),
INDEX('Wind Capacity Factor'!$B$5:$K$40,MATCH(YEAR(Date_of_Operation),'Wind Capacity Factor'!$A$5:$A$40,0),MATCH(VLOOKUP(D76,'Wind Capacity Factor'!$M$6:$N$16,2,FALSE),'Wind Capacity Factor'!$B$3:$K$3,0)))</f>
        <v>0.37</v>
      </c>
    </row>
    <row r="77" spans="1:9" x14ac:dyDescent="0.25">
      <c r="A77" s="126">
        <v>8</v>
      </c>
      <c r="B77" s="83" t="str">
        <f t="shared" si="33"/>
        <v>Tier 1</v>
      </c>
      <c r="C77" s="83" t="str">
        <f t="shared" si="34"/>
        <v>Land-Based Wind</v>
      </c>
      <c r="D77" s="83" t="s">
        <v>208</v>
      </c>
      <c r="E77" s="83" t="str">
        <f t="shared" ref="E77:E86" si="35">A77&amp;" - "&amp;D77</f>
        <v>8 - B</v>
      </c>
      <c r="F77" s="187">
        <f>IF(YEAR(Date_of_Operation) &lt; 2015, SUMIFS('Wind Capacity Factor'!$B$4:$K$4,'Wind Capacity Factor'!$B$3:$K$3,VLOOKUP(D77,'Wind Capacity Factor'!$M$6:$N$16,2,FALSE)),
INDEX('Wind Capacity Factor'!$B$5:$K$40,MATCH(YEAR(Date_of_Operation),'Wind Capacity Factor'!$A$5:$A$40,0),MATCH(VLOOKUP(D77,'Wind Capacity Factor'!$M$6:$N$16,2,FALSE),'Wind Capacity Factor'!$B$3:$K$3,0)))</f>
        <v>0.41</v>
      </c>
    </row>
    <row r="78" spans="1:9" x14ac:dyDescent="0.25">
      <c r="A78" s="126">
        <v>8</v>
      </c>
      <c r="B78" s="83" t="str">
        <f t="shared" si="33"/>
        <v>Tier 1</v>
      </c>
      <c r="C78" s="83" t="str">
        <f t="shared" si="34"/>
        <v>Land-Based Wind</v>
      </c>
      <c r="D78" s="83" t="s">
        <v>212</v>
      </c>
      <c r="E78" s="83" t="str">
        <f t="shared" si="35"/>
        <v>8 - C</v>
      </c>
      <c r="F78" s="187">
        <f>IF(YEAR(Date_of_Operation) &lt; 2015, SUMIFS('Wind Capacity Factor'!$B$4:$K$4,'Wind Capacity Factor'!$B$3:$K$3,VLOOKUP(D78,'Wind Capacity Factor'!$M$6:$N$16,2,FALSE)),
INDEX('Wind Capacity Factor'!$B$5:$K$40,MATCH(YEAR(Date_of_Operation),'Wind Capacity Factor'!$A$5:$A$40,0),MATCH(VLOOKUP(D78,'Wind Capacity Factor'!$M$6:$N$16,2,FALSE),'Wind Capacity Factor'!$B$3:$K$3,0)))</f>
        <v>0.41</v>
      </c>
    </row>
    <row r="79" spans="1:9" x14ac:dyDescent="0.25">
      <c r="A79" s="126">
        <v>8</v>
      </c>
      <c r="B79" s="83" t="str">
        <f t="shared" si="33"/>
        <v>Tier 1</v>
      </c>
      <c r="C79" s="83" t="str">
        <f t="shared" si="34"/>
        <v>Land-Based Wind</v>
      </c>
      <c r="D79" s="83" t="s">
        <v>215</v>
      </c>
      <c r="E79" s="83" t="str">
        <f t="shared" si="35"/>
        <v>8 - D</v>
      </c>
      <c r="F79" s="187">
        <f>IF(YEAR(Date_of_Operation) &lt; 2015, SUMIFS('Wind Capacity Factor'!$B$4:$K$4,'Wind Capacity Factor'!$B$3:$K$3,VLOOKUP(D79,'Wind Capacity Factor'!$M$6:$N$16,2,FALSE)),
INDEX('Wind Capacity Factor'!$B$5:$K$40,MATCH(YEAR(Date_of_Operation),'Wind Capacity Factor'!$A$5:$A$40,0),MATCH(VLOOKUP(D79,'Wind Capacity Factor'!$M$6:$N$16,2,FALSE),'Wind Capacity Factor'!$B$3:$K$3,0)))</f>
        <v>0.28000000000000003</v>
      </c>
    </row>
    <row r="80" spans="1:9" x14ac:dyDescent="0.25">
      <c r="A80" s="126">
        <v>8</v>
      </c>
      <c r="B80" s="83" t="str">
        <f t="shared" si="33"/>
        <v>Tier 1</v>
      </c>
      <c r="C80" s="83" t="str">
        <f t="shared" si="34"/>
        <v>Land-Based Wind</v>
      </c>
      <c r="D80" s="83" t="s">
        <v>218</v>
      </c>
      <c r="E80" s="83" t="str">
        <f t="shared" si="35"/>
        <v>8 - E</v>
      </c>
      <c r="F80" s="187">
        <f>IF(YEAR(Date_of_Operation) &lt; 2015, SUMIFS('Wind Capacity Factor'!$B$4:$K$4,'Wind Capacity Factor'!$B$3:$K$3,VLOOKUP(D80,'Wind Capacity Factor'!$M$6:$N$16,2,FALSE)),
INDEX('Wind Capacity Factor'!$B$5:$K$40,MATCH(YEAR(Date_of_Operation),'Wind Capacity Factor'!$A$5:$A$40,0),MATCH(VLOOKUP(D80,'Wind Capacity Factor'!$M$6:$N$16,2,FALSE),'Wind Capacity Factor'!$B$3:$K$3,0)))</f>
        <v>0.33</v>
      </c>
    </row>
    <row r="81" spans="1:19" x14ac:dyDescent="0.25">
      <c r="A81" s="126">
        <v>8</v>
      </c>
      <c r="B81" s="83" t="str">
        <f t="shared" si="33"/>
        <v>Tier 1</v>
      </c>
      <c r="C81" s="83" t="str">
        <f t="shared" si="34"/>
        <v>Land-Based Wind</v>
      </c>
      <c r="D81" s="83" t="s">
        <v>221</v>
      </c>
      <c r="E81" s="83" t="str">
        <f t="shared" si="35"/>
        <v>8 - F</v>
      </c>
      <c r="F81" s="187">
        <f>IF(YEAR(Date_of_Operation) &lt; 2015, SUMIFS('Wind Capacity Factor'!$B$4:$K$4,'Wind Capacity Factor'!$B$3:$K$3,VLOOKUP(D81,'Wind Capacity Factor'!$M$6:$N$16,2,FALSE)),
INDEX('Wind Capacity Factor'!$B$5:$K$40,MATCH(YEAR(Date_of_Operation),'Wind Capacity Factor'!$A$5:$A$40,0),MATCH(VLOOKUP(D81,'Wind Capacity Factor'!$M$6:$N$16,2,FALSE),'Wind Capacity Factor'!$B$3:$K$3,0)))</f>
        <v>0.33</v>
      </c>
    </row>
    <row r="82" spans="1:19" x14ac:dyDescent="0.25">
      <c r="A82" s="126">
        <v>8</v>
      </c>
      <c r="B82" s="83" t="str">
        <f t="shared" si="33"/>
        <v>Tier 1</v>
      </c>
      <c r="C82" s="83" t="str">
        <f t="shared" si="34"/>
        <v>Land-Based Wind</v>
      </c>
      <c r="D82" s="83" t="s">
        <v>223</v>
      </c>
      <c r="E82" s="83" t="str">
        <f t="shared" si="35"/>
        <v>8 - G</v>
      </c>
      <c r="F82" s="187">
        <f>IF(YEAR(Date_of_Operation) &lt; 2015, SUMIFS('Wind Capacity Factor'!$B$4:$K$4,'Wind Capacity Factor'!$B$3:$K$3,VLOOKUP(D82,'Wind Capacity Factor'!$M$6:$N$16,2,FALSE)),
INDEX('Wind Capacity Factor'!$B$5:$K$40,MATCH(YEAR(Date_of_Operation),'Wind Capacity Factor'!$A$5:$A$40,0),MATCH(VLOOKUP(D82,'Wind Capacity Factor'!$M$6:$N$16,2,FALSE),'Wind Capacity Factor'!$B$3:$K$3,0)))</f>
        <v>0.33</v>
      </c>
    </row>
    <row r="83" spans="1:19" x14ac:dyDescent="0.25">
      <c r="A83" s="126">
        <v>8</v>
      </c>
      <c r="B83" s="83" t="str">
        <f t="shared" si="33"/>
        <v>Tier 1</v>
      </c>
      <c r="C83" s="83" t="str">
        <f t="shared" si="34"/>
        <v>Land-Based Wind</v>
      </c>
      <c r="D83" s="83" t="s">
        <v>225</v>
      </c>
      <c r="E83" s="83" t="str">
        <f t="shared" si="35"/>
        <v>8 - H</v>
      </c>
      <c r="F83" s="187">
        <f>IF(YEAR(Date_of_Operation) &lt; 2015, SUMIFS('Wind Capacity Factor'!$B$4:$K$4,'Wind Capacity Factor'!$B$3:$K$3,VLOOKUP(D83,'Wind Capacity Factor'!$M$6:$N$16,2,FALSE)),
INDEX('Wind Capacity Factor'!$B$5:$K$40,MATCH(YEAR(Date_of_Operation),'Wind Capacity Factor'!$A$5:$A$40,0),MATCH(VLOOKUP(D83,'Wind Capacity Factor'!$M$6:$N$16,2,FALSE),'Wind Capacity Factor'!$B$3:$K$3,0)))</f>
        <v>0.28000000000000003</v>
      </c>
    </row>
    <row r="84" spans="1:19" x14ac:dyDescent="0.25">
      <c r="A84" s="126">
        <v>8</v>
      </c>
      <c r="B84" s="83" t="str">
        <f t="shared" si="33"/>
        <v>Tier 1</v>
      </c>
      <c r="C84" s="83" t="str">
        <f t="shared" si="34"/>
        <v>Land-Based Wind</v>
      </c>
      <c r="D84" s="83" t="s">
        <v>228</v>
      </c>
      <c r="E84" s="83" t="str">
        <f t="shared" si="35"/>
        <v>8 - I</v>
      </c>
      <c r="F84" s="187">
        <f>IF(YEAR(Date_of_Operation) &lt; 2015, SUMIFS('Wind Capacity Factor'!$B$4:$K$4,'Wind Capacity Factor'!$B$3:$K$3,VLOOKUP(D84,'Wind Capacity Factor'!$M$6:$N$16,2,FALSE)),
INDEX('Wind Capacity Factor'!$B$5:$K$40,MATCH(YEAR(Date_of_Operation),'Wind Capacity Factor'!$A$5:$A$40,0),MATCH(VLOOKUP(D84,'Wind Capacity Factor'!$M$6:$N$16,2,FALSE),'Wind Capacity Factor'!$B$3:$K$3,0)))</f>
        <v>0.28000000000000003</v>
      </c>
    </row>
    <row r="85" spans="1:19" x14ac:dyDescent="0.25">
      <c r="A85" s="126">
        <v>8</v>
      </c>
      <c r="B85" s="83" t="str">
        <f t="shared" si="33"/>
        <v>Tier 1</v>
      </c>
      <c r="C85" s="83" t="str">
        <f t="shared" si="34"/>
        <v>Land-Based Wind</v>
      </c>
      <c r="D85" s="83" t="s">
        <v>232</v>
      </c>
      <c r="E85" s="83" t="str">
        <f t="shared" si="35"/>
        <v>8 - J</v>
      </c>
      <c r="F85" s="187">
        <f>IF(YEAR(Date_of_Operation) &lt; 2015, SUMIFS('Wind Capacity Factor'!$B$4:$K$4,'Wind Capacity Factor'!$B$3:$K$3,VLOOKUP(D85,'Wind Capacity Factor'!$M$6:$N$16,2,FALSE)),
INDEX('Wind Capacity Factor'!$B$5:$K$40,MATCH(YEAR(Date_of_Operation),'Wind Capacity Factor'!$A$5:$A$40,0),MATCH(VLOOKUP(D85,'Wind Capacity Factor'!$M$6:$N$16,2,FALSE),'Wind Capacity Factor'!$B$3:$K$3,0)))</f>
        <v>0.18</v>
      </c>
    </row>
    <row r="86" spans="1:19" x14ac:dyDescent="0.25">
      <c r="A86" s="162">
        <v>8</v>
      </c>
      <c r="B86" s="153" t="str">
        <f t="shared" si="33"/>
        <v>Tier 1</v>
      </c>
      <c r="C86" s="153" t="str">
        <f t="shared" si="34"/>
        <v>Land-Based Wind</v>
      </c>
      <c r="D86" s="153" t="s">
        <v>239</v>
      </c>
      <c r="E86" s="153" t="str">
        <f t="shared" si="35"/>
        <v>8 - K</v>
      </c>
      <c r="F86" s="188">
        <f>IF(YEAR(Date_of_Operation) &lt; 2015, SUMIFS('Wind Capacity Factor'!$B$4:$K$4,'Wind Capacity Factor'!$B$3:$K$3,VLOOKUP(D86,'Wind Capacity Factor'!$M$6:$N$16,2,FALSE)),
INDEX('Wind Capacity Factor'!$B$5:$K$40,MATCH(YEAR(Date_of_Operation),'Wind Capacity Factor'!$A$5:$A$40,0),MATCH(VLOOKUP(D86,'Wind Capacity Factor'!$M$6:$N$16,2,FALSE),'Wind Capacity Factor'!$B$3:$K$3,0)))</f>
        <v>0.37</v>
      </c>
    </row>
    <row r="87" spans="1:19" s="190" customFormat="1" x14ac:dyDescent="0.25">
      <c r="A87" s="109"/>
      <c r="B87" s="109"/>
      <c r="C87" s="109"/>
      <c r="D87" s="109"/>
      <c r="E87" s="109"/>
      <c r="F87" s="189"/>
      <c r="H87" s="111"/>
      <c r="I87" s="111"/>
      <c r="J87" s="111"/>
      <c r="K87" s="111"/>
      <c r="R87" s="191"/>
      <c r="S87" s="191"/>
    </row>
    <row r="88" spans="1:19" s="190" customFormat="1" x14ac:dyDescent="0.25">
      <c r="A88" s="192"/>
      <c r="B88" s="192"/>
      <c r="C88" s="192"/>
      <c r="D88" s="192"/>
      <c r="E88" s="192"/>
      <c r="F88" s="193"/>
      <c r="R88" s="191"/>
      <c r="S88" s="191"/>
    </row>
    <row r="89" spans="1:19" s="190" customFormat="1" x14ac:dyDescent="0.25">
      <c r="A89" s="192"/>
      <c r="B89" s="192"/>
      <c r="C89" s="192"/>
      <c r="D89" s="192"/>
      <c r="E89" s="192"/>
      <c r="F89" s="193"/>
      <c r="R89" s="191"/>
      <c r="S89" s="191"/>
    </row>
    <row r="90" spans="1:19" s="190" customFormat="1" x14ac:dyDescent="0.25">
      <c r="A90" s="192"/>
      <c r="B90" s="192"/>
      <c r="C90" s="192"/>
      <c r="D90" s="192"/>
      <c r="E90" s="192"/>
      <c r="F90" s="193"/>
      <c r="R90" s="191"/>
      <c r="S90" s="191"/>
    </row>
    <row r="91" spans="1:19" s="190" customFormat="1" x14ac:dyDescent="0.25">
      <c r="A91" s="192"/>
      <c r="B91" s="192"/>
      <c r="C91" s="192"/>
      <c r="D91" s="192"/>
      <c r="E91" s="192"/>
      <c r="F91" s="193"/>
      <c r="R91" s="191"/>
      <c r="S91" s="191"/>
    </row>
    <row r="92" spans="1:19" s="190" customFormat="1" x14ac:dyDescent="0.25">
      <c r="A92" s="192"/>
      <c r="B92" s="192"/>
      <c r="C92" s="192"/>
      <c r="D92" s="192"/>
      <c r="E92" s="192"/>
      <c r="F92" s="193"/>
      <c r="R92" s="191"/>
      <c r="S92" s="191"/>
    </row>
    <row r="93" spans="1:19" s="190" customFormat="1" x14ac:dyDescent="0.25">
      <c r="A93" s="192"/>
      <c r="B93" s="192"/>
      <c r="C93" s="192"/>
      <c r="D93" s="192"/>
      <c r="E93" s="192"/>
      <c r="F93" s="193"/>
      <c r="R93" s="191"/>
      <c r="S93" s="191"/>
    </row>
    <row r="94" spans="1:19" s="190" customFormat="1" x14ac:dyDescent="0.25">
      <c r="A94" s="192"/>
      <c r="B94" s="192"/>
      <c r="C94" s="192"/>
      <c r="D94" s="192"/>
      <c r="E94" s="192"/>
      <c r="F94" s="193"/>
      <c r="R94" s="191"/>
      <c r="S94" s="191"/>
    </row>
    <row r="95" spans="1:19" s="190" customFormat="1" x14ac:dyDescent="0.25">
      <c r="A95" s="192"/>
      <c r="B95" s="192"/>
      <c r="C95" s="192"/>
      <c r="D95" s="192"/>
      <c r="E95" s="192"/>
      <c r="F95" s="193"/>
      <c r="R95" s="191"/>
      <c r="S95" s="191"/>
    </row>
    <row r="96" spans="1:19" s="190" customFormat="1" x14ac:dyDescent="0.25">
      <c r="A96" s="192"/>
      <c r="B96" s="192"/>
      <c r="C96" s="192"/>
      <c r="D96" s="192"/>
      <c r="E96" s="192"/>
      <c r="F96" s="193"/>
      <c r="R96" s="191"/>
      <c r="S96" s="191"/>
    </row>
    <row r="97" spans="1:19" s="190" customFormat="1" x14ac:dyDescent="0.25">
      <c r="A97" s="192"/>
      <c r="B97" s="192"/>
      <c r="C97" s="192"/>
      <c r="D97" s="192"/>
      <c r="E97" s="192"/>
      <c r="F97" s="193"/>
      <c r="R97" s="191"/>
      <c r="S97" s="191"/>
    </row>
    <row r="98" spans="1:19" s="190" customFormat="1" x14ac:dyDescent="0.25">
      <c r="A98" s="192"/>
      <c r="B98" s="192"/>
      <c r="C98" s="192"/>
      <c r="D98" s="192"/>
      <c r="E98" s="192"/>
      <c r="F98" s="194"/>
      <c r="R98" s="191"/>
      <c r="S98" s="191"/>
    </row>
    <row r="99" spans="1:19" s="190" customFormat="1" x14ac:dyDescent="0.25">
      <c r="A99" s="192"/>
      <c r="B99" s="192"/>
      <c r="C99" s="192"/>
      <c r="D99" s="192"/>
      <c r="E99" s="192"/>
      <c r="F99" s="194"/>
      <c r="R99" s="191"/>
      <c r="S99" s="191"/>
    </row>
    <row r="100" spans="1:19" s="190" customFormat="1" x14ac:dyDescent="0.25">
      <c r="A100" s="192"/>
      <c r="B100" s="192"/>
      <c r="C100" s="192"/>
      <c r="D100" s="192"/>
      <c r="E100" s="192"/>
      <c r="F100" s="194"/>
      <c r="R100" s="191"/>
      <c r="S100" s="191"/>
    </row>
    <row r="101" spans="1:19" s="190" customFormat="1" x14ac:dyDescent="0.25">
      <c r="A101" s="192"/>
      <c r="B101" s="192"/>
      <c r="C101" s="192"/>
      <c r="D101" s="192"/>
      <c r="E101" s="192"/>
      <c r="F101" s="194"/>
      <c r="R101" s="191"/>
      <c r="S101" s="191"/>
    </row>
    <row r="102" spans="1:19" s="190" customFormat="1" x14ac:dyDescent="0.25">
      <c r="A102" s="192"/>
      <c r="B102" s="192"/>
      <c r="C102" s="192"/>
      <c r="D102" s="192"/>
      <c r="E102" s="192"/>
      <c r="F102" s="194"/>
      <c r="R102" s="191"/>
      <c r="S102" s="191"/>
    </row>
    <row r="103" spans="1:19" s="190" customFormat="1" x14ac:dyDescent="0.25">
      <c r="A103" s="192"/>
      <c r="B103" s="192"/>
      <c r="C103" s="192"/>
      <c r="D103" s="192"/>
      <c r="E103" s="192"/>
      <c r="F103" s="194"/>
      <c r="R103" s="191"/>
      <c r="S103" s="191"/>
    </row>
    <row r="104" spans="1:19" s="190" customFormat="1" x14ac:dyDescent="0.25">
      <c r="A104" s="192"/>
      <c r="B104" s="192"/>
      <c r="C104" s="192"/>
      <c r="D104" s="192"/>
      <c r="E104" s="192"/>
      <c r="F104" s="194"/>
      <c r="R104" s="191"/>
      <c r="S104" s="191"/>
    </row>
    <row r="105" spans="1:19" s="190" customFormat="1" x14ac:dyDescent="0.25">
      <c r="A105" s="192"/>
      <c r="B105" s="192"/>
      <c r="C105" s="192"/>
      <c r="D105" s="192"/>
      <c r="E105" s="192"/>
      <c r="F105" s="194"/>
      <c r="R105" s="191"/>
      <c r="S105" s="191"/>
    </row>
    <row r="106" spans="1:19" s="190" customFormat="1" x14ac:dyDescent="0.25">
      <c r="A106" s="192"/>
      <c r="B106" s="192"/>
      <c r="C106" s="192"/>
      <c r="D106" s="192"/>
      <c r="E106" s="192"/>
      <c r="F106" s="194"/>
      <c r="R106" s="191"/>
      <c r="S106" s="191"/>
    </row>
    <row r="107" spans="1:19" s="190" customFormat="1" x14ac:dyDescent="0.25">
      <c r="A107" s="192"/>
      <c r="B107" s="192"/>
      <c r="C107" s="192"/>
      <c r="D107" s="192"/>
      <c r="E107" s="192"/>
      <c r="F107" s="194"/>
      <c r="R107" s="191"/>
      <c r="S107" s="191"/>
    </row>
    <row r="108" spans="1:19" s="190" customFormat="1" x14ac:dyDescent="0.25">
      <c r="A108" s="192"/>
      <c r="B108" s="192"/>
      <c r="C108" s="192"/>
      <c r="D108" s="192"/>
      <c r="E108" s="192"/>
      <c r="F108" s="194"/>
      <c r="R108" s="191"/>
      <c r="S108" s="191"/>
    </row>
    <row r="109" spans="1:19" s="190" customFormat="1" x14ac:dyDescent="0.25">
      <c r="F109" s="195"/>
      <c r="R109" s="191"/>
      <c r="S109" s="191"/>
    </row>
    <row r="110" spans="1:19" s="190" customFormat="1" x14ac:dyDescent="0.25">
      <c r="F110" s="195"/>
      <c r="R110" s="191"/>
      <c r="S110" s="191"/>
    </row>
    <row r="111" spans="1:19" x14ac:dyDescent="0.25">
      <c r="H111" s="190"/>
      <c r="I111" s="190"/>
      <c r="J111" s="190"/>
      <c r="K111" s="190"/>
    </row>
  </sheetData>
  <sheetProtection algorithmName="SHA-512" hashValue="4rcE5jdBJ4OJqzAzaiUKDjeaWJZYe1RTS3IElri9l/eRGQ0u9jnkAFduwWv5CfG9zsg/MRTHwSiP6v8qNqYJmQ==" saltValue="TbL5lyZpWXaLBBlJOBoQVA==" spinCount="100000" sheet="1" selectLockedCells="1" selectUnlockedCells="1"/>
  <sortState xmlns:xlrd2="http://schemas.microsoft.com/office/spreadsheetml/2017/richdata2" ref="A87:F94">
    <sortCondition ref="D87:D94"/>
  </sortState>
  <mergeCells count="12">
    <mergeCell ref="H23:I23"/>
    <mergeCell ref="M1:M2"/>
    <mergeCell ref="H20:I20"/>
    <mergeCell ref="I13:I14"/>
    <mergeCell ref="J13:J14"/>
    <mergeCell ref="K13:K14"/>
    <mergeCell ref="H13:H14"/>
    <mergeCell ref="H1:H2"/>
    <mergeCell ref="I1:I2"/>
    <mergeCell ref="J1:J2"/>
    <mergeCell ref="K1:K2"/>
    <mergeCell ref="L1:L2"/>
  </mergeCells>
  <phoneticPr fontId="19" type="noConversion"/>
  <pageMargins left="0.7" right="0.7" top="0.75" bottom="0.75" header="0.3" footer="0.3"/>
  <pageSetup orientation="portrait" horizontalDpi="1200" verticalDpi="1200" r:id="rId1"/>
  <ignoredErrors>
    <ignoredError sqref="AV4:BA5 AI6:AO6 AV6:BA6 AT6:AU6 AH6 BB6:CK6 AP6:AS6"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91129-72E4-D248-9B78-B1636A44022B}">
  <sheetPr codeName="Sheet4"/>
  <dimension ref="A2:P40"/>
  <sheetViews>
    <sheetView workbookViewId="0"/>
  </sheetViews>
  <sheetFormatPr defaultColWidth="10.42578125" defaultRowHeight="15" x14ac:dyDescent="0.25"/>
  <cols>
    <col min="1" max="13" width="10.42578125" style="77"/>
    <col min="14" max="14" width="16.42578125" style="77" customWidth="1"/>
    <col min="15" max="16384" width="10.42578125" style="77"/>
  </cols>
  <sheetData>
    <row r="2" spans="1:16" x14ac:dyDescent="0.25">
      <c r="P2" s="87" t="s">
        <v>246</v>
      </c>
    </row>
    <row r="3" spans="1:16" x14ac:dyDescent="0.25">
      <c r="A3" s="88" t="s">
        <v>200</v>
      </c>
      <c r="B3" s="89" t="s">
        <v>247</v>
      </c>
      <c r="C3" s="89" t="s">
        <v>248</v>
      </c>
      <c r="D3" s="89" t="s">
        <v>249</v>
      </c>
      <c r="E3" s="89" t="s">
        <v>250</v>
      </c>
      <c r="F3" s="89" t="s">
        <v>251</v>
      </c>
      <c r="G3" s="89" t="s">
        <v>252</v>
      </c>
      <c r="H3" s="89" t="s">
        <v>253</v>
      </c>
      <c r="I3" s="89" t="s">
        <v>254</v>
      </c>
      <c r="J3" s="89" t="s">
        <v>255</v>
      </c>
      <c r="K3" s="90" t="s">
        <v>256</v>
      </c>
    </row>
    <row r="4" spans="1:16" x14ac:dyDescent="0.25">
      <c r="A4" s="91" t="s">
        <v>257</v>
      </c>
      <c r="G4" s="92">
        <v>0.2288</v>
      </c>
      <c r="H4" s="92">
        <v>0.21959999999999999</v>
      </c>
      <c r="I4" s="92">
        <v>0.22889999999999999</v>
      </c>
      <c r="J4" s="92">
        <v>0.2016</v>
      </c>
      <c r="K4" s="93"/>
    </row>
    <row r="5" spans="1:16" x14ac:dyDescent="0.25">
      <c r="A5" s="94">
        <v>2015</v>
      </c>
      <c r="B5" s="92">
        <v>0.48997880883527117</v>
      </c>
      <c r="C5" s="95">
        <f>C6</f>
        <v>0.49139785000000002</v>
      </c>
      <c r="D5" s="92">
        <v>0.46287689735087051</v>
      </c>
      <c r="E5" s="95">
        <f>E6</f>
        <v>0.46660554999999998</v>
      </c>
      <c r="F5" s="92">
        <v>0.43950175601547609</v>
      </c>
      <c r="G5" s="92">
        <v>0.3790649778445811</v>
      </c>
      <c r="H5" s="92">
        <v>0.32023156424456123</v>
      </c>
      <c r="I5" s="96">
        <f>I6</f>
        <v>0.26080181666666669</v>
      </c>
      <c r="J5" s="96">
        <f>J6</f>
        <v>0.19816025714285715</v>
      </c>
      <c r="K5" s="97">
        <f>K6</f>
        <v>0.12280647</v>
      </c>
      <c r="M5" s="98" t="s">
        <v>18</v>
      </c>
      <c r="N5" s="88" t="s">
        <v>258</v>
      </c>
    </row>
    <row r="6" spans="1:16" x14ac:dyDescent="0.25">
      <c r="A6" s="94">
        <v>2016</v>
      </c>
      <c r="B6" s="92">
        <v>0.5115685106238268</v>
      </c>
      <c r="C6" s="92">
        <v>0.49139785000000002</v>
      </c>
      <c r="D6" s="92">
        <v>0.47955420000000004</v>
      </c>
      <c r="E6" s="92">
        <v>0.46660554999999998</v>
      </c>
      <c r="F6" s="92">
        <v>0.45028949999999995</v>
      </c>
      <c r="G6" s="92">
        <v>0.4030543730769231</v>
      </c>
      <c r="H6" s="92">
        <v>0.3338992409090909</v>
      </c>
      <c r="I6" s="92">
        <v>0.26080181666666669</v>
      </c>
      <c r="J6" s="92">
        <v>0.19816025714285715</v>
      </c>
      <c r="K6" s="99">
        <v>0.12280647</v>
      </c>
      <c r="M6" s="100" t="s">
        <v>206</v>
      </c>
      <c r="N6" s="101" t="s">
        <v>253</v>
      </c>
    </row>
    <row r="7" spans="1:16" x14ac:dyDescent="0.25">
      <c r="A7" s="94">
        <v>2017</v>
      </c>
      <c r="B7" s="92">
        <v>0.473521711974146</v>
      </c>
      <c r="C7" s="92">
        <v>0.46196422724106501</v>
      </c>
      <c r="D7" s="92">
        <v>0.44969393646266098</v>
      </c>
      <c r="E7" s="92">
        <v>0.43522297025680401</v>
      </c>
      <c r="F7" s="92">
        <v>0.40730649949589298</v>
      </c>
      <c r="G7" s="92">
        <v>0.36366571999053598</v>
      </c>
      <c r="H7" s="92">
        <v>0.30817794465054799</v>
      </c>
      <c r="I7" s="92">
        <v>0.24565601942807799</v>
      </c>
      <c r="J7" s="92">
        <v>0.18251549436984901</v>
      </c>
      <c r="K7" s="99">
        <v>0.111049550321784</v>
      </c>
      <c r="M7" s="102" t="s">
        <v>208</v>
      </c>
      <c r="N7" s="101" t="s">
        <v>252</v>
      </c>
    </row>
    <row r="8" spans="1:16" x14ac:dyDescent="0.25">
      <c r="A8" s="94">
        <v>2018</v>
      </c>
      <c r="B8" s="92">
        <v>0.47660855404916502</v>
      </c>
      <c r="C8" s="92">
        <v>0.46510666372613801</v>
      </c>
      <c r="D8" s="92">
        <v>0.45327436091803402</v>
      </c>
      <c r="E8" s="92">
        <v>0.43896298582938398</v>
      </c>
      <c r="F8" s="92">
        <v>0.411686043406085</v>
      </c>
      <c r="G8" s="92">
        <v>0.36888912141143099</v>
      </c>
      <c r="H8" s="92">
        <v>0.31359723218580099</v>
      </c>
      <c r="I8" s="92">
        <v>0.25045142716823698</v>
      </c>
      <c r="J8" s="92">
        <v>0.18742300313685201</v>
      </c>
      <c r="K8" s="99">
        <v>0.114581586146978</v>
      </c>
      <c r="M8" s="102" t="s">
        <v>212</v>
      </c>
      <c r="N8" s="101" t="s">
        <v>252</v>
      </c>
    </row>
    <row r="9" spans="1:16" x14ac:dyDescent="0.25">
      <c r="A9" s="94">
        <v>2019</v>
      </c>
      <c r="B9" s="92">
        <v>0.47595300000000001</v>
      </c>
      <c r="C9" s="92">
        <v>0.453351</v>
      </c>
      <c r="D9" s="92">
        <v>0.441328</v>
      </c>
      <c r="E9" s="92">
        <v>0.42659200000000003</v>
      </c>
      <c r="F9" s="92">
        <v>0.39777400000000002</v>
      </c>
      <c r="G9" s="92">
        <v>0.35212300000000002</v>
      </c>
      <c r="H9" s="92">
        <v>0.29170000000000001</v>
      </c>
      <c r="I9" s="92">
        <v>0.22797799999999999</v>
      </c>
      <c r="J9" s="92">
        <v>0.165713</v>
      </c>
      <c r="K9" s="99">
        <v>0.10073799999999999</v>
      </c>
      <c r="M9" s="102" t="s">
        <v>215</v>
      </c>
      <c r="N9" s="101" t="s">
        <v>255</v>
      </c>
    </row>
    <row r="10" spans="1:16" x14ac:dyDescent="0.25">
      <c r="A10" s="94">
        <v>2020</v>
      </c>
      <c r="B10" s="92">
        <v>0.52</v>
      </c>
      <c r="C10" s="92">
        <v>0.47</v>
      </c>
      <c r="D10" s="92">
        <v>0.45</v>
      </c>
      <c r="E10" s="92">
        <v>0.44</v>
      </c>
      <c r="F10" s="92">
        <v>0.42</v>
      </c>
      <c r="G10" s="92">
        <v>0.39</v>
      </c>
      <c r="H10" s="92">
        <v>0.35</v>
      </c>
      <c r="I10" s="92">
        <v>0.31</v>
      </c>
      <c r="J10" s="92">
        <v>0.27</v>
      </c>
      <c r="K10" s="99">
        <v>0.17</v>
      </c>
      <c r="M10" s="102" t="s">
        <v>218</v>
      </c>
      <c r="N10" s="101" t="s">
        <v>254</v>
      </c>
    </row>
    <row r="11" spans="1:16" x14ac:dyDescent="0.25">
      <c r="A11" s="94">
        <v>2021</v>
      </c>
      <c r="B11" s="92">
        <v>0.51</v>
      </c>
      <c r="C11" s="92">
        <v>0.46</v>
      </c>
      <c r="D11" s="92">
        <v>0.45</v>
      </c>
      <c r="E11" s="92">
        <v>0.43</v>
      </c>
      <c r="F11" s="92">
        <v>0.42</v>
      </c>
      <c r="G11" s="92">
        <v>0.39</v>
      </c>
      <c r="H11" s="92">
        <v>0.36</v>
      </c>
      <c r="I11" s="92">
        <v>0.31</v>
      </c>
      <c r="J11" s="92">
        <v>0.27</v>
      </c>
      <c r="K11" s="99">
        <v>0.17</v>
      </c>
      <c r="M11" s="102" t="s">
        <v>221</v>
      </c>
      <c r="N11" s="101" t="s">
        <v>254</v>
      </c>
    </row>
    <row r="12" spans="1:16" x14ac:dyDescent="0.25">
      <c r="A12" s="94">
        <v>2022</v>
      </c>
      <c r="B12" s="92">
        <v>0.49</v>
      </c>
      <c r="C12" s="92">
        <v>0.47</v>
      </c>
      <c r="D12" s="92">
        <v>0.45</v>
      </c>
      <c r="E12" s="92">
        <v>0.44</v>
      </c>
      <c r="F12" s="92">
        <v>0.43</v>
      </c>
      <c r="G12" s="92">
        <v>0.41</v>
      </c>
      <c r="H12" s="92">
        <v>0.37</v>
      </c>
      <c r="I12" s="92">
        <v>0.33</v>
      </c>
      <c r="J12" s="92">
        <v>0.28000000000000003</v>
      </c>
      <c r="K12" s="99">
        <v>0.18</v>
      </c>
      <c r="M12" s="102" t="s">
        <v>223</v>
      </c>
      <c r="N12" s="101" t="s">
        <v>254</v>
      </c>
    </row>
    <row r="13" spans="1:16" x14ac:dyDescent="0.25">
      <c r="A13" s="94">
        <v>2023</v>
      </c>
      <c r="B13" s="92">
        <v>0.51</v>
      </c>
      <c r="C13" s="92">
        <v>0.47</v>
      </c>
      <c r="D13" s="92">
        <v>0.46</v>
      </c>
      <c r="E13" s="92">
        <v>0.45</v>
      </c>
      <c r="F13" s="92">
        <v>0.44</v>
      </c>
      <c r="G13" s="92">
        <v>0.41</v>
      </c>
      <c r="H13" s="92">
        <v>0.38</v>
      </c>
      <c r="I13" s="92">
        <v>0.34</v>
      </c>
      <c r="J13" s="92">
        <v>0.33</v>
      </c>
      <c r="K13" s="99">
        <v>0.26</v>
      </c>
      <c r="M13" s="102" t="s">
        <v>225</v>
      </c>
      <c r="N13" s="101" t="s">
        <v>255</v>
      </c>
    </row>
    <row r="14" spans="1:16" x14ac:dyDescent="0.25">
      <c r="A14" s="94">
        <v>2024</v>
      </c>
      <c r="B14" s="92">
        <v>0.50963000000000003</v>
      </c>
      <c r="C14" s="92">
        <v>0.47814066666666599</v>
      </c>
      <c r="D14" s="92">
        <v>0.46736799999999901</v>
      </c>
      <c r="E14" s="92">
        <v>0.45493800000000001</v>
      </c>
      <c r="F14" s="92">
        <v>0.44002200000000002</v>
      </c>
      <c r="G14" s="92">
        <v>0.41681933333333299</v>
      </c>
      <c r="H14" s="92">
        <v>0.38450133333333297</v>
      </c>
      <c r="I14" s="92">
        <v>0.34721133333333298</v>
      </c>
      <c r="J14" s="92">
        <v>0.33561000000000002</v>
      </c>
      <c r="K14" s="99">
        <v>0.26434466666666601</v>
      </c>
      <c r="M14" s="102" t="s">
        <v>228</v>
      </c>
      <c r="N14" s="101" t="s">
        <v>255</v>
      </c>
    </row>
    <row r="15" spans="1:16" x14ac:dyDescent="0.25">
      <c r="A15" s="94">
        <v>2025</v>
      </c>
      <c r="B15" s="92">
        <v>0.51345666666666601</v>
      </c>
      <c r="C15" s="92">
        <v>0.48173088888888799</v>
      </c>
      <c r="D15" s="92">
        <v>0.47087733333333298</v>
      </c>
      <c r="E15" s="92">
        <v>0.45835399999999998</v>
      </c>
      <c r="F15" s="92">
        <v>0.443326</v>
      </c>
      <c r="G15" s="92">
        <v>0.419949111111111</v>
      </c>
      <c r="H15" s="92">
        <v>0.38738844444444398</v>
      </c>
      <c r="I15" s="92">
        <v>0.34981844444444399</v>
      </c>
      <c r="J15" s="92">
        <v>0.33812999999999999</v>
      </c>
      <c r="K15" s="99">
        <v>0.26632955555555499</v>
      </c>
      <c r="M15" s="102" t="s">
        <v>232</v>
      </c>
      <c r="N15" s="101" t="s">
        <v>256</v>
      </c>
    </row>
    <row r="16" spans="1:16" x14ac:dyDescent="0.25">
      <c r="A16" s="94">
        <v>2026</v>
      </c>
      <c r="B16" s="92">
        <v>0.51728333333333298</v>
      </c>
      <c r="C16" s="92">
        <v>0.48532111111111098</v>
      </c>
      <c r="D16" s="92">
        <v>0.47438666666666601</v>
      </c>
      <c r="E16" s="92">
        <v>0.46177000000000001</v>
      </c>
      <c r="F16" s="92">
        <v>0.44663000000000003</v>
      </c>
      <c r="G16" s="92">
        <v>0.42307888888888801</v>
      </c>
      <c r="H16" s="92">
        <v>0.39027555555555499</v>
      </c>
      <c r="I16" s="92">
        <v>0.35242555555555499</v>
      </c>
      <c r="J16" s="92">
        <v>0.34065000000000001</v>
      </c>
      <c r="K16" s="99">
        <v>0.26831444444444402</v>
      </c>
      <c r="M16" s="103" t="s">
        <v>239</v>
      </c>
      <c r="N16" s="104" t="s">
        <v>253</v>
      </c>
    </row>
    <row r="17" spans="1:11" x14ac:dyDescent="0.25">
      <c r="A17" s="94">
        <v>2027</v>
      </c>
      <c r="B17" s="92">
        <v>0.52110999999999996</v>
      </c>
      <c r="C17" s="92">
        <v>0.48891133333333298</v>
      </c>
      <c r="D17" s="92">
        <v>0.47789599999999899</v>
      </c>
      <c r="E17" s="92">
        <v>0.46518599999999999</v>
      </c>
      <c r="F17" s="92">
        <v>0.449934</v>
      </c>
      <c r="G17" s="92">
        <v>0.42620866666666601</v>
      </c>
      <c r="H17" s="92">
        <v>0.39316266666666599</v>
      </c>
      <c r="I17" s="92">
        <v>0.355032666666666</v>
      </c>
      <c r="J17" s="92">
        <v>0.34316999999999998</v>
      </c>
      <c r="K17" s="99">
        <v>0.270299333333333</v>
      </c>
    </row>
    <row r="18" spans="1:11" x14ac:dyDescent="0.25">
      <c r="A18" s="94">
        <v>2028</v>
      </c>
      <c r="B18" s="92">
        <v>0.52493666666666605</v>
      </c>
      <c r="C18" s="92">
        <v>0.49250155555555503</v>
      </c>
      <c r="D18" s="92">
        <v>0.48140533333333302</v>
      </c>
      <c r="E18" s="92">
        <v>0.46860200000000002</v>
      </c>
      <c r="F18" s="92">
        <v>0.45323799999999997</v>
      </c>
      <c r="G18" s="92">
        <v>0.42933844444444402</v>
      </c>
      <c r="H18" s="92">
        <v>0.396049777777777</v>
      </c>
      <c r="I18" s="92">
        <v>0.357639777777777</v>
      </c>
      <c r="J18" s="92">
        <v>0.34569</v>
      </c>
      <c r="K18" s="99">
        <v>0.27228422222222198</v>
      </c>
    </row>
    <row r="19" spans="1:11" x14ac:dyDescent="0.25">
      <c r="A19" s="94">
        <v>2029</v>
      </c>
      <c r="B19" s="92">
        <v>0.52876333333333303</v>
      </c>
      <c r="C19" s="92">
        <v>0.49609177777777702</v>
      </c>
      <c r="D19" s="92">
        <v>0.48491466666666599</v>
      </c>
      <c r="E19" s="92">
        <v>0.47201799999999999</v>
      </c>
      <c r="F19" s="92">
        <v>0.456542</v>
      </c>
      <c r="G19" s="92">
        <v>0.43246822222222198</v>
      </c>
      <c r="H19" s="92">
        <v>0.39893688888888801</v>
      </c>
      <c r="I19" s="92">
        <v>0.36024688888888801</v>
      </c>
      <c r="J19" s="92">
        <v>0.34821000000000002</v>
      </c>
      <c r="K19" s="99">
        <v>0.27426911111111102</v>
      </c>
    </row>
    <row r="20" spans="1:11" x14ac:dyDescent="0.25">
      <c r="A20" s="94">
        <v>2030</v>
      </c>
      <c r="B20" s="92">
        <v>0.53259000000000001</v>
      </c>
      <c r="C20" s="92">
        <v>0.49968199999999902</v>
      </c>
      <c r="D20" s="92">
        <v>0.48842399999999903</v>
      </c>
      <c r="E20" s="92">
        <v>0.47543400000000002</v>
      </c>
      <c r="F20" s="92">
        <v>0.45984599999999998</v>
      </c>
      <c r="G20" s="92">
        <v>0.43559799999999999</v>
      </c>
      <c r="H20" s="92">
        <v>0.40182400000000001</v>
      </c>
      <c r="I20" s="92">
        <v>0.36285400000000001</v>
      </c>
      <c r="J20" s="92">
        <v>0.35072999999999999</v>
      </c>
      <c r="K20" s="99">
        <v>0.276254</v>
      </c>
    </row>
    <row r="21" spans="1:11" x14ac:dyDescent="0.25">
      <c r="A21" s="94">
        <v>2031</v>
      </c>
      <c r="B21" s="92">
        <v>0.53302050000000001</v>
      </c>
      <c r="C21" s="92">
        <v>0.50008589999999997</v>
      </c>
      <c r="D21" s="92">
        <v>0.488818799999999</v>
      </c>
      <c r="E21" s="92">
        <v>0.47581830000000003</v>
      </c>
      <c r="F21" s="92">
        <v>0.46021770000000001</v>
      </c>
      <c r="G21" s="92">
        <v>0.43595010000000001</v>
      </c>
      <c r="H21" s="92">
        <v>0.40214879999999997</v>
      </c>
      <c r="I21" s="92">
        <v>0.36314730000000001</v>
      </c>
      <c r="J21" s="92">
        <v>0.35101349999999998</v>
      </c>
      <c r="K21" s="99">
        <v>0.27647729999999998</v>
      </c>
    </row>
    <row r="22" spans="1:11" x14ac:dyDescent="0.25">
      <c r="A22" s="94">
        <v>2032</v>
      </c>
      <c r="B22" s="92">
        <v>0.53345100000000001</v>
      </c>
      <c r="C22" s="92">
        <v>0.50048979999999998</v>
      </c>
      <c r="D22" s="92">
        <v>0.48921359999999903</v>
      </c>
      <c r="E22" s="92">
        <v>0.47620259999999998</v>
      </c>
      <c r="F22" s="92">
        <v>0.46058939999999998</v>
      </c>
      <c r="G22" s="92">
        <v>0.43630219999999997</v>
      </c>
      <c r="H22" s="92">
        <v>0.40247359999999999</v>
      </c>
      <c r="I22" s="92">
        <v>0.363440599999999</v>
      </c>
      <c r="J22" s="92">
        <v>0.35129700000000003</v>
      </c>
      <c r="K22" s="99">
        <v>0.27670059999999902</v>
      </c>
    </row>
    <row r="23" spans="1:11" x14ac:dyDescent="0.25">
      <c r="A23" s="94">
        <v>2033</v>
      </c>
      <c r="B23" s="92">
        <v>0.53388150000000001</v>
      </c>
      <c r="C23" s="92">
        <v>0.5008937</v>
      </c>
      <c r="D23" s="92">
        <v>0.489608399999999</v>
      </c>
      <c r="E23" s="92">
        <v>0.47658689999999998</v>
      </c>
      <c r="F23" s="92">
        <v>0.46096110000000001</v>
      </c>
      <c r="G23" s="92">
        <v>0.4366543</v>
      </c>
      <c r="H23" s="92">
        <v>0.4027984</v>
      </c>
      <c r="I23" s="92">
        <v>0.3637339</v>
      </c>
      <c r="J23" s="92">
        <v>0.35158050000000002</v>
      </c>
      <c r="K23" s="99">
        <v>0.2769239</v>
      </c>
    </row>
    <row r="24" spans="1:11" x14ac:dyDescent="0.25">
      <c r="A24" s="94">
        <v>2034</v>
      </c>
      <c r="B24" s="92">
        <v>0.53431200000000001</v>
      </c>
      <c r="C24" s="92">
        <v>0.50129760000000001</v>
      </c>
      <c r="D24" s="92">
        <v>0.49000319999999897</v>
      </c>
      <c r="E24" s="92">
        <v>0.47697119999999998</v>
      </c>
      <c r="F24" s="92">
        <v>0.46133279999999999</v>
      </c>
      <c r="G24" s="92">
        <v>0.43700640000000002</v>
      </c>
      <c r="H24" s="92">
        <v>0.40312320000000001</v>
      </c>
      <c r="I24" s="92">
        <v>0.3640272</v>
      </c>
      <c r="J24" s="92">
        <v>0.35186400000000001</v>
      </c>
      <c r="K24" s="99">
        <v>0.27714719999999998</v>
      </c>
    </row>
    <row r="25" spans="1:11" x14ac:dyDescent="0.25">
      <c r="A25" s="94">
        <v>2035</v>
      </c>
      <c r="B25" s="92">
        <v>0.53474250000000001</v>
      </c>
      <c r="C25" s="92">
        <v>0.50170149999999902</v>
      </c>
      <c r="D25" s="92">
        <v>0.490397999999999</v>
      </c>
      <c r="E25" s="92">
        <v>0.47735549999999999</v>
      </c>
      <c r="F25" s="92">
        <v>0.46170450000000002</v>
      </c>
      <c r="G25" s="92">
        <v>0.43735849999999998</v>
      </c>
      <c r="H25" s="92">
        <v>0.40344799999999997</v>
      </c>
      <c r="I25" s="92">
        <v>0.36432049999999899</v>
      </c>
      <c r="J25" s="92">
        <v>0.3521475</v>
      </c>
      <c r="K25" s="99">
        <v>0.27737050000000002</v>
      </c>
    </row>
    <row r="26" spans="1:11" x14ac:dyDescent="0.25">
      <c r="A26" s="94">
        <v>2036</v>
      </c>
      <c r="B26" s="92">
        <v>0.53517300000000001</v>
      </c>
      <c r="C26" s="92">
        <v>0.50210539999999904</v>
      </c>
      <c r="D26" s="92">
        <v>0.49079279999999897</v>
      </c>
      <c r="E26" s="92">
        <v>0.47773979999999999</v>
      </c>
      <c r="F26" s="92">
        <v>0.46207619999999999</v>
      </c>
      <c r="G26" s="92">
        <v>0.43771060000000001</v>
      </c>
      <c r="H26" s="92">
        <v>0.40377279999999999</v>
      </c>
      <c r="I26" s="92">
        <v>0.36461379999999999</v>
      </c>
      <c r="J26" s="92">
        <v>0.35243099999999999</v>
      </c>
      <c r="K26" s="99">
        <v>0.2775938</v>
      </c>
    </row>
    <row r="27" spans="1:11" x14ac:dyDescent="0.25">
      <c r="A27" s="94">
        <v>2037</v>
      </c>
      <c r="B27" s="92">
        <v>0.53560350000000001</v>
      </c>
      <c r="C27" s="92">
        <v>0.50250929999999905</v>
      </c>
      <c r="D27" s="92">
        <v>0.491187599999999</v>
      </c>
      <c r="E27" s="92">
        <v>0.4781241</v>
      </c>
      <c r="F27" s="92">
        <v>0.46244790000000002</v>
      </c>
      <c r="G27" s="92">
        <v>0.43806270000000003</v>
      </c>
      <c r="H27" s="92">
        <v>0.4040976</v>
      </c>
      <c r="I27" s="92">
        <v>0.36490709999999998</v>
      </c>
      <c r="J27" s="92">
        <v>0.35271449999999999</v>
      </c>
      <c r="K27" s="99">
        <v>0.27781709999999998</v>
      </c>
    </row>
    <row r="28" spans="1:11" x14ac:dyDescent="0.25">
      <c r="A28" s="94">
        <v>2038</v>
      </c>
      <c r="B28" s="92">
        <v>0.53603399999999901</v>
      </c>
      <c r="C28" s="92">
        <v>0.50291319999999995</v>
      </c>
      <c r="D28" s="92">
        <v>0.49158239999999898</v>
      </c>
      <c r="E28" s="92">
        <v>0.4785084</v>
      </c>
      <c r="F28" s="92">
        <v>0.4628196</v>
      </c>
      <c r="G28" s="92">
        <v>0.43841479999999999</v>
      </c>
      <c r="H28" s="92">
        <v>0.40442240000000002</v>
      </c>
      <c r="I28" s="92">
        <v>0.36520039999999998</v>
      </c>
      <c r="J28" s="92">
        <v>0.35299799999999998</v>
      </c>
      <c r="K28" s="99">
        <v>0.27804040000000002</v>
      </c>
    </row>
    <row r="29" spans="1:11" x14ac:dyDescent="0.25">
      <c r="A29" s="94">
        <v>2039</v>
      </c>
      <c r="B29" s="92">
        <v>0.53646450000000001</v>
      </c>
      <c r="C29" s="92">
        <v>0.50331709999999996</v>
      </c>
      <c r="D29" s="92">
        <v>0.491977199999999</v>
      </c>
      <c r="E29" s="92">
        <v>0.4788927</v>
      </c>
      <c r="F29" s="92">
        <v>0.46319129999999997</v>
      </c>
      <c r="G29" s="92">
        <v>0.43876689999999902</v>
      </c>
      <c r="H29" s="92">
        <v>0.40474719999999997</v>
      </c>
      <c r="I29" s="92">
        <v>0.36549369999999998</v>
      </c>
      <c r="J29" s="92">
        <v>0.35328150000000003</v>
      </c>
      <c r="K29" s="99">
        <v>0.2782637</v>
      </c>
    </row>
    <row r="30" spans="1:11" x14ac:dyDescent="0.25">
      <c r="A30" s="94">
        <v>2040</v>
      </c>
      <c r="B30" s="92">
        <v>0.53689500000000001</v>
      </c>
      <c r="C30" s="92">
        <v>0.50372099999999997</v>
      </c>
      <c r="D30" s="92">
        <v>0.49237199999999998</v>
      </c>
      <c r="E30" s="92">
        <v>0.47927700000000001</v>
      </c>
      <c r="F30" s="92">
        <v>0.463563</v>
      </c>
      <c r="G30" s="92">
        <v>0.43911899999999998</v>
      </c>
      <c r="H30" s="92">
        <v>0.40507199999999999</v>
      </c>
      <c r="I30" s="92">
        <v>0.36578699999999997</v>
      </c>
      <c r="J30" s="92">
        <v>0.35356500000000002</v>
      </c>
      <c r="K30" s="99">
        <v>0.27848699999999998</v>
      </c>
    </row>
    <row r="31" spans="1:11" x14ac:dyDescent="0.25">
      <c r="A31" s="94">
        <v>2041</v>
      </c>
      <c r="B31" s="92">
        <v>0.53732550000000001</v>
      </c>
      <c r="C31" s="92">
        <v>0.50412489999999999</v>
      </c>
      <c r="D31" s="92">
        <v>0.49276679999999901</v>
      </c>
      <c r="E31" s="92">
        <v>0.47966130000000001</v>
      </c>
      <c r="F31" s="92">
        <v>0.46393469999999998</v>
      </c>
      <c r="G31" s="92">
        <v>0.4394711</v>
      </c>
      <c r="H31" s="92">
        <v>0.4053968</v>
      </c>
      <c r="I31" s="92">
        <v>0.36608030000000003</v>
      </c>
      <c r="J31" s="92">
        <v>0.35384850000000001</v>
      </c>
      <c r="K31" s="99">
        <v>0.27871030000000002</v>
      </c>
    </row>
    <row r="32" spans="1:11" x14ac:dyDescent="0.25">
      <c r="A32" s="94">
        <v>2042</v>
      </c>
      <c r="B32" s="92">
        <v>0.53775600000000001</v>
      </c>
      <c r="C32" s="92">
        <v>0.5045288</v>
      </c>
      <c r="D32" s="92">
        <v>0.49316159999999998</v>
      </c>
      <c r="E32" s="92">
        <v>0.48004560000000002</v>
      </c>
      <c r="F32" s="92">
        <v>0.46430640000000001</v>
      </c>
      <c r="G32" s="92">
        <v>0.43982320000000003</v>
      </c>
      <c r="H32" s="92">
        <v>0.40572160000000002</v>
      </c>
      <c r="I32" s="92">
        <v>0.36637360000000002</v>
      </c>
      <c r="J32" s="92">
        <v>0.354132</v>
      </c>
      <c r="K32" s="99">
        <v>0.2789336</v>
      </c>
    </row>
    <row r="33" spans="1:11" x14ac:dyDescent="0.25">
      <c r="A33" s="94">
        <v>2043</v>
      </c>
      <c r="B33" s="92">
        <v>0.53818650000000001</v>
      </c>
      <c r="C33" s="92">
        <v>0.50493270000000001</v>
      </c>
      <c r="D33" s="92">
        <v>0.49355639999999901</v>
      </c>
      <c r="E33" s="92">
        <v>0.48042990000000002</v>
      </c>
      <c r="F33" s="92">
        <v>0.46467809999999998</v>
      </c>
      <c r="G33" s="92">
        <v>0.44017529999999999</v>
      </c>
      <c r="H33" s="92">
        <v>0.40604639999999997</v>
      </c>
      <c r="I33" s="92">
        <v>0.36666689999999902</v>
      </c>
      <c r="J33" s="92">
        <v>0.35441549999999999</v>
      </c>
      <c r="K33" s="99">
        <v>0.27915689999999999</v>
      </c>
    </row>
    <row r="34" spans="1:11" x14ac:dyDescent="0.25">
      <c r="A34" s="94">
        <v>2044</v>
      </c>
      <c r="B34" s="92">
        <v>0.53861700000000001</v>
      </c>
      <c r="C34" s="92">
        <v>0.50533660000000002</v>
      </c>
      <c r="D34" s="92">
        <v>0.49395119999999998</v>
      </c>
      <c r="E34" s="92">
        <v>0.48081420000000002</v>
      </c>
      <c r="F34" s="92">
        <v>0.46504980000000001</v>
      </c>
      <c r="G34" s="92">
        <v>0.44052740000000001</v>
      </c>
      <c r="H34" s="92">
        <v>0.40637119999999999</v>
      </c>
      <c r="I34" s="92">
        <v>0.36696020000000001</v>
      </c>
      <c r="J34" s="92">
        <v>0.35469899999999999</v>
      </c>
      <c r="K34" s="99">
        <v>0.27938020000000002</v>
      </c>
    </row>
    <row r="35" spans="1:11" x14ac:dyDescent="0.25">
      <c r="A35" s="94">
        <v>2045</v>
      </c>
      <c r="B35" s="92">
        <v>0.53904750000000001</v>
      </c>
      <c r="C35" s="92">
        <v>0.50574050000000004</v>
      </c>
      <c r="D35" s="92">
        <v>0.49434600000000001</v>
      </c>
      <c r="E35" s="92">
        <v>0.48119849999999997</v>
      </c>
      <c r="F35" s="92">
        <v>0.46542149999999999</v>
      </c>
      <c r="G35" s="92">
        <v>0.44087949999999998</v>
      </c>
      <c r="H35" s="92">
        <v>0.406696</v>
      </c>
      <c r="I35" s="92">
        <v>0.36725350000000001</v>
      </c>
      <c r="J35" s="92">
        <v>0.35498249999999998</v>
      </c>
      <c r="K35" s="99">
        <v>0.2796035</v>
      </c>
    </row>
    <row r="36" spans="1:11" x14ac:dyDescent="0.25">
      <c r="A36" s="94">
        <v>2046</v>
      </c>
      <c r="B36" s="92">
        <v>0.53947800000000001</v>
      </c>
      <c r="C36" s="92">
        <v>0.50614440000000005</v>
      </c>
      <c r="D36" s="92">
        <v>0.49474079999999898</v>
      </c>
      <c r="E36" s="92">
        <v>0.48158279999999998</v>
      </c>
      <c r="F36" s="92">
        <v>0.46579320000000002</v>
      </c>
      <c r="G36" s="92">
        <v>0.4412316</v>
      </c>
      <c r="H36" s="92">
        <v>0.40702080000000002</v>
      </c>
      <c r="I36" s="92">
        <v>0.36754679999999901</v>
      </c>
      <c r="J36" s="92">
        <v>0.35526600000000003</v>
      </c>
      <c r="K36" s="99">
        <v>0.27982679999999999</v>
      </c>
    </row>
    <row r="37" spans="1:11" x14ac:dyDescent="0.25">
      <c r="A37" s="94">
        <v>2047</v>
      </c>
      <c r="B37" s="92">
        <v>0.53990850000000001</v>
      </c>
      <c r="C37" s="92">
        <v>0.50654829999999995</v>
      </c>
      <c r="D37" s="92">
        <v>0.49513559999999901</v>
      </c>
      <c r="E37" s="92">
        <v>0.48196709999999998</v>
      </c>
      <c r="F37" s="92">
        <v>0.46616489999999999</v>
      </c>
      <c r="G37" s="92">
        <v>0.44158370000000002</v>
      </c>
      <c r="H37" s="92">
        <v>0.40734559999999997</v>
      </c>
      <c r="I37" s="92">
        <v>0.3678401</v>
      </c>
      <c r="J37" s="92">
        <v>0.35554950000000002</v>
      </c>
      <c r="K37" s="99">
        <v>0.28005010000000002</v>
      </c>
    </row>
    <row r="38" spans="1:11" x14ac:dyDescent="0.25">
      <c r="A38" s="94">
        <v>2048</v>
      </c>
      <c r="B38" s="92">
        <v>0.54033900000000001</v>
      </c>
      <c r="C38" s="92">
        <v>0.50695219999999996</v>
      </c>
      <c r="D38" s="92">
        <v>0.49553039999999998</v>
      </c>
      <c r="E38" s="92">
        <v>0.48235139999999999</v>
      </c>
      <c r="F38" s="92">
        <v>0.46653660000000002</v>
      </c>
      <c r="G38" s="92">
        <v>0.44193579999999999</v>
      </c>
      <c r="H38" s="92">
        <v>0.40767039999999999</v>
      </c>
      <c r="I38" s="92">
        <v>0.3681334</v>
      </c>
      <c r="J38" s="92">
        <v>0.35583300000000001</v>
      </c>
      <c r="K38" s="99">
        <v>0.28027340000000001</v>
      </c>
    </row>
    <row r="39" spans="1:11" x14ac:dyDescent="0.25">
      <c r="A39" s="94">
        <v>2049</v>
      </c>
      <c r="B39" s="92">
        <v>0.54076950000000001</v>
      </c>
      <c r="C39" s="92">
        <v>0.50735609999999998</v>
      </c>
      <c r="D39" s="92">
        <v>0.49592519999999901</v>
      </c>
      <c r="E39" s="92">
        <v>0.48273569999999999</v>
      </c>
      <c r="F39" s="92">
        <v>0.4669083</v>
      </c>
      <c r="G39" s="92">
        <v>0.44228790000000001</v>
      </c>
      <c r="H39" s="92">
        <v>0.4079952</v>
      </c>
      <c r="I39" s="92">
        <v>0.3684267</v>
      </c>
      <c r="J39" s="92">
        <v>0.3561165</v>
      </c>
      <c r="K39" s="99">
        <v>0.28049669999999999</v>
      </c>
    </row>
    <row r="40" spans="1:11" x14ac:dyDescent="0.25">
      <c r="A40" s="105">
        <v>2050</v>
      </c>
      <c r="B40" s="106">
        <v>0.54120000000000001</v>
      </c>
      <c r="C40" s="106">
        <v>0.50775999999999999</v>
      </c>
      <c r="D40" s="106">
        <v>0.49631999999999898</v>
      </c>
      <c r="E40" s="106">
        <v>0.48311999999999999</v>
      </c>
      <c r="F40" s="106">
        <v>0.46727999999999997</v>
      </c>
      <c r="G40" s="106">
        <v>0.44263999999999998</v>
      </c>
      <c r="H40" s="106">
        <v>0.40832000000000002</v>
      </c>
      <c r="I40" s="106">
        <v>0.36871999999999999</v>
      </c>
      <c r="J40" s="106">
        <v>0.35639999999999999</v>
      </c>
      <c r="K40" s="107">
        <v>0.28072000000000003</v>
      </c>
    </row>
  </sheetData>
  <sheetProtection algorithmName="SHA-512" hashValue="r/JlRKo6/JSJTPZlsDDsyKwz3yrodaEZL+biiIP2iJNhw1x/mXlJ5FV//i404i6Mt3QdFHNrlchzbLe/sw9a/w==" saltValue="IveU/I3GDPdCiviV99xFCw==" spinCount="100000" sheet="1" objects="1" scenarios="1"/>
  <phoneticPr fontId="19" type="noConversion"/>
  <pageMargins left="0.7" right="0.7" top="0.75" bottom="0.75" header="0.3" footer="0.3"/>
  <pageSetup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2E48C-1911-4900-BC69-3A60B60E0777}">
  <sheetPr codeName="Sheet5"/>
  <dimension ref="A1:BJ211"/>
  <sheetViews>
    <sheetView zoomScale="90" zoomScaleNormal="90" workbookViewId="0"/>
  </sheetViews>
  <sheetFormatPr defaultColWidth="9.140625" defaultRowHeight="15" x14ac:dyDescent="0.25"/>
  <cols>
    <col min="1" max="1" width="14.42578125" style="77" customWidth="1"/>
    <col min="2" max="2" width="10.42578125" style="77" customWidth="1"/>
    <col min="3" max="3" width="35.42578125" style="77" customWidth="1"/>
    <col min="4" max="4" width="21.42578125" style="77" customWidth="1"/>
    <col min="5" max="5" width="23.42578125" style="77" bestFit="1" customWidth="1"/>
    <col min="6" max="33" width="6.42578125" style="77" customWidth="1"/>
    <col min="34" max="16384" width="9.140625" style="77"/>
  </cols>
  <sheetData>
    <row r="1" spans="1:33" x14ac:dyDescent="0.25">
      <c r="A1" s="77" t="s">
        <v>259</v>
      </c>
      <c r="B1" s="77" t="s">
        <v>260</v>
      </c>
      <c r="C1" s="78" t="s">
        <v>261</v>
      </c>
      <c r="D1" s="77" t="s">
        <v>262</v>
      </c>
      <c r="E1" s="77" t="s">
        <v>263</v>
      </c>
      <c r="F1" s="79">
        <v>2023</v>
      </c>
      <c r="G1" s="79">
        <v>2024</v>
      </c>
      <c r="H1" s="79">
        <v>2025</v>
      </c>
      <c r="I1" s="79">
        <v>2026</v>
      </c>
      <c r="J1" s="79">
        <v>2027</v>
      </c>
      <c r="K1" s="79">
        <v>2028</v>
      </c>
      <c r="L1" s="79">
        <v>2029</v>
      </c>
      <c r="M1" s="79">
        <v>2030</v>
      </c>
      <c r="N1" s="79">
        <v>2031</v>
      </c>
      <c r="O1" s="79">
        <v>2032</v>
      </c>
      <c r="P1" s="79">
        <v>2033</v>
      </c>
      <c r="Q1" s="79">
        <v>2034</v>
      </c>
      <c r="R1" s="79">
        <v>2035</v>
      </c>
      <c r="S1" s="79">
        <v>2036</v>
      </c>
      <c r="T1" s="79">
        <v>2037</v>
      </c>
      <c r="U1" s="79">
        <v>2038</v>
      </c>
      <c r="V1" s="79">
        <v>2039</v>
      </c>
      <c r="W1" s="79">
        <v>2040</v>
      </c>
      <c r="X1" s="79">
        <v>2041</v>
      </c>
      <c r="Y1" s="79">
        <v>2042</v>
      </c>
      <c r="Z1" s="79">
        <v>2043</v>
      </c>
      <c r="AA1" s="79">
        <v>2044</v>
      </c>
      <c r="AB1" s="79">
        <v>2045</v>
      </c>
      <c r="AC1" s="79">
        <v>2046</v>
      </c>
      <c r="AD1" s="79">
        <v>2047</v>
      </c>
      <c r="AE1" s="79">
        <v>2048</v>
      </c>
      <c r="AF1" s="79">
        <v>2049</v>
      </c>
      <c r="AG1" s="79">
        <v>2050</v>
      </c>
    </row>
    <row r="2" spans="1:33" x14ac:dyDescent="0.25">
      <c r="A2" s="78" t="s">
        <v>264</v>
      </c>
      <c r="B2" s="78" t="s">
        <v>265</v>
      </c>
      <c r="C2" s="78" t="s">
        <v>298</v>
      </c>
      <c r="D2" s="78" t="s">
        <v>285</v>
      </c>
      <c r="E2" s="78" t="s">
        <v>206</v>
      </c>
      <c r="F2" s="80">
        <v>55.947952270507813</v>
      </c>
      <c r="G2" s="80">
        <v>45.102180480957031</v>
      </c>
      <c r="H2" s="81">
        <v>44.40381087518395</v>
      </c>
      <c r="I2" s="81">
        <v>45.464482311872089</v>
      </c>
      <c r="J2" s="81">
        <v>43.569115003894829</v>
      </c>
      <c r="K2" s="81">
        <v>41.546842024716476</v>
      </c>
      <c r="L2" s="81">
        <v>39.620808019386679</v>
      </c>
      <c r="M2" s="81">
        <v>36.510041023540225</v>
      </c>
      <c r="N2" s="81">
        <v>37.678339795530114</v>
      </c>
      <c r="O2" s="81">
        <v>38.337538919949878</v>
      </c>
      <c r="P2" s="81">
        <v>37.947902005319712</v>
      </c>
      <c r="Q2" s="81">
        <v>37.496343314484875</v>
      </c>
      <c r="R2" s="81">
        <v>36.383852045717887</v>
      </c>
      <c r="S2" s="81">
        <v>36.051856259895402</v>
      </c>
      <c r="T2" s="81">
        <v>35.51507840378725</v>
      </c>
      <c r="U2" s="81">
        <v>35.737426757187862</v>
      </c>
      <c r="V2" s="81">
        <v>34.927936101139906</v>
      </c>
      <c r="W2" s="81">
        <v>34.23566606333803</v>
      </c>
      <c r="X2" s="81">
        <v>34.589737857764149</v>
      </c>
      <c r="Y2" s="81">
        <v>34.253235066368774</v>
      </c>
      <c r="Z2" s="81">
        <v>33.598909583751073</v>
      </c>
      <c r="AA2" s="81">
        <v>32.720888426104302</v>
      </c>
      <c r="AB2" s="81">
        <v>32.925083392876836</v>
      </c>
      <c r="AC2" s="81">
        <v>33.591758447110578</v>
      </c>
      <c r="AD2" s="81">
        <v>33.324323051604765</v>
      </c>
      <c r="AE2" s="81">
        <v>33.787863817119401</v>
      </c>
      <c r="AF2" s="81">
        <v>33.923111869089539</v>
      </c>
      <c r="AG2" s="81">
        <v>35.161126622812738</v>
      </c>
    </row>
    <row r="3" spans="1:33" x14ac:dyDescent="0.25">
      <c r="A3" s="78" t="s">
        <v>264</v>
      </c>
      <c r="B3" s="78" t="s">
        <v>265</v>
      </c>
      <c r="C3" s="78" t="s">
        <v>299</v>
      </c>
      <c r="D3" s="78" t="s">
        <v>285</v>
      </c>
      <c r="E3" s="78" t="s">
        <v>208</v>
      </c>
      <c r="F3" s="80">
        <v>54.708049774169922</v>
      </c>
      <c r="G3" s="80">
        <v>44.390880584716797</v>
      </c>
      <c r="H3" s="81">
        <v>44.35540150221118</v>
      </c>
      <c r="I3" s="81">
        <v>44.792489149491175</v>
      </c>
      <c r="J3" s="81">
        <v>42.939076741996445</v>
      </c>
      <c r="K3" s="81">
        <v>41.087591297592162</v>
      </c>
      <c r="L3" s="81">
        <v>39.643773844066438</v>
      </c>
      <c r="M3" s="81">
        <v>36.445545311907495</v>
      </c>
      <c r="N3" s="81">
        <v>37.54922959172</v>
      </c>
      <c r="O3" s="81">
        <v>38.200422258150724</v>
      </c>
      <c r="P3" s="81">
        <v>37.346351482304833</v>
      </c>
      <c r="Q3" s="81">
        <v>36.916120199397554</v>
      </c>
      <c r="R3" s="81">
        <v>35.795658822300943</v>
      </c>
      <c r="S3" s="81">
        <v>35.383155196449756</v>
      </c>
      <c r="T3" s="81">
        <v>34.785116258629841</v>
      </c>
      <c r="U3" s="81">
        <v>34.942027351521006</v>
      </c>
      <c r="V3" s="81">
        <v>34.05112126582948</v>
      </c>
      <c r="W3" s="81">
        <v>33.296606708282425</v>
      </c>
      <c r="X3" s="81">
        <v>33.682098006642356</v>
      </c>
      <c r="Y3" s="81">
        <v>33.452046036035732</v>
      </c>
      <c r="Z3" s="81">
        <v>33.409456128806021</v>
      </c>
      <c r="AA3" s="81">
        <v>32.591024273724855</v>
      </c>
      <c r="AB3" s="81">
        <v>32.853337916671769</v>
      </c>
      <c r="AC3" s="81">
        <v>33.449361420040461</v>
      </c>
      <c r="AD3" s="81">
        <v>33.120743382311808</v>
      </c>
      <c r="AE3" s="81">
        <v>33.286283221435149</v>
      </c>
      <c r="AF3" s="81">
        <v>33.397005141484129</v>
      </c>
      <c r="AG3" s="81">
        <v>34.665046978153882</v>
      </c>
    </row>
    <row r="4" spans="1:33" x14ac:dyDescent="0.25">
      <c r="A4" s="78" t="s">
        <v>264</v>
      </c>
      <c r="B4" s="78" t="s">
        <v>265</v>
      </c>
      <c r="C4" s="78" t="s">
        <v>300</v>
      </c>
      <c r="D4" s="78" t="s">
        <v>285</v>
      </c>
      <c r="E4" s="78" t="s">
        <v>212</v>
      </c>
      <c r="F4" s="80">
        <v>46.927158355712891</v>
      </c>
      <c r="G4" s="80">
        <v>37.766517639160163</v>
      </c>
      <c r="H4" s="81">
        <v>45.816258162444463</v>
      </c>
      <c r="I4" s="81">
        <v>47.250747881852888</v>
      </c>
      <c r="J4" s="81">
        <v>44.903649601455733</v>
      </c>
      <c r="K4" s="81">
        <v>42.582345851691748</v>
      </c>
      <c r="L4" s="81">
        <v>40.064201190319459</v>
      </c>
      <c r="M4" s="81">
        <v>36.877116423313886</v>
      </c>
      <c r="N4" s="81">
        <v>37.906141813306093</v>
      </c>
      <c r="O4" s="81">
        <v>38.484065460292911</v>
      </c>
      <c r="P4" s="81">
        <v>38.187496610774488</v>
      </c>
      <c r="Q4" s="81">
        <v>37.831145501387518</v>
      </c>
      <c r="R4" s="81">
        <v>36.654988511432251</v>
      </c>
      <c r="S4" s="81">
        <v>36.345766231292401</v>
      </c>
      <c r="T4" s="81">
        <v>35.703395757490895</v>
      </c>
      <c r="U4" s="81">
        <v>36.242319449132843</v>
      </c>
      <c r="V4" s="81">
        <v>35.432420891301504</v>
      </c>
      <c r="W4" s="81">
        <v>34.905703479513214</v>
      </c>
      <c r="X4" s="81">
        <v>35.3059059170875</v>
      </c>
      <c r="Y4" s="81">
        <v>35.112407337087852</v>
      </c>
      <c r="Z4" s="81">
        <v>34.486661061146997</v>
      </c>
      <c r="AA4" s="81">
        <v>33.629132346421187</v>
      </c>
      <c r="AB4" s="81">
        <v>33.825802817227448</v>
      </c>
      <c r="AC4" s="81">
        <v>34.476666269028911</v>
      </c>
      <c r="AD4" s="81">
        <v>34.041698886680223</v>
      </c>
      <c r="AE4" s="81">
        <v>34.145440782923963</v>
      </c>
      <c r="AF4" s="81">
        <v>34.171853346930014</v>
      </c>
      <c r="AG4" s="81">
        <v>35.317048102301051</v>
      </c>
    </row>
    <row r="5" spans="1:33" x14ac:dyDescent="0.25">
      <c r="A5" s="78" t="s">
        <v>264</v>
      </c>
      <c r="B5" s="78" t="s">
        <v>265</v>
      </c>
      <c r="C5" s="78" t="s">
        <v>301</v>
      </c>
      <c r="D5" s="78" t="s">
        <v>285</v>
      </c>
      <c r="E5" s="78" t="s">
        <v>215</v>
      </c>
      <c r="F5" s="80">
        <v>46.138347625732422</v>
      </c>
      <c r="G5" s="80">
        <v>37.200614929199219</v>
      </c>
      <c r="H5" s="81">
        <v>44.813503806748166</v>
      </c>
      <c r="I5" s="81">
        <v>45.425337310362821</v>
      </c>
      <c r="J5" s="81">
        <v>43.377231236044068</v>
      </c>
      <c r="K5" s="81">
        <v>41.530431098205732</v>
      </c>
      <c r="L5" s="81">
        <v>39.153691490060403</v>
      </c>
      <c r="M5" s="81">
        <v>36.343818671228334</v>
      </c>
      <c r="N5" s="81">
        <v>37.338413497079635</v>
      </c>
      <c r="O5" s="81">
        <v>37.889061580761748</v>
      </c>
      <c r="P5" s="81">
        <v>37.090578668439669</v>
      </c>
      <c r="Q5" s="81">
        <v>36.622630555728875</v>
      </c>
      <c r="R5" s="81">
        <v>35.402107328474983</v>
      </c>
      <c r="S5" s="81">
        <v>35.07525388599943</v>
      </c>
      <c r="T5" s="81">
        <v>34.445933068305202</v>
      </c>
      <c r="U5" s="81">
        <v>34.953643955193364</v>
      </c>
      <c r="V5" s="81">
        <v>34.101815365303246</v>
      </c>
      <c r="W5" s="81">
        <v>33.56325485410671</v>
      </c>
      <c r="X5" s="81">
        <v>33.982539201837938</v>
      </c>
      <c r="Y5" s="81">
        <v>33.730035257466071</v>
      </c>
      <c r="Z5" s="81">
        <v>33.364653598342777</v>
      </c>
      <c r="AA5" s="81">
        <v>32.541916563941967</v>
      </c>
      <c r="AB5" s="81">
        <v>32.737254913723362</v>
      </c>
      <c r="AC5" s="81">
        <v>33.212996464559019</v>
      </c>
      <c r="AD5" s="81">
        <v>32.653889297072453</v>
      </c>
      <c r="AE5" s="81">
        <v>32.952285618198339</v>
      </c>
      <c r="AF5" s="81">
        <v>32.919345189939278</v>
      </c>
      <c r="AG5" s="81">
        <v>33.98714612741221</v>
      </c>
    </row>
    <row r="6" spans="1:33" x14ac:dyDescent="0.25">
      <c r="A6" s="78" t="s">
        <v>264</v>
      </c>
      <c r="B6" s="78" t="s">
        <v>265</v>
      </c>
      <c r="C6" s="78" t="s">
        <v>302</v>
      </c>
      <c r="D6" s="78" t="s">
        <v>285</v>
      </c>
      <c r="E6" s="78" t="s">
        <v>218</v>
      </c>
      <c r="F6" s="80">
        <v>46.927158355712891</v>
      </c>
      <c r="G6" s="80">
        <v>37.766517639160163</v>
      </c>
      <c r="H6" s="81">
        <v>46.212876397521455</v>
      </c>
      <c r="I6" s="81">
        <v>48.00756316221387</v>
      </c>
      <c r="J6" s="81">
        <v>45.726365799075161</v>
      </c>
      <c r="K6" s="81">
        <v>43.262324040484586</v>
      </c>
      <c r="L6" s="81">
        <v>41.108626471682115</v>
      </c>
      <c r="M6" s="81">
        <v>38.014688591881828</v>
      </c>
      <c r="N6" s="81">
        <v>39.022949875559092</v>
      </c>
      <c r="O6" s="81">
        <v>39.500964677494913</v>
      </c>
      <c r="P6" s="81">
        <v>38.873095473663497</v>
      </c>
      <c r="Q6" s="81">
        <v>38.43771893290733</v>
      </c>
      <c r="R6" s="81">
        <v>37.243561079387945</v>
      </c>
      <c r="S6" s="81">
        <v>36.836570062141831</v>
      </c>
      <c r="T6" s="81">
        <v>36.16026644147032</v>
      </c>
      <c r="U6" s="81">
        <v>36.63741616538546</v>
      </c>
      <c r="V6" s="81">
        <v>35.74898943780633</v>
      </c>
      <c r="W6" s="81">
        <v>35.177216373299878</v>
      </c>
      <c r="X6" s="81">
        <v>35.7142972768535</v>
      </c>
      <c r="Y6" s="81">
        <v>35.579403885228487</v>
      </c>
      <c r="Z6" s="81">
        <v>34.893252508040376</v>
      </c>
      <c r="AA6" s="81">
        <v>34.105523928773835</v>
      </c>
      <c r="AB6" s="81">
        <v>34.383942108371357</v>
      </c>
      <c r="AC6" s="81">
        <v>35.010811352337157</v>
      </c>
      <c r="AD6" s="81">
        <v>34.50927571793207</v>
      </c>
      <c r="AE6" s="81">
        <v>34.627416643324814</v>
      </c>
      <c r="AF6" s="81">
        <v>34.684552384586461</v>
      </c>
      <c r="AG6" s="81">
        <v>35.818108610787412</v>
      </c>
    </row>
    <row r="7" spans="1:33" x14ac:dyDescent="0.25">
      <c r="A7" s="78" t="s">
        <v>264</v>
      </c>
      <c r="B7" s="78" t="s">
        <v>265</v>
      </c>
      <c r="C7" s="78" t="s">
        <v>303</v>
      </c>
      <c r="D7" s="78" t="s">
        <v>285</v>
      </c>
      <c r="E7" s="78" t="s">
        <v>221</v>
      </c>
      <c r="F7" s="80">
        <v>56.189304351806641</v>
      </c>
      <c r="G7" s="80">
        <v>43.606796264648438</v>
      </c>
      <c r="H7" s="81">
        <v>48.988237459070064</v>
      </c>
      <c r="I7" s="81">
        <v>52.114809939608378</v>
      </c>
      <c r="J7" s="81">
        <v>48.473347891595338</v>
      </c>
      <c r="K7" s="81">
        <v>46.223436761808053</v>
      </c>
      <c r="L7" s="81">
        <v>44.35656633478596</v>
      </c>
      <c r="M7" s="81">
        <v>41.896528093646175</v>
      </c>
      <c r="N7" s="81">
        <v>42.602283348178325</v>
      </c>
      <c r="O7" s="81">
        <v>43.15345698835678</v>
      </c>
      <c r="P7" s="81">
        <v>42.322563429588321</v>
      </c>
      <c r="Q7" s="81">
        <v>41.675030719482237</v>
      </c>
      <c r="R7" s="81">
        <v>40.608844707782168</v>
      </c>
      <c r="S7" s="81">
        <v>40.291602149114972</v>
      </c>
      <c r="T7" s="81">
        <v>39.776385910371026</v>
      </c>
      <c r="U7" s="81">
        <v>40.088940760433317</v>
      </c>
      <c r="V7" s="81">
        <v>39.151342458654277</v>
      </c>
      <c r="W7" s="81">
        <v>38.674870620486161</v>
      </c>
      <c r="X7" s="81">
        <v>39.098733928161323</v>
      </c>
      <c r="Y7" s="81">
        <v>38.894032014057316</v>
      </c>
      <c r="Z7" s="81">
        <v>38.66715291224638</v>
      </c>
      <c r="AA7" s="81">
        <v>38.245197662855354</v>
      </c>
      <c r="AB7" s="81">
        <v>38.585335707278098</v>
      </c>
      <c r="AC7" s="81">
        <v>39.075680714826802</v>
      </c>
      <c r="AD7" s="81">
        <v>38.916585081760338</v>
      </c>
      <c r="AE7" s="81">
        <v>38.78148461696837</v>
      </c>
      <c r="AF7" s="81">
        <v>39.063209209499234</v>
      </c>
      <c r="AG7" s="81">
        <v>40.497966571419987</v>
      </c>
    </row>
    <row r="8" spans="1:33" x14ac:dyDescent="0.25">
      <c r="A8" s="78" t="s">
        <v>264</v>
      </c>
      <c r="B8" s="78" t="s">
        <v>265</v>
      </c>
      <c r="C8" s="78" t="s">
        <v>304</v>
      </c>
      <c r="D8" s="78" t="s">
        <v>285</v>
      </c>
      <c r="E8" s="78" t="s">
        <v>223</v>
      </c>
      <c r="F8" s="80">
        <v>64.423934936523438</v>
      </c>
      <c r="G8" s="80">
        <v>47.331851959228523</v>
      </c>
      <c r="H8" s="81">
        <v>51.894798731785109</v>
      </c>
      <c r="I8" s="81">
        <v>52.621111716930372</v>
      </c>
      <c r="J8" s="81">
        <v>49.605784245593327</v>
      </c>
      <c r="K8" s="81">
        <v>46.874021579954601</v>
      </c>
      <c r="L8" s="81">
        <v>44.51499352216868</v>
      </c>
      <c r="M8" s="81">
        <v>42.08836776674223</v>
      </c>
      <c r="N8" s="81">
        <v>42.822954728459813</v>
      </c>
      <c r="O8" s="81">
        <v>43.381740740217339</v>
      </c>
      <c r="P8" s="81">
        <v>42.30435072503834</v>
      </c>
      <c r="Q8" s="81">
        <v>41.650829768968251</v>
      </c>
      <c r="R8" s="81">
        <v>40.407722273269677</v>
      </c>
      <c r="S8" s="81">
        <v>40.029779451704734</v>
      </c>
      <c r="T8" s="81">
        <v>39.450169052155289</v>
      </c>
      <c r="U8" s="81">
        <v>39.731848458580679</v>
      </c>
      <c r="V8" s="81">
        <v>38.631510392167691</v>
      </c>
      <c r="W8" s="81">
        <v>38.092779479889586</v>
      </c>
      <c r="X8" s="81">
        <v>38.601045946171801</v>
      </c>
      <c r="Y8" s="81">
        <v>38.705928860334829</v>
      </c>
      <c r="Z8" s="81">
        <v>39.067318353732276</v>
      </c>
      <c r="AA8" s="81">
        <v>38.379412277653088</v>
      </c>
      <c r="AB8" s="81">
        <v>38.958285053528996</v>
      </c>
      <c r="AC8" s="81">
        <v>39.533899476867667</v>
      </c>
      <c r="AD8" s="81">
        <v>39.414915100115692</v>
      </c>
      <c r="AE8" s="81">
        <v>39.654909029018924</v>
      </c>
      <c r="AF8" s="81">
        <v>40.043029357419485</v>
      </c>
      <c r="AG8" s="81">
        <v>41.47829469188185</v>
      </c>
    </row>
    <row r="9" spans="1:33" x14ac:dyDescent="0.25">
      <c r="A9" s="78" t="s">
        <v>264</v>
      </c>
      <c r="B9" s="78" t="s">
        <v>265</v>
      </c>
      <c r="C9" s="78" t="s">
        <v>305</v>
      </c>
      <c r="D9" s="78" t="s">
        <v>285</v>
      </c>
      <c r="E9" s="78" t="s">
        <v>225</v>
      </c>
      <c r="F9" s="80">
        <v>63.973106384277337</v>
      </c>
      <c r="G9" s="80">
        <v>47.127525329589837</v>
      </c>
      <c r="H9" s="81">
        <v>52.533526631981879</v>
      </c>
      <c r="I9" s="81">
        <v>52.889048430348687</v>
      </c>
      <c r="J9" s="81">
        <v>49.843620887181821</v>
      </c>
      <c r="K9" s="81">
        <v>47.129776491757809</v>
      </c>
      <c r="L9" s="81">
        <v>44.056091799128389</v>
      </c>
      <c r="M9" s="81">
        <v>41.284217683997063</v>
      </c>
      <c r="N9" s="81">
        <v>42.114820822729683</v>
      </c>
      <c r="O9" s="81">
        <v>42.7589898372321</v>
      </c>
      <c r="P9" s="81">
        <v>42.272145557450656</v>
      </c>
      <c r="Q9" s="81">
        <v>41.733313577785871</v>
      </c>
      <c r="R9" s="81">
        <v>40.604210341928059</v>
      </c>
      <c r="S9" s="81">
        <v>40.216318010994961</v>
      </c>
      <c r="T9" s="81">
        <v>39.619961682003833</v>
      </c>
      <c r="U9" s="81">
        <v>39.872478786166013</v>
      </c>
      <c r="V9" s="81">
        <v>38.776110291068989</v>
      </c>
      <c r="W9" s="81">
        <v>38.247665135905315</v>
      </c>
      <c r="X9" s="81">
        <v>38.700709370095062</v>
      </c>
      <c r="Y9" s="81">
        <v>38.77598064098045</v>
      </c>
      <c r="Z9" s="81">
        <v>39.238468574641431</v>
      </c>
      <c r="AA9" s="81">
        <v>38.505418898919416</v>
      </c>
      <c r="AB9" s="81">
        <v>39.070023536485557</v>
      </c>
      <c r="AC9" s="81">
        <v>39.660281695602869</v>
      </c>
      <c r="AD9" s="81">
        <v>39.549984005772323</v>
      </c>
      <c r="AE9" s="81">
        <v>39.75879696740494</v>
      </c>
      <c r="AF9" s="81">
        <v>40.209019752610338</v>
      </c>
      <c r="AG9" s="81">
        <v>41.674734922212316</v>
      </c>
    </row>
    <row r="10" spans="1:33" x14ac:dyDescent="0.25">
      <c r="A10" s="78" t="s">
        <v>264</v>
      </c>
      <c r="B10" s="78" t="s">
        <v>265</v>
      </c>
      <c r="C10" s="78" t="s">
        <v>306</v>
      </c>
      <c r="D10" s="78" t="s">
        <v>285</v>
      </c>
      <c r="E10" s="78" t="s">
        <v>228</v>
      </c>
      <c r="F10" s="80">
        <v>63.994617462158203</v>
      </c>
      <c r="G10" s="80">
        <v>48.027259826660163</v>
      </c>
      <c r="H10" s="81">
        <v>52.103732700618281</v>
      </c>
      <c r="I10" s="81">
        <v>52.965229043119848</v>
      </c>
      <c r="J10" s="81">
        <v>49.949679661324438</v>
      </c>
      <c r="K10" s="81">
        <v>47.189204066651875</v>
      </c>
      <c r="L10" s="81">
        <v>44.172090840132164</v>
      </c>
      <c r="M10" s="81">
        <v>41.376147300841765</v>
      </c>
      <c r="N10" s="81">
        <v>42.226868772438898</v>
      </c>
      <c r="O10" s="81">
        <v>42.89122082234821</v>
      </c>
      <c r="P10" s="81">
        <v>42.339013736720737</v>
      </c>
      <c r="Q10" s="81">
        <v>41.837476959739853</v>
      </c>
      <c r="R10" s="81">
        <v>40.704786368216226</v>
      </c>
      <c r="S10" s="81">
        <v>40.31034356476593</v>
      </c>
      <c r="T10" s="81">
        <v>39.706961723767918</v>
      </c>
      <c r="U10" s="81">
        <v>40.023982623368497</v>
      </c>
      <c r="V10" s="81">
        <v>38.903639401139067</v>
      </c>
      <c r="W10" s="81">
        <v>38.357350963616213</v>
      </c>
      <c r="X10" s="81">
        <v>38.842732829396681</v>
      </c>
      <c r="Y10" s="81">
        <v>38.92853138540103</v>
      </c>
      <c r="Z10" s="81">
        <v>39.259944487174145</v>
      </c>
      <c r="AA10" s="81">
        <v>38.508766876493787</v>
      </c>
      <c r="AB10" s="81">
        <v>39.090483203404133</v>
      </c>
      <c r="AC10" s="81">
        <v>39.715419039652012</v>
      </c>
      <c r="AD10" s="81">
        <v>39.629893260550844</v>
      </c>
      <c r="AE10" s="81">
        <v>40.014483071317635</v>
      </c>
      <c r="AF10" s="81">
        <v>40.445936872308643</v>
      </c>
      <c r="AG10" s="81">
        <v>41.894939448014263</v>
      </c>
    </row>
    <row r="11" spans="1:33" x14ac:dyDescent="0.25">
      <c r="A11" s="78" t="s">
        <v>264</v>
      </c>
      <c r="B11" s="78" t="s">
        <v>265</v>
      </c>
      <c r="C11" s="78" t="s">
        <v>307</v>
      </c>
      <c r="D11" s="78" t="s">
        <v>285</v>
      </c>
      <c r="E11" s="78" t="s">
        <v>232</v>
      </c>
      <c r="F11" s="80">
        <v>63.994617462158203</v>
      </c>
      <c r="G11" s="80">
        <v>48.027259826660163</v>
      </c>
      <c r="H11" s="81">
        <v>52.984906580331554</v>
      </c>
      <c r="I11" s="81">
        <v>54.673612254215136</v>
      </c>
      <c r="J11" s="81">
        <v>51.441787430394882</v>
      </c>
      <c r="K11" s="81">
        <v>49.103245317198123</v>
      </c>
      <c r="L11" s="81">
        <v>46.589146258657756</v>
      </c>
      <c r="M11" s="81">
        <v>44.389181443635302</v>
      </c>
      <c r="N11" s="81">
        <v>45.474343024706975</v>
      </c>
      <c r="O11" s="81">
        <v>45.683383497290862</v>
      </c>
      <c r="P11" s="81">
        <v>44.913238041993012</v>
      </c>
      <c r="Q11" s="81">
        <v>44.036499269992056</v>
      </c>
      <c r="R11" s="81">
        <v>42.873981702544825</v>
      </c>
      <c r="S11" s="81">
        <v>42.35216215368014</v>
      </c>
      <c r="T11" s="81">
        <v>41.68637655025632</v>
      </c>
      <c r="U11" s="81">
        <v>42.128439671919374</v>
      </c>
      <c r="V11" s="81">
        <v>41.021798526825762</v>
      </c>
      <c r="W11" s="81">
        <v>40.367404145791774</v>
      </c>
      <c r="X11" s="81">
        <v>40.898944945458773</v>
      </c>
      <c r="Y11" s="81">
        <v>41.127168803107743</v>
      </c>
      <c r="Z11" s="81">
        <v>41.677269918663789</v>
      </c>
      <c r="AA11" s="81">
        <v>41.068098489221931</v>
      </c>
      <c r="AB11" s="81">
        <v>41.631856930090727</v>
      </c>
      <c r="AC11" s="81">
        <v>42.531219920291733</v>
      </c>
      <c r="AD11" s="81">
        <v>42.441107399749875</v>
      </c>
      <c r="AE11" s="81">
        <v>43.167251141059992</v>
      </c>
      <c r="AF11" s="81">
        <v>43.553286885015105</v>
      </c>
      <c r="AG11" s="81">
        <v>45.184859318201681</v>
      </c>
    </row>
    <row r="12" spans="1:33" x14ac:dyDescent="0.25">
      <c r="A12" s="78" t="s">
        <v>264</v>
      </c>
      <c r="B12" s="78" t="s">
        <v>265</v>
      </c>
      <c r="C12" s="78" t="s">
        <v>308</v>
      </c>
      <c r="D12" s="78" t="s">
        <v>285</v>
      </c>
      <c r="E12" s="78" t="s">
        <v>239</v>
      </c>
      <c r="F12" s="80">
        <v>65.91546630859375</v>
      </c>
      <c r="G12" s="80">
        <v>49.426502227783203</v>
      </c>
      <c r="H12" s="81">
        <v>56.358501446252156</v>
      </c>
      <c r="I12" s="81">
        <v>57.757506191209394</v>
      </c>
      <c r="J12" s="81">
        <v>54.925802996285341</v>
      </c>
      <c r="K12" s="81">
        <v>51.893534709629833</v>
      </c>
      <c r="L12" s="81">
        <v>49.175101839700467</v>
      </c>
      <c r="M12" s="81">
        <v>46.548123504059305</v>
      </c>
      <c r="N12" s="81">
        <v>47.528530040420691</v>
      </c>
      <c r="O12" s="81">
        <v>47.981471029002051</v>
      </c>
      <c r="P12" s="81">
        <v>46.593121199247065</v>
      </c>
      <c r="Q12" s="81">
        <v>45.573538423217421</v>
      </c>
      <c r="R12" s="81">
        <v>44.114497595942517</v>
      </c>
      <c r="S12" s="81">
        <v>43.604149540658184</v>
      </c>
      <c r="T12" s="81">
        <v>42.944338364327592</v>
      </c>
      <c r="U12" s="81">
        <v>42.920646240980155</v>
      </c>
      <c r="V12" s="81">
        <v>41.842354705974003</v>
      </c>
      <c r="W12" s="81">
        <v>41.152409919962793</v>
      </c>
      <c r="X12" s="81">
        <v>41.640852355071523</v>
      </c>
      <c r="Y12" s="81">
        <v>41.704898401732457</v>
      </c>
      <c r="Z12" s="81">
        <v>42.109939340169937</v>
      </c>
      <c r="AA12" s="81">
        <v>41.451896583793193</v>
      </c>
      <c r="AB12" s="81">
        <v>42.205720568626369</v>
      </c>
      <c r="AC12" s="81">
        <v>42.768160453837886</v>
      </c>
      <c r="AD12" s="81">
        <v>42.710242525724247</v>
      </c>
      <c r="AE12" s="81">
        <v>43.033706405823118</v>
      </c>
      <c r="AF12" s="81">
        <v>43.242895775178269</v>
      </c>
      <c r="AG12" s="81">
        <v>44.394978654124372</v>
      </c>
    </row>
    <row r="13" spans="1:33" x14ac:dyDescent="0.25">
      <c r="A13" s="78" t="s">
        <v>264</v>
      </c>
      <c r="B13" s="78" t="s">
        <v>265</v>
      </c>
      <c r="C13" s="78" t="s">
        <v>286</v>
      </c>
      <c r="D13" s="78" t="s">
        <v>287</v>
      </c>
      <c r="E13" s="78" t="s">
        <v>206</v>
      </c>
      <c r="F13" s="80">
        <v>57.24432373046875</v>
      </c>
      <c r="G13" s="80">
        <v>45.837253570556641</v>
      </c>
      <c r="H13" s="81">
        <v>45.024428359179041</v>
      </c>
      <c r="I13" s="81">
        <v>45.517347388876118</v>
      </c>
      <c r="J13" s="81">
        <v>43.458029847132458</v>
      </c>
      <c r="K13" s="81">
        <v>41.409006205416944</v>
      </c>
      <c r="L13" s="81">
        <v>39.26147167759234</v>
      </c>
      <c r="M13" s="81">
        <v>36.005298046542073</v>
      </c>
      <c r="N13" s="81">
        <v>37.203083019717319</v>
      </c>
      <c r="O13" s="81">
        <v>37.821111194123766</v>
      </c>
      <c r="P13" s="81">
        <v>37.336927425730948</v>
      </c>
      <c r="Q13" s="81">
        <v>36.904506088140941</v>
      </c>
      <c r="R13" s="81">
        <v>35.781596157025866</v>
      </c>
      <c r="S13" s="81">
        <v>35.349897961530701</v>
      </c>
      <c r="T13" s="81">
        <v>34.80132438154105</v>
      </c>
      <c r="U13" s="81">
        <v>34.98902202788188</v>
      </c>
      <c r="V13" s="81">
        <v>34.221275055705959</v>
      </c>
      <c r="W13" s="81">
        <v>33.514219174113819</v>
      </c>
      <c r="X13" s="81">
        <v>33.892324813277327</v>
      </c>
      <c r="Y13" s="81">
        <v>33.570064580415817</v>
      </c>
      <c r="Z13" s="81">
        <v>33.143698404145866</v>
      </c>
      <c r="AA13" s="81">
        <v>32.265242193122184</v>
      </c>
      <c r="AB13" s="81">
        <v>32.460915271748789</v>
      </c>
      <c r="AC13" s="81">
        <v>33.240366815603046</v>
      </c>
      <c r="AD13" s="81">
        <v>32.968775394486144</v>
      </c>
      <c r="AE13" s="81">
        <v>33.449736846270753</v>
      </c>
      <c r="AF13" s="81">
        <v>33.630381827452474</v>
      </c>
      <c r="AG13" s="81">
        <v>34.882065410605996</v>
      </c>
    </row>
    <row r="14" spans="1:33" x14ac:dyDescent="0.25">
      <c r="A14" s="78" t="s">
        <v>264</v>
      </c>
      <c r="B14" s="78" t="s">
        <v>265</v>
      </c>
      <c r="C14" s="78" t="s">
        <v>288</v>
      </c>
      <c r="D14" s="78" t="s">
        <v>287</v>
      </c>
      <c r="E14" s="78" t="s">
        <v>208</v>
      </c>
      <c r="F14" s="80">
        <v>55.858139038085938</v>
      </c>
      <c r="G14" s="80">
        <v>45.052486419677727</v>
      </c>
      <c r="H14" s="81">
        <v>44.814813507237879</v>
      </c>
      <c r="I14" s="81">
        <v>44.733822781046925</v>
      </c>
      <c r="J14" s="81">
        <v>42.696412413964516</v>
      </c>
      <c r="K14" s="81">
        <v>40.805892846479445</v>
      </c>
      <c r="L14" s="81">
        <v>39.197181647450599</v>
      </c>
      <c r="M14" s="81">
        <v>35.801600761592276</v>
      </c>
      <c r="N14" s="81">
        <v>36.925506851413395</v>
      </c>
      <c r="O14" s="81">
        <v>37.539969700023953</v>
      </c>
      <c r="P14" s="81">
        <v>36.568437733119666</v>
      </c>
      <c r="Q14" s="81">
        <v>36.173805383797436</v>
      </c>
      <c r="R14" s="81">
        <v>35.052401933296039</v>
      </c>
      <c r="S14" s="81">
        <v>34.523905363447504</v>
      </c>
      <c r="T14" s="81">
        <v>33.911708614069511</v>
      </c>
      <c r="U14" s="81">
        <v>34.039758121542988</v>
      </c>
      <c r="V14" s="81">
        <v>33.169941929612307</v>
      </c>
      <c r="W14" s="81">
        <v>32.376079807126111</v>
      </c>
      <c r="X14" s="81">
        <v>32.815714349438686</v>
      </c>
      <c r="Y14" s="81">
        <v>32.615819257612927</v>
      </c>
      <c r="Z14" s="81">
        <v>32.791330918558835</v>
      </c>
      <c r="AA14" s="81">
        <v>31.975751929558584</v>
      </c>
      <c r="AB14" s="81">
        <v>32.232264052256809</v>
      </c>
      <c r="AC14" s="81">
        <v>32.942103247550961</v>
      </c>
      <c r="AD14" s="81">
        <v>32.586557244576184</v>
      </c>
      <c r="AE14" s="81">
        <v>32.763087838149985</v>
      </c>
      <c r="AF14" s="81">
        <v>32.900715136390197</v>
      </c>
      <c r="AG14" s="81">
        <v>34.17019301863396</v>
      </c>
    </row>
    <row r="15" spans="1:33" x14ac:dyDescent="0.25">
      <c r="A15" s="78" t="s">
        <v>264</v>
      </c>
      <c r="B15" s="78" t="s">
        <v>265</v>
      </c>
      <c r="C15" s="78" t="s">
        <v>289</v>
      </c>
      <c r="D15" s="78" t="s">
        <v>287</v>
      </c>
      <c r="E15" s="78" t="s">
        <v>212</v>
      </c>
      <c r="F15" s="80">
        <v>48.034206390380859</v>
      </c>
      <c r="G15" s="80">
        <v>38.260158538818359</v>
      </c>
      <c r="H15" s="81">
        <v>46.662330195756681</v>
      </c>
      <c r="I15" s="81">
        <v>47.632500513291262</v>
      </c>
      <c r="J15" s="81">
        <v>45.025270086040742</v>
      </c>
      <c r="K15" s="81">
        <v>42.626222820606493</v>
      </c>
      <c r="L15" s="81">
        <v>39.862108942487936</v>
      </c>
      <c r="M15" s="81">
        <v>36.572342884404712</v>
      </c>
      <c r="N15" s="81">
        <v>37.620277004204119</v>
      </c>
      <c r="O15" s="81">
        <v>38.148094889736406</v>
      </c>
      <c r="P15" s="81">
        <v>37.775557686804319</v>
      </c>
      <c r="Q15" s="81">
        <v>37.437899724290624</v>
      </c>
      <c r="R15" s="81">
        <v>36.268964219616883</v>
      </c>
      <c r="S15" s="81">
        <v>35.84376370431918</v>
      </c>
      <c r="T15" s="81">
        <v>35.174648406254171</v>
      </c>
      <c r="U15" s="81">
        <v>35.750083770359872</v>
      </c>
      <c r="V15" s="81">
        <v>34.990376821173754</v>
      </c>
      <c r="W15" s="81">
        <v>34.429115496717287</v>
      </c>
      <c r="X15" s="81">
        <v>34.835029575772502</v>
      </c>
      <c r="Y15" s="81">
        <v>34.667280691441803</v>
      </c>
      <c r="Z15" s="81">
        <v>34.132142504387176</v>
      </c>
      <c r="AA15" s="81">
        <v>33.26783632915194</v>
      </c>
      <c r="AB15" s="81">
        <v>33.475540778787789</v>
      </c>
      <c r="AC15" s="81">
        <v>34.233822170721986</v>
      </c>
      <c r="AD15" s="81">
        <v>33.805841195313967</v>
      </c>
      <c r="AE15" s="81">
        <v>33.953724789088795</v>
      </c>
      <c r="AF15" s="81">
        <v>34.02667753649397</v>
      </c>
      <c r="AG15" s="81">
        <v>35.176502846933779</v>
      </c>
    </row>
    <row r="16" spans="1:33" x14ac:dyDescent="0.25">
      <c r="A16" s="78" t="s">
        <v>264</v>
      </c>
      <c r="B16" s="78" t="s">
        <v>265</v>
      </c>
      <c r="C16" s="78" t="s">
        <v>290</v>
      </c>
      <c r="D16" s="78" t="s">
        <v>287</v>
      </c>
      <c r="E16" s="78" t="s">
        <v>215</v>
      </c>
      <c r="F16" s="80">
        <v>47.242275238037109</v>
      </c>
      <c r="G16" s="80">
        <v>37.687419891357422</v>
      </c>
      <c r="H16" s="81">
        <v>45.68617154019249</v>
      </c>
      <c r="I16" s="81">
        <v>45.908191766775147</v>
      </c>
      <c r="J16" s="81">
        <v>43.517886634606512</v>
      </c>
      <c r="K16" s="81">
        <v>41.5682772780901</v>
      </c>
      <c r="L16" s="81">
        <v>38.890078310727176</v>
      </c>
      <c r="M16" s="81">
        <v>36.002752662137247</v>
      </c>
      <c r="N16" s="81">
        <v>37.036589411228185</v>
      </c>
      <c r="O16" s="81">
        <v>37.535208584877473</v>
      </c>
      <c r="P16" s="81">
        <v>36.587600690645317</v>
      </c>
      <c r="Q16" s="81">
        <v>36.140002077684322</v>
      </c>
      <c r="R16" s="81">
        <v>34.917354170881296</v>
      </c>
      <c r="S16" s="81">
        <v>34.482972520125649</v>
      </c>
      <c r="T16" s="81">
        <v>33.853681020791967</v>
      </c>
      <c r="U16" s="81">
        <v>34.427434421941982</v>
      </c>
      <c r="V16" s="81">
        <v>33.610440996269162</v>
      </c>
      <c r="W16" s="81">
        <v>33.030238335059849</v>
      </c>
      <c r="X16" s="81">
        <v>33.436066811845556</v>
      </c>
      <c r="Y16" s="81">
        <v>33.186080838154837</v>
      </c>
      <c r="Z16" s="81">
        <v>32.927213579573028</v>
      </c>
      <c r="AA16" s="81">
        <v>32.088556611370969</v>
      </c>
      <c r="AB16" s="81">
        <v>32.263787626144833</v>
      </c>
      <c r="AC16" s="81">
        <v>32.822939614668314</v>
      </c>
      <c r="AD16" s="81">
        <v>32.261400776192254</v>
      </c>
      <c r="AE16" s="81">
        <v>32.647169448749004</v>
      </c>
      <c r="AF16" s="81">
        <v>32.674045165227177</v>
      </c>
      <c r="AG16" s="81">
        <v>33.738850325494369</v>
      </c>
    </row>
    <row r="17" spans="1:33" x14ac:dyDescent="0.25">
      <c r="A17" s="78" t="s">
        <v>264</v>
      </c>
      <c r="B17" s="78" t="s">
        <v>265</v>
      </c>
      <c r="C17" s="78" t="s">
        <v>291</v>
      </c>
      <c r="D17" s="78" t="s">
        <v>287</v>
      </c>
      <c r="E17" s="78" t="s">
        <v>218</v>
      </c>
      <c r="F17" s="80">
        <v>48.034206390380859</v>
      </c>
      <c r="G17" s="80">
        <v>38.260158538818359</v>
      </c>
      <c r="H17" s="81">
        <v>47.054131831774662</v>
      </c>
      <c r="I17" s="81">
        <v>48.467292376886448</v>
      </c>
      <c r="J17" s="81">
        <v>45.934514310682651</v>
      </c>
      <c r="K17" s="81">
        <v>43.368900020628907</v>
      </c>
      <c r="L17" s="81">
        <v>41.006292518428019</v>
      </c>
      <c r="M17" s="81">
        <v>37.807433577424788</v>
      </c>
      <c r="N17" s="81">
        <v>38.871448908822614</v>
      </c>
      <c r="O17" s="81">
        <v>39.299972753407339</v>
      </c>
      <c r="P17" s="81">
        <v>38.553491122979956</v>
      </c>
      <c r="Q17" s="81">
        <v>38.145445415465673</v>
      </c>
      <c r="R17" s="81">
        <v>36.956055122250817</v>
      </c>
      <c r="S17" s="81">
        <v>36.430879624003211</v>
      </c>
      <c r="T17" s="81">
        <v>35.731392359095196</v>
      </c>
      <c r="U17" s="81">
        <v>36.223680207687913</v>
      </c>
      <c r="V17" s="81">
        <v>35.381730521010915</v>
      </c>
      <c r="W17" s="81">
        <v>34.78048483875186</v>
      </c>
      <c r="X17" s="81">
        <v>35.321746132843245</v>
      </c>
      <c r="Y17" s="81">
        <v>35.212890065002725</v>
      </c>
      <c r="Z17" s="81">
        <v>34.607035416214678</v>
      </c>
      <c r="AA17" s="81">
        <v>33.814650386711222</v>
      </c>
      <c r="AB17" s="81">
        <v>34.12629305642271</v>
      </c>
      <c r="AC17" s="81">
        <v>34.833273764859683</v>
      </c>
      <c r="AD17" s="81">
        <v>34.342103908379698</v>
      </c>
      <c r="AE17" s="81">
        <v>34.504914828784507</v>
      </c>
      <c r="AF17" s="81">
        <v>34.628529026152016</v>
      </c>
      <c r="AG17" s="81">
        <v>35.77963781467772</v>
      </c>
    </row>
    <row r="18" spans="1:33" x14ac:dyDescent="0.25">
      <c r="A18" s="78" t="s">
        <v>264</v>
      </c>
      <c r="B18" s="78" t="s">
        <v>265</v>
      </c>
      <c r="C18" s="78" t="s">
        <v>292</v>
      </c>
      <c r="D18" s="78" t="s">
        <v>287</v>
      </c>
      <c r="E18" s="78" t="s">
        <v>221</v>
      </c>
      <c r="F18" s="80">
        <v>58.185451507568359</v>
      </c>
      <c r="G18" s="80">
        <v>44.331398010253913</v>
      </c>
      <c r="H18" s="81">
        <v>50.525021455659221</v>
      </c>
      <c r="I18" s="81">
        <v>52.641161099271116</v>
      </c>
      <c r="J18" s="81">
        <v>48.818476269511137</v>
      </c>
      <c r="K18" s="81">
        <v>46.376309228549331</v>
      </c>
      <c r="L18" s="81">
        <v>44.28560555702316</v>
      </c>
      <c r="M18" s="81">
        <v>41.760249622804693</v>
      </c>
      <c r="N18" s="81">
        <v>42.440883113402194</v>
      </c>
      <c r="O18" s="81">
        <v>42.947929522872272</v>
      </c>
      <c r="P18" s="81">
        <v>42.037534258178475</v>
      </c>
      <c r="Q18" s="81">
        <v>41.393444171804802</v>
      </c>
      <c r="R18" s="81">
        <v>40.35026104321301</v>
      </c>
      <c r="S18" s="81">
        <v>39.962401326264619</v>
      </c>
      <c r="T18" s="81">
        <v>39.466791857350366</v>
      </c>
      <c r="U18" s="81">
        <v>39.819893563953173</v>
      </c>
      <c r="V18" s="81">
        <v>38.921946120003739</v>
      </c>
      <c r="W18" s="81">
        <v>38.478342796279335</v>
      </c>
      <c r="X18" s="81">
        <v>38.85502178087291</v>
      </c>
      <c r="Y18" s="81">
        <v>38.736020970830495</v>
      </c>
      <c r="Z18" s="81">
        <v>38.53095971252074</v>
      </c>
      <c r="AA18" s="81">
        <v>38.185804047920023</v>
      </c>
      <c r="AB18" s="81">
        <v>38.512131730184386</v>
      </c>
      <c r="AC18" s="81">
        <v>39.060281605382137</v>
      </c>
      <c r="AD18" s="81">
        <v>38.958197834077396</v>
      </c>
      <c r="AE18" s="81">
        <v>38.828388541816011</v>
      </c>
      <c r="AF18" s="81">
        <v>39.184666673437562</v>
      </c>
      <c r="AG18" s="81">
        <v>40.682635324385728</v>
      </c>
    </row>
    <row r="19" spans="1:33" x14ac:dyDescent="0.25">
      <c r="A19" s="78" t="s">
        <v>264</v>
      </c>
      <c r="B19" s="78" t="s">
        <v>265</v>
      </c>
      <c r="C19" s="78" t="s">
        <v>293</v>
      </c>
      <c r="D19" s="78" t="s">
        <v>287</v>
      </c>
      <c r="E19" s="78" t="s">
        <v>223</v>
      </c>
      <c r="F19" s="80">
        <v>66.71649169921875</v>
      </c>
      <c r="G19" s="80">
        <v>48.038490295410163</v>
      </c>
      <c r="H19" s="81">
        <v>53.295944525673214</v>
      </c>
      <c r="I19" s="81">
        <v>53.070504770475274</v>
      </c>
      <c r="J19" s="81">
        <v>49.884992765655191</v>
      </c>
      <c r="K19" s="81">
        <v>46.993510009246059</v>
      </c>
      <c r="L19" s="81">
        <v>44.415456818720919</v>
      </c>
      <c r="M19" s="81">
        <v>41.963334331964226</v>
      </c>
      <c r="N19" s="81">
        <v>42.695822636064136</v>
      </c>
      <c r="O19" s="81">
        <v>43.181936328358724</v>
      </c>
      <c r="P19" s="81">
        <v>41.999982662644136</v>
      </c>
      <c r="Q19" s="81">
        <v>41.370181187440231</v>
      </c>
      <c r="R19" s="81">
        <v>40.124460659088683</v>
      </c>
      <c r="S19" s="81">
        <v>39.64888627122874</v>
      </c>
      <c r="T19" s="81">
        <v>39.076279693685819</v>
      </c>
      <c r="U19" s="81">
        <v>39.40638491930229</v>
      </c>
      <c r="V19" s="81">
        <v>38.290660392847606</v>
      </c>
      <c r="W19" s="81">
        <v>37.760997213487144</v>
      </c>
      <c r="X19" s="81">
        <v>38.203301065736554</v>
      </c>
      <c r="Y19" s="81">
        <v>38.407855746982392</v>
      </c>
      <c r="Z19" s="81">
        <v>38.873258950524871</v>
      </c>
      <c r="AA19" s="81">
        <v>38.209368698664989</v>
      </c>
      <c r="AB19" s="81">
        <v>38.790609418307405</v>
      </c>
      <c r="AC19" s="81">
        <v>39.419411448355476</v>
      </c>
      <c r="AD19" s="81">
        <v>39.337120072217687</v>
      </c>
      <c r="AE19" s="81">
        <v>39.630814908476644</v>
      </c>
      <c r="AF19" s="81">
        <v>40.054494044717238</v>
      </c>
      <c r="AG19" s="81">
        <v>41.542732049378046</v>
      </c>
    </row>
    <row r="20" spans="1:33" x14ac:dyDescent="0.25">
      <c r="A20" s="78" t="s">
        <v>264</v>
      </c>
      <c r="B20" s="78" t="s">
        <v>265</v>
      </c>
      <c r="C20" s="78" t="s">
        <v>294</v>
      </c>
      <c r="D20" s="78" t="s">
        <v>287</v>
      </c>
      <c r="E20" s="78" t="s">
        <v>225</v>
      </c>
      <c r="F20" s="80">
        <v>66.139900207519531</v>
      </c>
      <c r="G20" s="80">
        <v>47.806922912597663</v>
      </c>
      <c r="H20" s="81">
        <v>53.999857361922231</v>
      </c>
      <c r="I20" s="81">
        <v>53.338856590859862</v>
      </c>
      <c r="J20" s="81">
        <v>50.145795022008514</v>
      </c>
      <c r="K20" s="81">
        <v>47.252699575931544</v>
      </c>
      <c r="L20" s="81">
        <v>43.913433105147547</v>
      </c>
      <c r="M20" s="81">
        <v>41.095516300600963</v>
      </c>
      <c r="N20" s="81">
        <v>41.921434494463696</v>
      </c>
      <c r="O20" s="81">
        <v>42.493284751948032</v>
      </c>
      <c r="P20" s="81">
        <v>41.968410994091336</v>
      </c>
      <c r="Q20" s="81">
        <v>41.444402663703976</v>
      </c>
      <c r="R20" s="81">
        <v>40.311960138772776</v>
      </c>
      <c r="S20" s="81">
        <v>39.833694428666931</v>
      </c>
      <c r="T20" s="81">
        <v>39.244432831647721</v>
      </c>
      <c r="U20" s="81">
        <v>39.56583043114739</v>
      </c>
      <c r="V20" s="81">
        <v>38.450524083187972</v>
      </c>
      <c r="W20" s="81">
        <v>37.925936079388407</v>
      </c>
      <c r="X20" s="81">
        <v>38.318276371765265</v>
      </c>
      <c r="Y20" s="81">
        <v>38.496708575324213</v>
      </c>
      <c r="Z20" s="81">
        <v>39.055523634650825</v>
      </c>
      <c r="AA20" s="81">
        <v>38.359951765820284</v>
      </c>
      <c r="AB20" s="81">
        <v>38.922231890615315</v>
      </c>
      <c r="AC20" s="81">
        <v>39.567165207571144</v>
      </c>
      <c r="AD20" s="81">
        <v>39.496856348769484</v>
      </c>
      <c r="AE20" s="81">
        <v>39.757407701310242</v>
      </c>
      <c r="AF20" s="81">
        <v>40.23665534242128</v>
      </c>
      <c r="AG20" s="81">
        <v>41.755693200308798</v>
      </c>
    </row>
    <row r="21" spans="1:33" x14ac:dyDescent="0.25">
      <c r="A21" s="78" t="s">
        <v>264</v>
      </c>
      <c r="B21" s="78" t="s">
        <v>265</v>
      </c>
      <c r="C21" s="78" t="s">
        <v>295</v>
      </c>
      <c r="D21" s="78" t="s">
        <v>287</v>
      </c>
      <c r="E21" s="78" t="s">
        <v>228</v>
      </c>
      <c r="F21" s="80">
        <v>66.161216735839844</v>
      </c>
      <c r="G21" s="80">
        <v>48.711879730224609</v>
      </c>
      <c r="H21" s="81">
        <v>53.524751551478587</v>
      </c>
      <c r="I21" s="81">
        <v>53.414910219371407</v>
      </c>
      <c r="J21" s="81">
        <v>50.234419558138299</v>
      </c>
      <c r="K21" s="81">
        <v>47.310331013046763</v>
      </c>
      <c r="L21" s="81">
        <v>44.018801424731642</v>
      </c>
      <c r="M21" s="81">
        <v>41.181940091592871</v>
      </c>
      <c r="N21" s="81">
        <v>42.018242006122854</v>
      </c>
      <c r="O21" s="81">
        <v>42.61186366374244</v>
      </c>
      <c r="P21" s="81">
        <v>42.046075455692645</v>
      </c>
      <c r="Q21" s="81">
        <v>41.549751054658209</v>
      </c>
      <c r="R21" s="81">
        <v>40.409313762209109</v>
      </c>
      <c r="S21" s="81">
        <v>39.925973315815078</v>
      </c>
      <c r="T21" s="81">
        <v>39.340590258143436</v>
      </c>
      <c r="U21" s="81">
        <v>39.703880370691586</v>
      </c>
      <c r="V21" s="81">
        <v>38.571906905505429</v>
      </c>
      <c r="W21" s="81">
        <v>38.039854403546983</v>
      </c>
      <c r="X21" s="81">
        <v>38.459068443721875</v>
      </c>
      <c r="Y21" s="81">
        <v>38.646779977415385</v>
      </c>
      <c r="Z21" s="81">
        <v>39.081796813630341</v>
      </c>
      <c r="AA21" s="81">
        <v>38.355484795807413</v>
      </c>
      <c r="AB21" s="81">
        <v>38.933973496766683</v>
      </c>
      <c r="AC21" s="81">
        <v>39.618629936279476</v>
      </c>
      <c r="AD21" s="81">
        <v>39.569285902029236</v>
      </c>
      <c r="AE21" s="81">
        <v>40.03342181622083</v>
      </c>
      <c r="AF21" s="81">
        <v>40.486332636199137</v>
      </c>
      <c r="AG21" s="81">
        <v>41.979287885241042</v>
      </c>
    </row>
    <row r="22" spans="1:33" x14ac:dyDescent="0.25">
      <c r="A22" s="78" t="s">
        <v>264</v>
      </c>
      <c r="B22" s="78" t="s">
        <v>265</v>
      </c>
      <c r="C22" s="78" t="s">
        <v>296</v>
      </c>
      <c r="D22" s="78" t="s">
        <v>287</v>
      </c>
      <c r="E22" s="78" t="s">
        <v>232</v>
      </c>
      <c r="F22" s="80">
        <v>66.161216735839844</v>
      </c>
      <c r="G22" s="80">
        <v>48.711879730224609</v>
      </c>
      <c r="H22" s="81">
        <v>54.36260867406515</v>
      </c>
      <c r="I22" s="81">
        <v>55.148214342570377</v>
      </c>
      <c r="J22" s="81">
        <v>51.791101831935293</v>
      </c>
      <c r="K22" s="81">
        <v>49.269311387479419</v>
      </c>
      <c r="L22" s="81">
        <v>46.515550220841483</v>
      </c>
      <c r="M22" s="81">
        <v>44.345516589539329</v>
      </c>
      <c r="N22" s="81">
        <v>45.442631590311812</v>
      </c>
      <c r="O22" s="81">
        <v>45.531330470751698</v>
      </c>
      <c r="P22" s="81">
        <v>44.753829505569954</v>
      </c>
      <c r="Q22" s="81">
        <v>43.851853186334424</v>
      </c>
      <c r="R22" s="81">
        <v>42.710676927468484</v>
      </c>
      <c r="S22" s="81">
        <v>42.076054961441002</v>
      </c>
      <c r="T22" s="81">
        <v>41.406148536277215</v>
      </c>
      <c r="U22" s="81">
        <v>41.99483741408865</v>
      </c>
      <c r="V22" s="81">
        <v>40.86764901718513</v>
      </c>
      <c r="W22" s="81">
        <v>40.227751741938931</v>
      </c>
      <c r="X22" s="81">
        <v>40.705332061816137</v>
      </c>
      <c r="Y22" s="81">
        <v>41.057421957580488</v>
      </c>
      <c r="Z22" s="81">
        <v>41.652690701174542</v>
      </c>
      <c r="AA22" s="81">
        <v>41.083845838338256</v>
      </c>
      <c r="AB22" s="81">
        <v>41.613356221503835</v>
      </c>
      <c r="AC22" s="81">
        <v>42.615540108916754</v>
      </c>
      <c r="AD22" s="81">
        <v>42.535932986486792</v>
      </c>
      <c r="AE22" s="81">
        <v>43.391474276349889</v>
      </c>
      <c r="AF22" s="81">
        <v>43.750098970318</v>
      </c>
      <c r="AG22" s="81">
        <v>45.428689530661345</v>
      </c>
    </row>
    <row r="23" spans="1:33" x14ac:dyDescent="0.25">
      <c r="A23" s="78" t="s">
        <v>264</v>
      </c>
      <c r="B23" s="78" t="s">
        <v>265</v>
      </c>
      <c r="C23" s="78" t="s">
        <v>297</v>
      </c>
      <c r="D23" s="78" t="s">
        <v>287</v>
      </c>
      <c r="E23" s="78" t="s">
        <v>239</v>
      </c>
      <c r="F23" s="80">
        <v>68.207725524902344</v>
      </c>
      <c r="G23" s="80">
        <v>50.178379058837891</v>
      </c>
      <c r="H23" s="81">
        <v>57.524994453976319</v>
      </c>
      <c r="I23" s="81">
        <v>57.844277319560369</v>
      </c>
      <c r="J23" s="81">
        <v>54.995198431750204</v>
      </c>
      <c r="K23" s="81">
        <v>51.723464114923935</v>
      </c>
      <c r="L23" s="81">
        <v>48.873957670683865</v>
      </c>
      <c r="M23" s="81">
        <v>46.248842575495843</v>
      </c>
      <c r="N23" s="81">
        <v>47.275364451035337</v>
      </c>
      <c r="O23" s="81">
        <v>47.721823391143126</v>
      </c>
      <c r="P23" s="81">
        <v>46.257654301104964</v>
      </c>
      <c r="Q23" s="81">
        <v>45.283285983217063</v>
      </c>
      <c r="R23" s="81">
        <v>43.809782504004403</v>
      </c>
      <c r="S23" s="81">
        <v>43.236726352101684</v>
      </c>
      <c r="T23" s="81">
        <v>42.586839593760772</v>
      </c>
      <c r="U23" s="81">
        <v>42.620452767331379</v>
      </c>
      <c r="V23" s="81">
        <v>41.558124343173709</v>
      </c>
      <c r="W23" s="81">
        <v>40.880851246839967</v>
      </c>
      <c r="X23" s="81">
        <v>41.294654075830977</v>
      </c>
      <c r="Y23" s="81">
        <v>41.487847691083459</v>
      </c>
      <c r="Z23" s="81">
        <v>41.926956611328805</v>
      </c>
      <c r="AA23" s="81">
        <v>41.249255814097268</v>
      </c>
      <c r="AB23" s="81">
        <v>42.008462394395814</v>
      </c>
      <c r="AC23" s="81">
        <v>42.642230344310313</v>
      </c>
      <c r="AD23" s="81">
        <v>42.582397281501272</v>
      </c>
      <c r="AE23" s="81">
        <v>42.906288662241366</v>
      </c>
      <c r="AF23" s="81">
        <v>43.113022475692631</v>
      </c>
      <c r="AG23" s="81">
        <v>44.328542030879156</v>
      </c>
    </row>
    <row r="24" spans="1:33" x14ac:dyDescent="0.25">
      <c r="A24" s="78" t="s">
        <v>264</v>
      </c>
      <c r="B24" s="78" t="s">
        <v>265</v>
      </c>
      <c r="C24" s="78" t="s">
        <v>335</v>
      </c>
      <c r="D24" s="78" t="s">
        <v>210</v>
      </c>
      <c r="E24" s="78" t="s">
        <v>206</v>
      </c>
      <c r="F24" s="80">
        <v>55.947952270507813</v>
      </c>
      <c r="G24" s="80">
        <v>45.102180480957031</v>
      </c>
      <c r="H24" s="81">
        <v>44.40381087518395</v>
      </c>
      <c r="I24" s="81">
        <v>45.464482311872089</v>
      </c>
      <c r="J24" s="81">
        <v>43.569115003894829</v>
      </c>
      <c r="K24" s="81">
        <v>41.546842024716476</v>
      </c>
      <c r="L24" s="81">
        <v>39.620808019386679</v>
      </c>
      <c r="M24" s="81">
        <v>36.510041023540225</v>
      </c>
      <c r="N24" s="81">
        <v>37.678339795530114</v>
      </c>
      <c r="O24" s="81">
        <v>38.337538919949878</v>
      </c>
      <c r="P24" s="81">
        <v>37.947902005319712</v>
      </c>
      <c r="Q24" s="81">
        <v>37.496343314484875</v>
      </c>
      <c r="R24" s="81">
        <v>36.383852045717887</v>
      </c>
      <c r="S24" s="81">
        <v>36.051856259895402</v>
      </c>
      <c r="T24" s="81">
        <v>35.51507840378725</v>
      </c>
      <c r="U24" s="81">
        <v>35.737426757187862</v>
      </c>
      <c r="V24" s="81">
        <v>34.927936101139906</v>
      </c>
      <c r="W24" s="81">
        <v>34.23566606333803</v>
      </c>
      <c r="X24" s="81">
        <v>34.589737857764149</v>
      </c>
      <c r="Y24" s="81">
        <v>34.253235066368774</v>
      </c>
      <c r="Z24" s="81">
        <v>33.598909583751073</v>
      </c>
      <c r="AA24" s="81">
        <v>32.720888426104302</v>
      </c>
      <c r="AB24" s="81">
        <v>32.925083392876836</v>
      </c>
      <c r="AC24" s="81">
        <v>33.591758447110578</v>
      </c>
      <c r="AD24" s="81">
        <v>33.324323051604765</v>
      </c>
      <c r="AE24" s="81">
        <v>33.787863817119401</v>
      </c>
      <c r="AF24" s="81">
        <v>33.923111869089539</v>
      </c>
      <c r="AG24" s="81">
        <v>35.161126622812738</v>
      </c>
    </row>
    <row r="25" spans="1:33" x14ac:dyDescent="0.25">
      <c r="A25" s="78" t="s">
        <v>264</v>
      </c>
      <c r="B25" s="78" t="s">
        <v>265</v>
      </c>
      <c r="C25" s="78" t="s">
        <v>336</v>
      </c>
      <c r="D25" s="78" t="s">
        <v>210</v>
      </c>
      <c r="E25" s="78" t="s">
        <v>208</v>
      </c>
      <c r="F25" s="80">
        <v>54.708049774169922</v>
      </c>
      <c r="G25" s="80">
        <v>44.390880584716797</v>
      </c>
      <c r="H25" s="81">
        <v>44.35540150221118</v>
      </c>
      <c r="I25" s="81">
        <v>44.792489149491175</v>
      </c>
      <c r="J25" s="81">
        <v>42.939076741996445</v>
      </c>
      <c r="K25" s="81">
        <v>41.087591297592162</v>
      </c>
      <c r="L25" s="81">
        <v>39.643773844066438</v>
      </c>
      <c r="M25" s="81">
        <v>36.445545311907495</v>
      </c>
      <c r="N25" s="81">
        <v>37.54922959172</v>
      </c>
      <c r="O25" s="81">
        <v>38.200422258150724</v>
      </c>
      <c r="P25" s="81">
        <v>37.346351482304833</v>
      </c>
      <c r="Q25" s="81">
        <v>36.916120199397554</v>
      </c>
      <c r="R25" s="81">
        <v>35.795658822300943</v>
      </c>
      <c r="S25" s="81">
        <v>35.383155196449756</v>
      </c>
      <c r="T25" s="81">
        <v>34.785116258629841</v>
      </c>
      <c r="U25" s="81">
        <v>34.942027351521006</v>
      </c>
      <c r="V25" s="81">
        <v>34.05112126582948</v>
      </c>
      <c r="W25" s="81">
        <v>33.296606708282425</v>
      </c>
      <c r="X25" s="81">
        <v>33.682098006642356</v>
      </c>
      <c r="Y25" s="81">
        <v>33.452046036035732</v>
      </c>
      <c r="Z25" s="81">
        <v>33.409456128806021</v>
      </c>
      <c r="AA25" s="81">
        <v>32.591024273724855</v>
      </c>
      <c r="AB25" s="81">
        <v>32.853337916671769</v>
      </c>
      <c r="AC25" s="81">
        <v>33.449361420040461</v>
      </c>
      <c r="AD25" s="81">
        <v>33.120743382311808</v>
      </c>
      <c r="AE25" s="81">
        <v>33.286283221435149</v>
      </c>
      <c r="AF25" s="81">
        <v>33.397005141484129</v>
      </c>
      <c r="AG25" s="81">
        <v>34.665046978153882</v>
      </c>
    </row>
    <row r="26" spans="1:33" x14ac:dyDescent="0.25">
      <c r="A26" s="78" t="s">
        <v>264</v>
      </c>
      <c r="B26" s="78" t="s">
        <v>265</v>
      </c>
      <c r="C26" s="78" t="s">
        <v>337</v>
      </c>
      <c r="D26" s="78" t="s">
        <v>210</v>
      </c>
      <c r="E26" s="78" t="s">
        <v>212</v>
      </c>
      <c r="F26" s="80">
        <v>46.927158355712891</v>
      </c>
      <c r="G26" s="80">
        <v>37.766517639160163</v>
      </c>
      <c r="H26" s="81">
        <v>45.816258162444463</v>
      </c>
      <c r="I26" s="81">
        <v>47.250747881852888</v>
      </c>
      <c r="J26" s="81">
        <v>44.903649601455733</v>
      </c>
      <c r="K26" s="81">
        <v>42.582345851691748</v>
      </c>
      <c r="L26" s="81">
        <v>40.064201190319459</v>
      </c>
      <c r="M26" s="81">
        <v>36.877116423313886</v>
      </c>
      <c r="N26" s="81">
        <v>37.906141813306093</v>
      </c>
      <c r="O26" s="81">
        <v>38.484065460292911</v>
      </c>
      <c r="P26" s="81">
        <v>38.187496610774488</v>
      </c>
      <c r="Q26" s="81">
        <v>37.831145501387518</v>
      </c>
      <c r="R26" s="81">
        <v>36.654988511432251</v>
      </c>
      <c r="S26" s="81">
        <v>36.345766231292401</v>
      </c>
      <c r="T26" s="81">
        <v>35.703395757490895</v>
      </c>
      <c r="U26" s="81">
        <v>36.242319449132843</v>
      </c>
      <c r="V26" s="81">
        <v>35.432420891301504</v>
      </c>
      <c r="W26" s="81">
        <v>34.905703479513214</v>
      </c>
      <c r="X26" s="81">
        <v>35.3059059170875</v>
      </c>
      <c r="Y26" s="81">
        <v>35.112407337087852</v>
      </c>
      <c r="Z26" s="81">
        <v>34.486661061146997</v>
      </c>
      <c r="AA26" s="81">
        <v>33.629132346421187</v>
      </c>
      <c r="AB26" s="81">
        <v>33.825802817227448</v>
      </c>
      <c r="AC26" s="81">
        <v>34.476666269028911</v>
      </c>
      <c r="AD26" s="81">
        <v>34.041698886680223</v>
      </c>
      <c r="AE26" s="81">
        <v>34.145440782923963</v>
      </c>
      <c r="AF26" s="81">
        <v>34.171853346930014</v>
      </c>
      <c r="AG26" s="81">
        <v>35.317048102301051</v>
      </c>
    </row>
    <row r="27" spans="1:33" x14ac:dyDescent="0.25">
      <c r="A27" s="78" t="s">
        <v>264</v>
      </c>
      <c r="B27" s="78" t="s">
        <v>265</v>
      </c>
      <c r="C27" s="78" t="s">
        <v>338</v>
      </c>
      <c r="D27" s="78" t="s">
        <v>210</v>
      </c>
      <c r="E27" s="78" t="s">
        <v>215</v>
      </c>
      <c r="F27" s="80">
        <v>46.138347625732422</v>
      </c>
      <c r="G27" s="80">
        <v>37.200614929199219</v>
      </c>
      <c r="H27" s="81">
        <v>44.813503806748166</v>
      </c>
      <c r="I27" s="81">
        <v>45.425337310362821</v>
      </c>
      <c r="J27" s="81">
        <v>43.377231236044068</v>
      </c>
      <c r="K27" s="81">
        <v>41.530431098205732</v>
      </c>
      <c r="L27" s="81">
        <v>39.153691490060403</v>
      </c>
      <c r="M27" s="81">
        <v>36.343818671228334</v>
      </c>
      <c r="N27" s="81">
        <v>37.338413497079635</v>
      </c>
      <c r="O27" s="81">
        <v>37.889061580761748</v>
      </c>
      <c r="P27" s="81">
        <v>37.090578668439669</v>
      </c>
      <c r="Q27" s="81">
        <v>36.622630555728875</v>
      </c>
      <c r="R27" s="81">
        <v>35.402107328474983</v>
      </c>
      <c r="S27" s="81">
        <v>35.07525388599943</v>
      </c>
      <c r="T27" s="81">
        <v>34.445933068305202</v>
      </c>
      <c r="U27" s="81">
        <v>34.953643955193364</v>
      </c>
      <c r="V27" s="81">
        <v>34.101815365303246</v>
      </c>
      <c r="W27" s="81">
        <v>33.56325485410671</v>
      </c>
      <c r="X27" s="81">
        <v>33.982539201837938</v>
      </c>
      <c r="Y27" s="81">
        <v>33.730035257466071</v>
      </c>
      <c r="Z27" s="81">
        <v>33.364653598342777</v>
      </c>
      <c r="AA27" s="81">
        <v>32.541916563941967</v>
      </c>
      <c r="AB27" s="81">
        <v>32.737254913723362</v>
      </c>
      <c r="AC27" s="81">
        <v>33.212996464559019</v>
      </c>
      <c r="AD27" s="81">
        <v>32.653889297072453</v>
      </c>
      <c r="AE27" s="81">
        <v>32.952285618198339</v>
      </c>
      <c r="AF27" s="81">
        <v>32.919345189939278</v>
      </c>
      <c r="AG27" s="81">
        <v>33.98714612741221</v>
      </c>
    </row>
    <row r="28" spans="1:33" x14ac:dyDescent="0.25">
      <c r="A28" s="78" t="s">
        <v>264</v>
      </c>
      <c r="B28" s="78" t="s">
        <v>265</v>
      </c>
      <c r="C28" s="78" t="s">
        <v>339</v>
      </c>
      <c r="D28" s="78" t="s">
        <v>210</v>
      </c>
      <c r="E28" s="78" t="s">
        <v>218</v>
      </c>
      <c r="F28" s="80">
        <v>46.927158355712891</v>
      </c>
      <c r="G28" s="80">
        <v>37.766517639160163</v>
      </c>
      <c r="H28" s="81">
        <v>46.212876397521455</v>
      </c>
      <c r="I28" s="81">
        <v>48.00756316221387</v>
      </c>
      <c r="J28" s="81">
        <v>45.726365799075161</v>
      </c>
      <c r="K28" s="81">
        <v>43.262324040484586</v>
      </c>
      <c r="L28" s="81">
        <v>41.108626471682115</v>
      </c>
      <c r="M28" s="81">
        <v>38.014688591881828</v>
      </c>
      <c r="N28" s="81">
        <v>39.022949875559092</v>
      </c>
      <c r="O28" s="81">
        <v>39.500964677494913</v>
      </c>
      <c r="P28" s="81">
        <v>38.873095473663497</v>
      </c>
      <c r="Q28" s="81">
        <v>38.43771893290733</v>
      </c>
      <c r="R28" s="81">
        <v>37.243561079387945</v>
      </c>
      <c r="S28" s="81">
        <v>36.836570062141831</v>
      </c>
      <c r="T28" s="81">
        <v>36.16026644147032</v>
      </c>
      <c r="U28" s="81">
        <v>36.63741616538546</v>
      </c>
      <c r="V28" s="81">
        <v>35.74898943780633</v>
      </c>
      <c r="W28" s="81">
        <v>35.177216373299878</v>
      </c>
      <c r="X28" s="81">
        <v>35.7142972768535</v>
      </c>
      <c r="Y28" s="81">
        <v>35.579403885228487</v>
      </c>
      <c r="Z28" s="81">
        <v>34.893252508040376</v>
      </c>
      <c r="AA28" s="81">
        <v>34.105523928773835</v>
      </c>
      <c r="AB28" s="81">
        <v>34.383942108371357</v>
      </c>
      <c r="AC28" s="81">
        <v>35.010811352337157</v>
      </c>
      <c r="AD28" s="81">
        <v>34.50927571793207</v>
      </c>
      <c r="AE28" s="81">
        <v>34.627416643324814</v>
      </c>
      <c r="AF28" s="81">
        <v>34.684552384586461</v>
      </c>
      <c r="AG28" s="81">
        <v>35.818108610787412</v>
      </c>
    </row>
    <row r="29" spans="1:33" x14ac:dyDescent="0.25">
      <c r="A29" s="78" t="s">
        <v>264</v>
      </c>
      <c r="B29" s="78" t="s">
        <v>265</v>
      </c>
      <c r="C29" s="78" t="s">
        <v>340</v>
      </c>
      <c r="D29" s="78" t="s">
        <v>210</v>
      </c>
      <c r="E29" s="78" t="s">
        <v>221</v>
      </c>
      <c r="F29" s="80">
        <v>56.189304351806641</v>
      </c>
      <c r="G29" s="80">
        <v>43.606796264648438</v>
      </c>
      <c r="H29" s="81">
        <v>48.988237459070064</v>
      </c>
      <c r="I29" s="81">
        <v>52.114809939608378</v>
      </c>
      <c r="J29" s="81">
        <v>48.473347891595338</v>
      </c>
      <c r="K29" s="81">
        <v>46.223436761808053</v>
      </c>
      <c r="L29" s="81">
        <v>44.35656633478596</v>
      </c>
      <c r="M29" s="81">
        <v>41.896528093646175</v>
      </c>
      <c r="N29" s="81">
        <v>42.602283348178325</v>
      </c>
      <c r="O29" s="81">
        <v>43.15345698835678</v>
      </c>
      <c r="P29" s="81">
        <v>42.322563429588321</v>
      </c>
      <c r="Q29" s="81">
        <v>41.675030719482237</v>
      </c>
      <c r="R29" s="81">
        <v>40.608844707782168</v>
      </c>
      <c r="S29" s="81">
        <v>40.291602149114972</v>
      </c>
      <c r="T29" s="81">
        <v>39.776385910371026</v>
      </c>
      <c r="U29" s="81">
        <v>40.088940760433317</v>
      </c>
      <c r="V29" s="81">
        <v>39.151342458654277</v>
      </c>
      <c r="W29" s="81">
        <v>38.674870620486161</v>
      </c>
      <c r="X29" s="81">
        <v>39.098733928161323</v>
      </c>
      <c r="Y29" s="81">
        <v>38.894032014057316</v>
      </c>
      <c r="Z29" s="81">
        <v>38.66715291224638</v>
      </c>
      <c r="AA29" s="81">
        <v>38.245197662855354</v>
      </c>
      <c r="AB29" s="81">
        <v>38.585335707278098</v>
      </c>
      <c r="AC29" s="81">
        <v>39.075680714826802</v>
      </c>
      <c r="AD29" s="81">
        <v>38.916585081760338</v>
      </c>
      <c r="AE29" s="81">
        <v>38.78148461696837</v>
      </c>
      <c r="AF29" s="81">
        <v>39.063209209499234</v>
      </c>
      <c r="AG29" s="81">
        <v>40.497966571419987</v>
      </c>
    </row>
    <row r="30" spans="1:33" x14ac:dyDescent="0.25">
      <c r="A30" s="78" t="s">
        <v>264</v>
      </c>
      <c r="B30" s="78" t="s">
        <v>265</v>
      </c>
      <c r="C30" s="78" t="s">
        <v>341</v>
      </c>
      <c r="D30" s="78" t="s">
        <v>210</v>
      </c>
      <c r="E30" s="78" t="s">
        <v>223</v>
      </c>
      <c r="F30" s="80">
        <v>64.423934936523438</v>
      </c>
      <c r="G30" s="80">
        <v>47.331851959228523</v>
      </c>
      <c r="H30" s="81">
        <v>51.894798731785109</v>
      </c>
      <c r="I30" s="81">
        <v>52.621111716930372</v>
      </c>
      <c r="J30" s="81">
        <v>49.605784245593327</v>
      </c>
      <c r="K30" s="81">
        <v>46.874021579954601</v>
      </c>
      <c r="L30" s="81">
        <v>44.51499352216868</v>
      </c>
      <c r="M30" s="81">
        <v>42.08836776674223</v>
      </c>
      <c r="N30" s="81">
        <v>42.822954728459813</v>
      </c>
      <c r="O30" s="81">
        <v>43.381740740217339</v>
      </c>
      <c r="P30" s="81">
        <v>42.30435072503834</v>
      </c>
      <c r="Q30" s="81">
        <v>41.650829768968251</v>
      </c>
      <c r="R30" s="81">
        <v>40.407722273269677</v>
      </c>
      <c r="S30" s="81">
        <v>40.029779451704734</v>
      </c>
      <c r="T30" s="81">
        <v>39.450169052155289</v>
      </c>
      <c r="U30" s="81">
        <v>39.731848458580679</v>
      </c>
      <c r="V30" s="81">
        <v>38.631510392167691</v>
      </c>
      <c r="W30" s="81">
        <v>38.092779479889586</v>
      </c>
      <c r="X30" s="81">
        <v>38.601045946171801</v>
      </c>
      <c r="Y30" s="81">
        <v>38.705928860334829</v>
      </c>
      <c r="Z30" s="81">
        <v>39.067318353732276</v>
      </c>
      <c r="AA30" s="81">
        <v>38.379412277653088</v>
      </c>
      <c r="AB30" s="81">
        <v>38.958285053528996</v>
      </c>
      <c r="AC30" s="81">
        <v>39.533899476867667</v>
      </c>
      <c r="AD30" s="81">
        <v>39.414915100115692</v>
      </c>
      <c r="AE30" s="81">
        <v>39.654909029018924</v>
      </c>
      <c r="AF30" s="81">
        <v>40.043029357419485</v>
      </c>
      <c r="AG30" s="81">
        <v>41.47829469188185</v>
      </c>
    </row>
    <row r="31" spans="1:33" x14ac:dyDescent="0.25">
      <c r="A31" s="78" t="s">
        <v>264</v>
      </c>
      <c r="B31" s="78" t="s">
        <v>265</v>
      </c>
      <c r="C31" s="78" t="s">
        <v>342</v>
      </c>
      <c r="D31" s="78" t="s">
        <v>210</v>
      </c>
      <c r="E31" s="78" t="s">
        <v>225</v>
      </c>
      <c r="F31" s="80">
        <v>63.973106384277337</v>
      </c>
      <c r="G31" s="80">
        <v>47.127525329589837</v>
      </c>
      <c r="H31" s="81">
        <v>52.533526631981879</v>
      </c>
      <c r="I31" s="81">
        <v>52.889048430348687</v>
      </c>
      <c r="J31" s="81">
        <v>49.843620887181821</v>
      </c>
      <c r="K31" s="81">
        <v>47.129776491757809</v>
      </c>
      <c r="L31" s="81">
        <v>44.056091799128389</v>
      </c>
      <c r="M31" s="81">
        <v>41.284217683997063</v>
      </c>
      <c r="N31" s="81">
        <v>42.114820822729683</v>
      </c>
      <c r="O31" s="81">
        <v>42.7589898372321</v>
      </c>
      <c r="P31" s="81">
        <v>42.272145557450656</v>
      </c>
      <c r="Q31" s="81">
        <v>41.733313577785871</v>
      </c>
      <c r="R31" s="81">
        <v>40.604210341928059</v>
      </c>
      <c r="S31" s="81">
        <v>40.216318010994961</v>
      </c>
      <c r="T31" s="81">
        <v>39.619961682003833</v>
      </c>
      <c r="U31" s="81">
        <v>39.872478786166013</v>
      </c>
      <c r="V31" s="81">
        <v>38.776110291068989</v>
      </c>
      <c r="W31" s="81">
        <v>38.247665135905315</v>
      </c>
      <c r="X31" s="81">
        <v>38.700709370095062</v>
      </c>
      <c r="Y31" s="81">
        <v>38.77598064098045</v>
      </c>
      <c r="Z31" s="81">
        <v>39.238468574641431</v>
      </c>
      <c r="AA31" s="81">
        <v>38.505418898919416</v>
      </c>
      <c r="AB31" s="81">
        <v>39.070023536485557</v>
      </c>
      <c r="AC31" s="81">
        <v>39.660281695602869</v>
      </c>
      <c r="AD31" s="81">
        <v>39.549984005772323</v>
      </c>
      <c r="AE31" s="81">
        <v>39.75879696740494</v>
      </c>
      <c r="AF31" s="81">
        <v>40.209019752610338</v>
      </c>
      <c r="AG31" s="81">
        <v>41.674734922212316</v>
      </c>
    </row>
    <row r="32" spans="1:33" x14ac:dyDescent="0.25">
      <c r="A32" s="78" t="s">
        <v>264</v>
      </c>
      <c r="B32" s="78" t="s">
        <v>265</v>
      </c>
      <c r="C32" s="78" t="s">
        <v>343</v>
      </c>
      <c r="D32" s="78" t="s">
        <v>210</v>
      </c>
      <c r="E32" s="78" t="s">
        <v>228</v>
      </c>
      <c r="F32" s="80">
        <v>63.994617462158203</v>
      </c>
      <c r="G32" s="80">
        <v>48.027259826660163</v>
      </c>
      <c r="H32" s="81">
        <v>52.103732700618281</v>
      </c>
      <c r="I32" s="81">
        <v>52.965229043119848</v>
      </c>
      <c r="J32" s="81">
        <v>49.949679661324438</v>
      </c>
      <c r="K32" s="81">
        <v>47.189204066651875</v>
      </c>
      <c r="L32" s="81">
        <v>44.172090840132164</v>
      </c>
      <c r="M32" s="81">
        <v>41.376147300841765</v>
      </c>
      <c r="N32" s="81">
        <v>42.226868772438898</v>
      </c>
      <c r="O32" s="81">
        <v>42.89122082234821</v>
      </c>
      <c r="P32" s="81">
        <v>42.339013736720737</v>
      </c>
      <c r="Q32" s="81">
        <v>41.837476959739853</v>
      </c>
      <c r="R32" s="81">
        <v>40.704786368216226</v>
      </c>
      <c r="S32" s="81">
        <v>40.31034356476593</v>
      </c>
      <c r="T32" s="81">
        <v>39.706961723767918</v>
      </c>
      <c r="U32" s="81">
        <v>40.023982623368497</v>
      </c>
      <c r="V32" s="81">
        <v>38.903639401139067</v>
      </c>
      <c r="W32" s="81">
        <v>38.357350963616213</v>
      </c>
      <c r="X32" s="81">
        <v>38.842732829396681</v>
      </c>
      <c r="Y32" s="81">
        <v>38.92853138540103</v>
      </c>
      <c r="Z32" s="81">
        <v>39.259944487174145</v>
      </c>
      <c r="AA32" s="81">
        <v>38.508766876493787</v>
      </c>
      <c r="AB32" s="81">
        <v>39.090483203404133</v>
      </c>
      <c r="AC32" s="81">
        <v>39.715419039652012</v>
      </c>
      <c r="AD32" s="81">
        <v>39.629893260550844</v>
      </c>
      <c r="AE32" s="81">
        <v>40.014483071317635</v>
      </c>
      <c r="AF32" s="81">
        <v>40.445936872308643</v>
      </c>
      <c r="AG32" s="81">
        <v>41.894939448014263</v>
      </c>
    </row>
    <row r="33" spans="1:33" x14ac:dyDescent="0.25">
      <c r="A33" s="78" t="s">
        <v>264</v>
      </c>
      <c r="B33" s="78" t="s">
        <v>265</v>
      </c>
      <c r="C33" s="78" t="s">
        <v>344</v>
      </c>
      <c r="D33" s="78" t="s">
        <v>210</v>
      </c>
      <c r="E33" s="78" t="s">
        <v>232</v>
      </c>
      <c r="F33" s="80">
        <v>63.994617462158203</v>
      </c>
      <c r="G33" s="80">
        <v>48.027259826660163</v>
      </c>
      <c r="H33" s="81">
        <v>52.984906580331554</v>
      </c>
      <c r="I33" s="81">
        <v>54.673612254215136</v>
      </c>
      <c r="J33" s="81">
        <v>51.441787430394882</v>
      </c>
      <c r="K33" s="81">
        <v>49.103245317198123</v>
      </c>
      <c r="L33" s="81">
        <v>46.589146258657756</v>
      </c>
      <c r="M33" s="81">
        <v>44.389181443635302</v>
      </c>
      <c r="N33" s="81">
        <v>45.474343024706975</v>
      </c>
      <c r="O33" s="81">
        <v>45.683383497290862</v>
      </c>
      <c r="P33" s="81">
        <v>44.913238041993012</v>
      </c>
      <c r="Q33" s="81">
        <v>44.036499269992056</v>
      </c>
      <c r="R33" s="81">
        <v>42.873981702544825</v>
      </c>
      <c r="S33" s="81">
        <v>42.35216215368014</v>
      </c>
      <c r="T33" s="81">
        <v>41.68637655025632</v>
      </c>
      <c r="U33" s="81">
        <v>42.128439671919374</v>
      </c>
      <c r="V33" s="81">
        <v>41.021798526825762</v>
      </c>
      <c r="W33" s="81">
        <v>40.367404145791774</v>
      </c>
      <c r="X33" s="81">
        <v>40.898944945458773</v>
      </c>
      <c r="Y33" s="81">
        <v>41.127168803107743</v>
      </c>
      <c r="Z33" s="81">
        <v>41.677269918663789</v>
      </c>
      <c r="AA33" s="81">
        <v>41.068098489221931</v>
      </c>
      <c r="AB33" s="81">
        <v>41.631856930090727</v>
      </c>
      <c r="AC33" s="81">
        <v>42.531219920291733</v>
      </c>
      <c r="AD33" s="81">
        <v>42.441107399749875</v>
      </c>
      <c r="AE33" s="81">
        <v>43.167251141059992</v>
      </c>
      <c r="AF33" s="81">
        <v>43.553286885015105</v>
      </c>
      <c r="AG33" s="81">
        <v>45.184859318201681</v>
      </c>
    </row>
    <row r="34" spans="1:33" x14ac:dyDescent="0.25">
      <c r="A34" s="78" t="s">
        <v>264</v>
      </c>
      <c r="B34" s="78" t="s">
        <v>265</v>
      </c>
      <c r="C34" s="78" t="s">
        <v>345</v>
      </c>
      <c r="D34" s="78" t="s">
        <v>210</v>
      </c>
      <c r="E34" s="78" t="s">
        <v>239</v>
      </c>
      <c r="F34" s="80">
        <v>65.91546630859375</v>
      </c>
      <c r="G34" s="80">
        <v>49.426502227783203</v>
      </c>
      <c r="H34" s="81">
        <v>56.358501446252156</v>
      </c>
      <c r="I34" s="81">
        <v>57.757506191209394</v>
      </c>
      <c r="J34" s="81">
        <v>54.925802996285341</v>
      </c>
      <c r="K34" s="81">
        <v>51.893534709629833</v>
      </c>
      <c r="L34" s="81">
        <v>49.175101839700467</v>
      </c>
      <c r="M34" s="81">
        <v>46.548123504059305</v>
      </c>
      <c r="N34" s="81">
        <v>47.528530040420691</v>
      </c>
      <c r="O34" s="81">
        <v>47.981471029002051</v>
      </c>
      <c r="P34" s="81">
        <v>46.593121199247065</v>
      </c>
      <c r="Q34" s="81">
        <v>45.573538423217421</v>
      </c>
      <c r="R34" s="81">
        <v>44.114497595942517</v>
      </c>
      <c r="S34" s="81">
        <v>43.604149540658184</v>
      </c>
      <c r="T34" s="81">
        <v>42.944338364327592</v>
      </c>
      <c r="U34" s="81">
        <v>42.920646240980155</v>
      </c>
      <c r="V34" s="81">
        <v>41.842354705974003</v>
      </c>
      <c r="W34" s="81">
        <v>41.152409919962793</v>
      </c>
      <c r="X34" s="81">
        <v>41.640852355071523</v>
      </c>
      <c r="Y34" s="81">
        <v>41.704898401732457</v>
      </c>
      <c r="Z34" s="81">
        <v>42.109939340169937</v>
      </c>
      <c r="AA34" s="81">
        <v>41.451896583793193</v>
      </c>
      <c r="AB34" s="81">
        <v>42.205720568626369</v>
      </c>
      <c r="AC34" s="81">
        <v>42.768160453837886</v>
      </c>
      <c r="AD34" s="81">
        <v>42.710242525724247</v>
      </c>
      <c r="AE34" s="81">
        <v>43.033706405823118</v>
      </c>
      <c r="AF34" s="81">
        <v>43.242895775178269</v>
      </c>
      <c r="AG34" s="81">
        <v>44.394978654124372</v>
      </c>
    </row>
    <row r="35" spans="1:33" x14ac:dyDescent="0.25">
      <c r="A35" s="78" t="s">
        <v>204</v>
      </c>
      <c r="B35" s="78" t="s">
        <v>265</v>
      </c>
      <c r="C35" s="78" t="s">
        <v>298</v>
      </c>
      <c r="D35" s="78" t="s">
        <v>285</v>
      </c>
      <c r="E35" s="78" t="s">
        <v>206</v>
      </c>
      <c r="F35" s="80">
        <v>55.575904846191413</v>
      </c>
      <c r="G35" s="80">
        <v>44.727138519287109</v>
      </c>
      <c r="H35" s="81">
        <v>44.121075084657896</v>
      </c>
      <c r="I35" s="81">
        <v>45.051215813991973</v>
      </c>
      <c r="J35" s="81">
        <v>43.136378688800015</v>
      </c>
      <c r="K35" s="81">
        <v>41.105300150656667</v>
      </c>
      <c r="L35" s="81">
        <v>39.193958802889057</v>
      </c>
      <c r="M35" s="81">
        <v>36.039602510405338</v>
      </c>
      <c r="N35" s="81">
        <v>37.143574039823719</v>
      </c>
      <c r="O35" s="81">
        <v>37.779750255553139</v>
      </c>
      <c r="P35" s="81">
        <v>37.362566261951272</v>
      </c>
      <c r="Q35" s="81">
        <v>36.856721543893244</v>
      </c>
      <c r="R35" s="81">
        <v>35.744106917147029</v>
      </c>
      <c r="S35" s="81">
        <v>35.402442941393971</v>
      </c>
      <c r="T35" s="81">
        <v>34.842609045257312</v>
      </c>
      <c r="U35" s="81">
        <v>34.999639437285978</v>
      </c>
      <c r="V35" s="81">
        <v>34.174200290425652</v>
      </c>
      <c r="W35" s="81">
        <v>33.476919822432748</v>
      </c>
      <c r="X35" s="81">
        <v>33.784383457691249</v>
      </c>
      <c r="Y35" s="81">
        <v>33.445404595075914</v>
      </c>
      <c r="Z35" s="81">
        <v>32.779313123166816</v>
      </c>
      <c r="AA35" s="81">
        <v>31.905876210027458</v>
      </c>
      <c r="AB35" s="81">
        <v>32.073953923019324</v>
      </c>
      <c r="AC35" s="81">
        <v>32.720891434918926</v>
      </c>
      <c r="AD35" s="81">
        <v>32.407292097282422</v>
      </c>
      <c r="AE35" s="81">
        <v>32.881137705530598</v>
      </c>
      <c r="AF35" s="81">
        <v>32.981516473588513</v>
      </c>
      <c r="AG35" s="81">
        <v>34.199951653330871</v>
      </c>
    </row>
    <row r="36" spans="1:33" x14ac:dyDescent="0.25">
      <c r="A36" s="78" t="s">
        <v>204</v>
      </c>
      <c r="B36" s="78" t="s">
        <v>265</v>
      </c>
      <c r="C36" s="78" t="s">
        <v>299</v>
      </c>
      <c r="D36" s="78" t="s">
        <v>285</v>
      </c>
      <c r="E36" s="78" t="s">
        <v>208</v>
      </c>
      <c r="F36" s="80">
        <v>55.234516143798828</v>
      </c>
      <c r="G36" s="80">
        <v>44.501983642578132</v>
      </c>
      <c r="H36" s="81">
        <v>44.457192940476489</v>
      </c>
      <c r="I36" s="81">
        <v>44.804280544143801</v>
      </c>
      <c r="J36" s="81">
        <v>42.958267042875178</v>
      </c>
      <c r="K36" s="81">
        <v>41.079690761523146</v>
      </c>
      <c r="L36" s="81">
        <v>39.637063857262589</v>
      </c>
      <c r="M36" s="81">
        <v>36.44024993021403</v>
      </c>
      <c r="N36" s="81">
        <v>37.527909925170327</v>
      </c>
      <c r="O36" s="81">
        <v>38.164765673677394</v>
      </c>
      <c r="P36" s="81">
        <v>37.297125041446122</v>
      </c>
      <c r="Q36" s="81">
        <v>36.816565646400882</v>
      </c>
      <c r="R36" s="81">
        <v>35.70622123771799</v>
      </c>
      <c r="S36" s="81">
        <v>35.280839511052719</v>
      </c>
      <c r="T36" s="81">
        <v>34.640333477591426</v>
      </c>
      <c r="U36" s="81">
        <v>34.790421185788475</v>
      </c>
      <c r="V36" s="81">
        <v>33.894082970172178</v>
      </c>
      <c r="W36" s="81">
        <v>33.168055045558106</v>
      </c>
      <c r="X36" s="81">
        <v>33.57176647686704</v>
      </c>
      <c r="Y36" s="81">
        <v>33.345876348460429</v>
      </c>
      <c r="Z36" s="81">
        <v>33.344056658357758</v>
      </c>
      <c r="AA36" s="81">
        <v>32.524549124506265</v>
      </c>
      <c r="AB36" s="81">
        <v>32.798568167407367</v>
      </c>
      <c r="AC36" s="81">
        <v>33.451713935827733</v>
      </c>
      <c r="AD36" s="81">
        <v>33.096471393305215</v>
      </c>
      <c r="AE36" s="81">
        <v>33.285698320190669</v>
      </c>
      <c r="AF36" s="81">
        <v>33.378552658199425</v>
      </c>
      <c r="AG36" s="81">
        <v>34.67936456621603</v>
      </c>
    </row>
    <row r="37" spans="1:33" x14ac:dyDescent="0.25">
      <c r="A37" s="78" t="s">
        <v>204</v>
      </c>
      <c r="B37" s="78" t="s">
        <v>265</v>
      </c>
      <c r="C37" s="78" t="s">
        <v>300</v>
      </c>
      <c r="D37" s="78" t="s">
        <v>285</v>
      </c>
      <c r="E37" s="78" t="s">
        <v>212</v>
      </c>
      <c r="F37" s="80">
        <v>46.106292724609382</v>
      </c>
      <c r="G37" s="80">
        <v>37.283676147460938</v>
      </c>
      <c r="H37" s="81">
        <v>45.267581634977354</v>
      </c>
      <c r="I37" s="81">
        <v>46.445361411974289</v>
      </c>
      <c r="J37" s="81">
        <v>44.108521395305502</v>
      </c>
      <c r="K37" s="81">
        <v>41.786517505101536</v>
      </c>
      <c r="L37" s="81">
        <v>39.261550152145645</v>
      </c>
      <c r="M37" s="81">
        <v>35.952154111480638</v>
      </c>
      <c r="N37" s="81">
        <v>36.864462798787144</v>
      </c>
      <c r="O37" s="81">
        <v>37.41153524876767</v>
      </c>
      <c r="P37" s="81">
        <v>37.059044310580106</v>
      </c>
      <c r="Q37" s="81">
        <v>36.666172228660287</v>
      </c>
      <c r="R37" s="81">
        <v>35.46943831101445</v>
      </c>
      <c r="S37" s="81">
        <v>35.131485200469406</v>
      </c>
      <c r="T37" s="81">
        <v>34.479862221271894</v>
      </c>
      <c r="U37" s="81">
        <v>34.935744315935985</v>
      </c>
      <c r="V37" s="81">
        <v>34.067719846392727</v>
      </c>
      <c r="W37" s="81">
        <v>33.503638573274877</v>
      </c>
      <c r="X37" s="81">
        <v>33.851882241378703</v>
      </c>
      <c r="Y37" s="81">
        <v>33.628994201893278</v>
      </c>
      <c r="Z37" s="81">
        <v>32.94861477719202</v>
      </c>
      <c r="AA37" s="81">
        <v>32.096875055865915</v>
      </c>
      <c r="AB37" s="81">
        <v>32.218853688830315</v>
      </c>
      <c r="AC37" s="81">
        <v>32.833200327297597</v>
      </c>
      <c r="AD37" s="81">
        <v>32.315064207217873</v>
      </c>
      <c r="AE37" s="81">
        <v>32.422542291084177</v>
      </c>
      <c r="AF37" s="81">
        <v>32.416168575026049</v>
      </c>
      <c r="AG37" s="81">
        <v>33.469972743682661</v>
      </c>
    </row>
    <row r="38" spans="1:33" x14ac:dyDescent="0.25">
      <c r="A38" s="78" t="s">
        <v>204</v>
      </c>
      <c r="B38" s="78" t="s">
        <v>265</v>
      </c>
      <c r="C38" s="78" t="s">
        <v>301</v>
      </c>
      <c r="D38" s="78" t="s">
        <v>285</v>
      </c>
      <c r="E38" s="78" t="s">
        <v>215</v>
      </c>
      <c r="F38" s="80">
        <v>45.744026184082031</v>
      </c>
      <c r="G38" s="80">
        <v>36.957622528076172</v>
      </c>
      <c r="H38" s="81">
        <v>44.480578515090045</v>
      </c>
      <c r="I38" s="81">
        <v>44.860897200923041</v>
      </c>
      <c r="J38" s="81">
        <v>42.781517581638717</v>
      </c>
      <c r="K38" s="81">
        <v>40.89103227281241</v>
      </c>
      <c r="L38" s="81">
        <v>38.493127491704058</v>
      </c>
      <c r="M38" s="81">
        <v>35.544629557916679</v>
      </c>
      <c r="N38" s="81">
        <v>36.435826125094344</v>
      </c>
      <c r="O38" s="81">
        <v>36.966899800081045</v>
      </c>
      <c r="P38" s="81">
        <v>36.005064809197584</v>
      </c>
      <c r="Q38" s="81">
        <v>35.522658451085988</v>
      </c>
      <c r="R38" s="81">
        <v>34.254578900363441</v>
      </c>
      <c r="S38" s="81">
        <v>33.929056558455095</v>
      </c>
      <c r="T38" s="81">
        <v>33.263680365731283</v>
      </c>
      <c r="U38" s="81">
        <v>33.713540390869717</v>
      </c>
      <c r="V38" s="81">
        <v>32.819914065246394</v>
      </c>
      <c r="W38" s="81">
        <v>32.252666295834082</v>
      </c>
      <c r="X38" s="81">
        <v>32.587469037107219</v>
      </c>
      <c r="Y38" s="81">
        <v>32.313439893560705</v>
      </c>
      <c r="Z38" s="81">
        <v>31.897928048615309</v>
      </c>
      <c r="AA38" s="81">
        <v>31.077393700915497</v>
      </c>
      <c r="AB38" s="81">
        <v>31.158898864375033</v>
      </c>
      <c r="AC38" s="81">
        <v>31.61598173609703</v>
      </c>
      <c r="AD38" s="81">
        <v>30.973517270218647</v>
      </c>
      <c r="AE38" s="81">
        <v>31.270970291777182</v>
      </c>
      <c r="AF38" s="81">
        <v>31.195239232287502</v>
      </c>
      <c r="AG38" s="81">
        <v>32.174931628425647</v>
      </c>
    </row>
    <row r="39" spans="1:33" x14ac:dyDescent="0.25">
      <c r="A39" s="78" t="s">
        <v>204</v>
      </c>
      <c r="B39" s="78" t="s">
        <v>265</v>
      </c>
      <c r="C39" s="78" t="s">
        <v>302</v>
      </c>
      <c r="D39" s="78" t="s">
        <v>285</v>
      </c>
      <c r="E39" s="78" t="s">
        <v>218</v>
      </c>
      <c r="F39" s="80">
        <v>45.744026184082031</v>
      </c>
      <c r="G39" s="80">
        <v>36.957622528076172</v>
      </c>
      <c r="H39" s="81">
        <v>45.064759355145249</v>
      </c>
      <c r="I39" s="81">
        <v>46.485601648582573</v>
      </c>
      <c r="J39" s="81">
        <v>44.268784917101549</v>
      </c>
      <c r="K39" s="81">
        <v>41.854980327179454</v>
      </c>
      <c r="L39" s="81">
        <v>39.78418522233352</v>
      </c>
      <c r="M39" s="81">
        <v>36.557858574306174</v>
      </c>
      <c r="N39" s="81">
        <v>37.386173012898382</v>
      </c>
      <c r="O39" s="81">
        <v>37.870056588635947</v>
      </c>
      <c r="P39" s="81">
        <v>37.179125248463592</v>
      </c>
      <c r="Q39" s="81">
        <v>36.717271700136543</v>
      </c>
      <c r="R39" s="81">
        <v>35.445493242353116</v>
      </c>
      <c r="S39" s="81">
        <v>35.044350057894391</v>
      </c>
      <c r="T39" s="81">
        <v>34.324515856682076</v>
      </c>
      <c r="U39" s="81">
        <v>34.713450717404797</v>
      </c>
      <c r="V39" s="81">
        <v>33.748772355108407</v>
      </c>
      <c r="W39" s="81">
        <v>33.124482930898608</v>
      </c>
      <c r="X39" s="81">
        <v>33.571878961132164</v>
      </c>
      <c r="Y39" s="81">
        <v>33.420321797248462</v>
      </c>
      <c r="Z39" s="81">
        <v>32.60102812477556</v>
      </c>
      <c r="AA39" s="81">
        <v>31.833457003349253</v>
      </c>
      <c r="AB39" s="81">
        <v>31.99575986304556</v>
      </c>
      <c r="AC39" s="81">
        <v>32.543206182883054</v>
      </c>
      <c r="AD39" s="81">
        <v>31.938734205270588</v>
      </c>
      <c r="AE39" s="81">
        <v>32.060371599330395</v>
      </c>
      <c r="AF39" s="81">
        <v>32.04272349812873</v>
      </c>
      <c r="AG39" s="81">
        <v>33.052373660430504</v>
      </c>
    </row>
    <row r="40" spans="1:33" x14ac:dyDescent="0.25">
      <c r="A40" s="78" t="s">
        <v>204</v>
      </c>
      <c r="B40" s="78" t="s">
        <v>265</v>
      </c>
      <c r="C40" s="78" t="s">
        <v>303</v>
      </c>
      <c r="D40" s="78" t="s">
        <v>285</v>
      </c>
      <c r="E40" s="78" t="s">
        <v>221</v>
      </c>
      <c r="F40" s="80">
        <v>54.996665954589837</v>
      </c>
      <c r="G40" s="80">
        <v>43.017318725585938</v>
      </c>
      <c r="H40" s="81">
        <v>47.895437885400227</v>
      </c>
      <c r="I40" s="81">
        <v>50.860310677944625</v>
      </c>
      <c r="J40" s="81">
        <v>47.241450616492742</v>
      </c>
      <c r="K40" s="81">
        <v>45.043100973687309</v>
      </c>
      <c r="L40" s="81">
        <v>43.187862990094324</v>
      </c>
      <c r="M40" s="81">
        <v>40.687027667605776</v>
      </c>
      <c r="N40" s="81">
        <v>41.248830785081488</v>
      </c>
      <c r="O40" s="81">
        <v>41.805315532272196</v>
      </c>
      <c r="P40" s="81">
        <v>40.851589583855137</v>
      </c>
      <c r="Q40" s="81">
        <v>40.185953687823968</v>
      </c>
      <c r="R40" s="81">
        <v>39.029058590123675</v>
      </c>
      <c r="S40" s="81">
        <v>38.702939160858186</v>
      </c>
      <c r="T40" s="81">
        <v>38.111818269944081</v>
      </c>
      <c r="U40" s="81">
        <v>38.358181641429631</v>
      </c>
      <c r="V40" s="81">
        <v>37.344559644763486</v>
      </c>
      <c r="W40" s="81">
        <v>36.843993319820932</v>
      </c>
      <c r="X40" s="81">
        <v>37.158831043530483</v>
      </c>
      <c r="Y40" s="81">
        <v>36.883114303595292</v>
      </c>
      <c r="Z40" s="81">
        <v>36.62579997272325</v>
      </c>
      <c r="AA40" s="81">
        <v>36.172484470501608</v>
      </c>
      <c r="AB40" s="81">
        <v>36.360397406303882</v>
      </c>
      <c r="AC40" s="81">
        <v>36.811681382745128</v>
      </c>
      <c r="AD40" s="81">
        <v>36.552716709908438</v>
      </c>
      <c r="AE40" s="81">
        <v>36.458820199579606</v>
      </c>
      <c r="AF40" s="81">
        <v>36.643579090953786</v>
      </c>
      <c r="AG40" s="81">
        <v>37.991537752167275</v>
      </c>
    </row>
    <row r="41" spans="1:33" x14ac:dyDescent="0.25">
      <c r="A41" s="78" t="s">
        <v>204</v>
      </c>
      <c r="B41" s="78" t="s">
        <v>265</v>
      </c>
      <c r="C41" s="78" t="s">
        <v>304</v>
      </c>
      <c r="D41" s="78" t="s">
        <v>285</v>
      </c>
      <c r="E41" s="78" t="s">
        <v>223</v>
      </c>
      <c r="F41" s="80">
        <v>63.495990753173828</v>
      </c>
      <c r="G41" s="80">
        <v>46.966960906982422</v>
      </c>
      <c r="H41" s="81">
        <v>51.348326347271957</v>
      </c>
      <c r="I41" s="81">
        <v>51.98198428261783</v>
      </c>
      <c r="J41" s="81">
        <v>48.958388396188099</v>
      </c>
      <c r="K41" s="81">
        <v>46.226884580922771</v>
      </c>
      <c r="L41" s="81">
        <v>43.854380127363243</v>
      </c>
      <c r="M41" s="81">
        <v>41.361584784105069</v>
      </c>
      <c r="N41" s="81">
        <v>42.001958463362818</v>
      </c>
      <c r="O41" s="81">
        <v>42.591237827724392</v>
      </c>
      <c r="P41" s="81">
        <v>41.376574515730745</v>
      </c>
      <c r="Q41" s="81">
        <v>40.681188229302201</v>
      </c>
      <c r="R41" s="81">
        <v>39.374252500669101</v>
      </c>
      <c r="S41" s="81">
        <v>38.972543543918917</v>
      </c>
      <c r="T41" s="81">
        <v>38.357513883395058</v>
      </c>
      <c r="U41" s="81">
        <v>38.605165494875884</v>
      </c>
      <c r="V41" s="81">
        <v>37.461347839831561</v>
      </c>
      <c r="W41" s="81">
        <v>36.875016221064875</v>
      </c>
      <c r="X41" s="81">
        <v>37.354369824228272</v>
      </c>
      <c r="Y41" s="81">
        <v>37.403724331324618</v>
      </c>
      <c r="Z41" s="81">
        <v>37.705534423077289</v>
      </c>
      <c r="AA41" s="81">
        <v>37.02715697667346</v>
      </c>
      <c r="AB41" s="81">
        <v>37.510534732553204</v>
      </c>
      <c r="AC41" s="81">
        <v>38.014283194601596</v>
      </c>
      <c r="AD41" s="81">
        <v>37.86898704010526</v>
      </c>
      <c r="AE41" s="81">
        <v>38.108059238454771</v>
      </c>
      <c r="AF41" s="81">
        <v>38.427544800963886</v>
      </c>
      <c r="AG41" s="81">
        <v>39.772796639481157</v>
      </c>
    </row>
    <row r="42" spans="1:33" x14ac:dyDescent="0.25">
      <c r="A42" s="78" t="s">
        <v>204</v>
      </c>
      <c r="B42" s="78" t="s">
        <v>265</v>
      </c>
      <c r="C42" s="78" t="s">
        <v>305</v>
      </c>
      <c r="D42" s="78" t="s">
        <v>285</v>
      </c>
      <c r="E42" s="78" t="s">
        <v>225</v>
      </c>
      <c r="F42" s="80">
        <v>63.495990753173828</v>
      </c>
      <c r="G42" s="80">
        <v>46.966960906982422</v>
      </c>
      <c r="H42" s="81">
        <v>52.01049232198443</v>
      </c>
      <c r="I42" s="81">
        <v>52.255516299441489</v>
      </c>
      <c r="J42" s="81">
        <v>49.207907568187558</v>
      </c>
      <c r="K42" s="81">
        <v>46.489483071076947</v>
      </c>
      <c r="L42" s="81">
        <v>43.34040550453286</v>
      </c>
      <c r="M42" s="81">
        <v>40.499362851811611</v>
      </c>
      <c r="N42" s="81">
        <v>41.232762973129852</v>
      </c>
      <c r="O42" s="81">
        <v>41.909442875651344</v>
      </c>
      <c r="P42" s="81">
        <v>41.337052323962773</v>
      </c>
      <c r="Q42" s="81">
        <v>40.760144150709181</v>
      </c>
      <c r="R42" s="81">
        <v>39.575294489476725</v>
      </c>
      <c r="S42" s="81">
        <v>39.162066581958086</v>
      </c>
      <c r="T42" s="81">
        <v>38.532776835107562</v>
      </c>
      <c r="U42" s="81">
        <v>38.737601800221007</v>
      </c>
      <c r="V42" s="81">
        <v>37.606023744736305</v>
      </c>
      <c r="W42" s="81">
        <v>37.028331241296058</v>
      </c>
      <c r="X42" s="81">
        <v>37.444340307029954</v>
      </c>
      <c r="Y42" s="81">
        <v>37.461300944028295</v>
      </c>
      <c r="Z42" s="81">
        <v>37.882595393970448</v>
      </c>
      <c r="AA42" s="81">
        <v>37.160013985840699</v>
      </c>
      <c r="AB42" s="81">
        <v>37.627267882085086</v>
      </c>
      <c r="AC42" s="81">
        <v>38.152267103063778</v>
      </c>
      <c r="AD42" s="81">
        <v>38.011113947261684</v>
      </c>
      <c r="AE42" s="81">
        <v>38.207812286812391</v>
      </c>
      <c r="AF42" s="81">
        <v>38.600818651551513</v>
      </c>
      <c r="AG42" s="81">
        <v>39.980340415053348</v>
      </c>
    </row>
    <row r="43" spans="1:33" x14ac:dyDescent="0.25">
      <c r="A43" s="78" t="s">
        <v>204</v>
      </c>
      <c r="B43" s="78" t="s">
        <v>265</v>
      </c>
      <c r="C43" s="78" t="s">
        <v>306</v>
      </c>
      <c r="D43" s="78" t="s">
        <v>285</v>
      </c>
      <c r="E43" s="78" t="s">
        <v>228</v>
      </c>
      <c r="F43" s="80">
        <v>63.516193389892578</v>
      </c>
      <c r="G43" s="80">
        <v>47.905361175537109</v>
      </c>
      <c r="H43" s="81">
        <v>51.504709686499254</v>
      </c>
      <c r="I43" s="81">
        <v>52.333110778728816</v>
      </c>
      <c r="J43" s="81">
        <v>49.309524069216202</v>
      </c>
      <c r="K43" s="81">
        <v>46.551014789914795</v>
      </c>
      <c r="L43" s="81">
        <v>43.46529703616153</v>
      </c>
      <c r="M43" s="81">
        <v>40.597009590300182</v>
      </c>
      <c r="N43" s="81">
        <v>41.34569134005848</v>
      </c>
      <c r="O43" s="81">
        <v>42.041091707312212</v>
      </c>
      <c r="P43" s="81">
        <v>41.425613876385462</v>
      </c>
      <c r="Q43" s="81">
        <v>40.875206725342743</v>
      </c>
      <c r="R43" s="81">
        <v>39.685247895807272</v>
      </c>
      <c r="S43" s="81">
        <v>39.276093291002802</v>
      </c>
      <c r="T43" s="81">
        <v>38.651950318168161</v>
      </c>
      <c r="U43" s="81">
        <v>38.901764267309836</v>
      </c>
      <c r="V43" s="81">
        <v>37.746178286193093</v>
      </c>
      <c r="W43" s="81">
        <v>37.15154614043346</v>
      </c>
      <c r="X43" s="81">
        <v>37.596767041876326</v>
      </c>
      <c r="Y43" s="81">
        <v>37.623217446204954</v>
      </c>
      <c r="Z43" s="81">
        <v>37.910716565787155</v>
      </c>
      <c r="AA43" s="81">
        <v>37.170974706964095</v>
      </c>
      <c r="AB43" s="81">
        <v>37.646812128568421</v>
      </c>
      <c r="AC43" s="81">
        <v>38.199773560081624</v>
      </c>
      <c r="AD43" s="81">
        <v>38.087574155903731</v>
      </c>
      <c r="AE43" s="81">
        <v>38.498946180082918</v>
      </c>
      <c r="AF43" s="81">
        <v>38.859086741887111</v>
      </c>
      <c r="AG43" s="81">
        <v>40.21811049934059</v>
      </c>
    </row>
    <row r="44" spans="1:33" x14ac:dyDescent="0.25">
      <c r="A44" s="78" t="s">
        <v>204</v>
      </c>
      <c r="B44" s="78" t="s">
        <v>265</v>
      </c>
      <c r="C44" s="78" t="s">
        <v>307</v>
      </c>
      <c r="D44" s="78" t="s">
        <v>285</v>
      </c>
      <c r="E44" s="78" t="s">
        <v>232</v>
      </c>
      <c r="F44" s="80">
        <v>63.516193389892578</v>
      </c>
      <c r="G44" s="80">
        <v>47.905361175537109</v>
      </c>
      <c r="H44" s="81">
        <v>52.483587801057013</v>
      </c>
      <c r="I44" s="81">
        <v>54.118824391149083</v>
      </c>
      <c r="J44" s="81">
        <v>50.889660089322618</v>
      </c>
      <c r="K44" s="81">
        <v>48.579895058396382</v>
      </c>
      <c r="L44" s="81">
        <v>46.002777445979916</v>
      </c>
      <c r="M44" s="81">
        <v>43.750749784104762</v>
      </c>
      <c r="N44" s="81">
        <v>44.757217284352258</v>
      </c>
      <c r="O44" s="81">
        <v>44.920853868963668</v>
      </c>
      <c r="P44" s="81">
        <v>44.058988920731338</v>
      </c>
      <c r="Q44" s="81">
        <v>43.161750077426383</v>
      </c>
      <c r="R44" s="81">
        <v>41.946778474173705</v>
      </c>
      <c r="S44" s="81">
        <v>41.384148853459273</v>
      </c>
      <c r="T44" s="81">
        <v>40.653283271598141</v>
      </c>
      <c r="U44" s="81">
        <v>41.044936099400843</v>
      </c>
      <c r="V44" s="81">
        <v>39.862800301563809</v>
      </c>
      <c r="W44" s="81">
        <v>39.143012890223488</v>
      </c>
      <c r="X44" s="81">
        <v>39.663457884476003</v>
      </c>
      <c r="Y44" s="81">
        <v>39.826262324637504</v>
      </c>
      <c r="Z44" s="81">
        <v>40.387871819358047</v>
      </c>
      <c r="AA44" s="81">
        <v>39.756421452667063</v>
      </c>
      <c r="AB44" s="81">
        <v>40.231656829949316</v>
      </c>
      <c r="AC44" s="81">
        <v>41.066197406526825</v>
      </c>
      <c r="AD44" s="81">
        <v>40.916007555262766</v>
      </c>
      <c r="AE44" s="81">
        <v>41.651508495898462</v>
      </c>
      <c r="AF44" s="81">
        <v>41.989363198796546</v>
      </c>
      <c r="AG44" s="81">
        <v>43.528864429357611</v>
      </c>
    </row>
    <row r="45" spans="1:33" x14ac:dyDescent="0.25">
      <c r="A45" s="78" t="s">
        <v>204</v>
      </c>
      <c r="B45" s="78" t="s">
        <v>265</v>
      </c>
      <c r="C45" s="78" t="s">
        <v>308</v>
      </c>
      <c r="D45" s="78" t="s">
        <v>285</v>
      </c>
      <c r="E45" s="78" t="s">
        <v>239</v>
      </c>
      <c r="F45" s="80">
        <v>65.638046264648438</v>
      </c>
      <c r="G45" s="80">
        <v>49.277286529541023</v>
      </c>
      <c r="H45" s="81">
        <v>56.035439463144897</v>
      </c>
      <c r="I45" s="81">
        <v>57.449051029573781</v>
      </c>
      <c r="J45" s="81">
        <v>54.607042931592098</v>
      </c>
      <c r="K45" s="81">
        <v>51.583548857572751</v>
      </c>
      <c r="L45" s="81">
        <v>48.830888574990645</v>
      </c>
      <c r="M45" s="81">
        <v>46.149790304142705</v>
      </c>
      <c r="N45" s="81">
        <v>47.050254917061061</v>
      </c>
      <c r="O45" s="81">
        <v>47.495081708812883</v>
      </c>
      <c r="P45" s="81">
        <v>46.021131118783948</v>
      </c>
      <c r="Q45" s="81">
        <v>44.96217549985014</v>
      </c>
      <c r="R45" s="81">
        <v>43.458768111113891</v>
      </c>
      <c r="S45" s="81">
        <v>42.925027928795764</v>
      </c>
      <c r="T45" s="81">
        <v>42.249683495814153</v>
      </c>
      <c r="U45" s="81">
        <v>42.179894659354645</v>
      </c>
      <c r="V45" s="81">
        <v>41.069876064951842</v>
      </c>
      <c r="W45" s="81">
        <v>40.330475448247775</v>
      </c>
      <c r="X45" s="81">
        <v>40.805542782152756</v>
      </c>
      <c r="Y45" s="81">
        <v>40.848136278166351</v>
      </c>
      <c r="Z45" s="81">
        <v>41.221136393002467</v>
      </c>
      <c r="AA45" s="81">
        <v>40.548197639923025</v>
      </c>
      <c r="AB45" s="81">
        <v>41.243581938927647</v>
      </c>
      <c r="AC45" s="81">
        <v>41.76034874153477</v>
      </c>
      <c r="AD45" s="81">
        <v>41.687907977848724</v>
      </c>
      <c r="AE45" s="81">
        <v>42.04135343826222</v>
      </c>
      <c r="AF45" s="81">
        <v>42.228294258424384</v>
      </c>
      <c r="AG45" s="81">
        <v>43.346015565750847</v>
      </c>
    </row>
    <row r="46" spans="1:33" x14ac:dyDescent="0.25">
      <c r="A46" s="78" t="s">
        <v>204</v>
      </c>
      <c r="B46" s="78" t="s">
        <v>265</v>
      </c>
      <c r="C46" s="78" t="s">
        <v>286</v>
      </c>
      <c r="D46" s="78" t="s">
        <v>287</v>
      </c>
      <c r="E46" s="78" t="s">
        <v>206</v>
      </c>
      <c r="F46" s="80">
        <v>55.436817169189453</v>
      </c>
      <c r="G46" s="80">
        <v>44.745517730712891</v>
      </c>
      <c r="H46" s="81">
        <v>44.117613202845881</v>
      </c>
      <c r="I46" s="81">
        <v>44.697216004584959</v>
      </c>
      <c r="J46" s="81">
        <v>42.550052760061959</v>
      </c>
      <c r="K46" s="81">
        <v>40.471386303087641</v>
      </c>
      <c r="L46" s="81">
        <v>38.357934758514858</v>
      </c>
      <c r="M46" s="81">
        <v>35.009466322488883</v>
      </c>
      <c r="N46" s="81">
        <v>36.063777505924939</v>
      </c>
      <c r="O46" s="81">
        <v>36.638387177009477</v>
      </c>
      <c r="P46" s="81">
        <v>36.079603404388038</v>
      </c>
      <c r="Q46" s="81">
        <v>35.611734849263897</v>
      </c>
      <c r="R46" s="81">
        <v>34.490555494857105</v>
      </c>
      <c r="S46" s="81">
        <v>34.055421337881661</v>
      </c>
      <c r="T46" s="81">
        <v>33.515763172735035</v>
      </c>
      <c r="U46" s="81">
        <v>33.602479485787626</v>
      </c>
      <c r="V46" s="81">
        <v>32.761208038588279</v>
      </c>
      <c r="W46" s="81">
        <v>32.005879611332851</v>
      </c>
      <c r="X46" s="81">
        <v>32.272368878225137</v>
      </c>
      <c r="Y46" s="81">
        <v>31.936341728526866</v>
      </c>
      <c r="Z46" s="81">
        <v>31.402599810581801</v>
      </c>
      <c r="AA46" s="81">
        <v>30.538131835610834</v>
      </c>
      <c r="AB46" s="81">
        <v>30.635850114574456</v>
      </c>
      <c r="AC46" s="81">
        <v>31.333401469523668</v>
      </c>
      <c r="AD46" s="81">
        <v>30.963822548067469</v>
      </c>
      <c r="AE46" s="81">
        <v>31.464543533790252</v>
      </c>
      <c r="AF46" s="81">
        <v>31.571979432029654</v>
      </c>
      <c r="AG46" s="81">
        <v>32.749189798270223</v>
      </c>
    </row>
    <row r="47" spans="1:33" x14ac:dyDescent="0.25">
      <c r="A47" s="78" t="s">
        <v>204</v>
      </c>
      <c r="B47" s="78" t="s">
        <v>265</v>
      </c>
      <c r="C47" s="78" t="s">
        <v>288</v>
      </c>
      <c r="D47" s="78" t="s">
        <v>287</v>
      </c>
      <c r="E47" s="78" t="s">
        <v>208</v>
      </c>
      <c r="F47" s="80">
        <v>55.436817169189453</v>
      </c>
      <c r="G47" s="80">
        <v>44.745517730712891</v>
      </c>
      <c r="H47" s="81">
        <v>44.68930304534107</v>
      </c>
      <c r="I47" s="81">
        <v>44.748126446921326</v>
      </c>
      <c r="J47" s="81">
        <v>42.656747563288427</v>
      </c>
      <c r="K47" s="81">
        <v>40.692983425227354</v>
      </c>
      <c r="L47" s="81">
        <v>39.098727466441751</v>
      </c>
      <c r="M47" s="81">
        <v>35.671973609758638</v>
      </c>
      <c r="N47" s="81">
        <v>36.742410394833094</v>
      </c>
      <c r="O47" s="81">
        <v>37.331767121197537</v>
      </c>
      <c r="P47" s="81">
        <v>36.249094035425642</v>
      </c>
      <c r="Q47" s="81">
        <v>35.828266662480601</v>
      </c>
      <c r="R47" s="81">
        <v>34.714648990279777</v>
      </c>
      <c r="S47" s="81">
        <v>34.188182842646064</v>
      </c>
      <c r="T47" s="81">
        <v>33.564884147332393</v>
      </c>
      <c r="U47" s="81">
        <v>33.647183492317019</v>
      </c>
      <c r="V47" s="81">
        <v>32.708965609881609</v>
      </c>
      <c r="W47" s="81">
        <v>31.915817582234229</v>
      </c>
      <c r="X47" s="81">
        <v>32.29226966903218</v>
      </c>
      <c r="Y47" s="81">
        <v>32.085417341005353</v>
      </c>
      <c r="Z47" s="81">
        <v>32.220126278976807</v>
      </c>
      <c r="AA47" s="81">
        <v>31.426109997637337</v>
      </c>
      <c r="AB47" s="81">
        <v>31.622292808987666</v>
      </c>
      <c r="AC47" s="81">
        <v>32.327018166745773</v>
      </c>
      <c r="AD47" s="81">
        <v>31.896792148054477</v>
      </c>
      <c r="AE47" s="81">
        <v>32.106836941553958</v>
      </c>
      <c r="AF47" s="81">
        <v>32.196015417965256</v>
      </c>
      <c r="AG47" s="81">
        <v>33.416730114427921</v>
      </c>
    </row>
    <row r="48" spans="1:33" x14ac:dyDescent="0.25">
      <c r="A48" s="78" t="s">
        <v>204</v>
      </c>
      <c r="B48" s="78" t="s">
        <v>265</v>
      </c>
      <c r="C48" s="78" t="s">
        <v>289</v>
      </c>
      <c r="D48" s="78" t="s">
        <v>287</v>
      </c>
      <c r="E48" s="78" t="s">
        <v>212</v>
      </c>
      <c r="F48" s="80">
        <v>46.2537841796875</v>
      </c>
      <c r="G48" s="80">
        <v>37.343101501464837</v>
      </c>
      <c r="H48" s="81">
        <v>45.537247260773796</v>
      </c>
      <c r="I48" s="81">
        <v>46.383366367003724</v>
      </c>
      <c r="J48" s="81">
        <v>43.893809632104364</v>
      </c>
      <c r="K48" s="81">
        <v>41.542466883729574</v>
      </c>
      <c r="L48" s="81">
        <v>38.906260607709335</v>
      </c>
      <c r="M48" s="81">
        <v>35.458101391283492</v>
      </c>
      <c r="N48" s="81">
        <v>36.360172922338336</v>
      </c>
      <c r="O48" s="81">
        <v>36.871849753815894</v>
      </c>
      <c r="P48" s="81">
        <v>36.475727658634369</v>
      </c>
      <c r="Q48" s="81">
        <v>36.112248939936435</v>
      </c>
      <c r="R48" s="81">
        <v>34.895773717173078</v>
      </c>
      <c r="S48" s="81">
        <v>34.496567825135543</v>
      </c>
      <c r="T48" s="81">
        <v>33.86373917345643</v>
      </c>
      <c r="U48" s="81">
        <v>34.291396438352123</v>
      </c>
      <c r="V48" s="81">
        <v>33.436477520811621</v>
      </c>
      <c r="W48" s="81">
        <v>32.840969079302923</v>
      </c>
      <c r="X48" s="81">
        <v>33.166690775282156</v>
      </c>
      <c r="Y48" s="81">
        <v>32.957994242707137</v>
      </c>
      <c r="Z48" s="81">
        <v>32.322929105161904</v>
      </c>
      <c r="AA48" s="81">
        <v>31.466389817303753</v>
      </c>
      <c r="AB48" s="81">
        <v>31.575970731901247</v>
      </c>
      <c r="AC48" s="81">
        <v>32.250361149707075</v>
      </c>
      <c r="AD48" s="81">
        <v>31.707450099036336</v>
      </c>
      <c r="AE48" s="81">
        <v>31.802243750820388</v>
      </c>
      <c r="AF48" s="81">
        <v>31.826944110012782</v>
      </c>
      <c r="AG48" s="81">
        <v>32.832680885765484</v>
      </c>
    </row>
    <row r="49" spans="1:33" x14ac:dyDescent="0.25">
      <c r="A49" s="78" t="s">
        <v>204</v>
      </c>
      <c r="B49" s="78" t="s">
        <v>265</v>
      </c>
      <c r="C49" s="78" t="s">
        <v>290</v>
      </c>
      <c r="D49" s="78" t="s">
        <v>287</v>
      </c>
      <c r="E49" s="78" t="s">
        <v>215</v>
      </c>
      <c r="F49" s="80">
        <v>46.680229187011719</v>
      </c>
      <c r="G49" s="80">
        <v>37.439754486083977</v>
      </c>
      <c r="H49" s="81">
        <v>45.19583893132166</v>
      </c>
      <c r="I49" s="81">
        <v>45.419388413825693</v>
      </c>
      <c r="J49" s="81">
        <v>43.160884262026237</v>
      </c>
      <c r="K49" s="81">
        <v>41.210380437675845</v>
      </c>
      <c r="L49" s="81">
        <v>38.670350177108936</v>
      </c>
      <c r="M49" s="81">
        <v>35.705103148108449</v>
      </c>
      <c r="N49" s="81">
        <v>36.672173950945641</v>
      </c>
      <c r="O49" s="81">
        <v>37.16090835270618</v>
      </c>
      <c r="P49" s="81">
        <v>36.141689969512981</v>
      </c>
      <c r="Q49" s="81">
        <v>35.67129358145516</v>
      </c>
      <c r="R49" s="81">
        <v>34.428787469736982</v>
      </c>
      <c r="S49" s="81">
        <v>34.036350916633893</v>
      </c>
      <c r="T49" s="81">
        <v>33.399774624583415</v>
      </c>
      <c r="U49" s="81">
        <v>33.861488849923994</v>
      </c>
      <c r="V49" s="81">
        <v>32.992536023612473</v>
      </c>
      <c r="W49" s="81">
        <v>32.414169647157607</v>
      </c>
      <c r="X49" s="81">
        <v>32.753905268840541</v>
      </c>
      <c r="Y49" s="81">
        <v>32.497380195190601</v>
      </c>
      <c r="Z49" s="81">
        <v>32.178667324293123</v>
      </c>
      <c r="AA49" s="81">
        <v>31.346001310124421</v>
      </c>
      <c r="AB49" s="81">
        <v>31.461727681298054</v>
      </c>
      <c r="AC49" s="81">
        <v>31.968205775333672</v>
      </c>
      <c r="AD49" s="81">
        <v>31.346779346683181</v>
      </c>
      <c r="AE49" s="81">
        <v>31.6871798716118</v>
      </c>
      <c r="AF49" s="81">
        <v>31.67103210446172</v>
      </c>
      <c r="AG49" s="81">
        <v>32.670733494554661</v>
      </c>
    </row>
    <row r="50" spans="1:33" x14ac:dyDescent="0.25">
      <c r="A50" s="78" t="s">
        <v>204</v>
      </c>
      <c r="B50" s="78" t="s">
        <v>265</v>
      </c>
      <c r="C50" s="78" t="s">
        <v>291</v>
      </c>
      <c r="D50" s="78" t="s">
        <v>287</v>
      </c>
      <c r="E50" s="78" t="s">
        <v>218</v>
      </c>
      <c r="F50" s="80">
        <v>46.680229187011719</v>
      </c>
      <c r="G50" s="80">
        <v>37.439754486083977</v>
      </c>
      <c r="H50" s="81">
        <v>45.74654217400375</v>
      </c>
      <c r="I50" s="81">
        <v>46.974049900962854</v>
      </c>
      <c r="J50" s="81">
        <v>44.607413348263897</v>
      </c>
      <c r="K50" s="81">
        <v>42.136332765442837</v>
      </c>
      <c r="L50" s="81">
        <v>39.948848006590588</v>
      </c>
      <c r="M50" s="81">
        <v>36.679123267416564</v>
      </c>
      <c r="N50" s="81">
        <v>37.584280353036213</v>
      </c>
      <c r="O50" s="81">
        <v>38.023487017685206</v>
      </c>
      <c r="P50" s="81">
        <v>37.277721109861481</v>
      </c>
      <c r="Q50" s="81">
        <v>36.830143638410775</v>
      </c>
      <c r="R50" s="81">
        <v>35.587538968516178</v>
      </c>
      <c r="S50" s="81">
        <v>35.111400048034263</v>
      </c>
      <c r="T50" s="81">
        <v>34.418657467159584</v>
      </c>
      <c r="U50" s="81">
        <v>34.796601456645938</v>
      </c>
      <c r="V50" s="81">
        <v>33.862023298862105</v>
      </c>
      <c r="W50" s="81">
        <v>33.23192101504258</v>
      </c>
      <c r="X50" s="81">
        <v>33.689010779544795</v>
      </c>
      <c r="Y50" s="81">
        <v>33.559193212033442</v>
      </c>
      <c r="Z50" s="81">
        <v>32.82490480363878</v>
      </c>
      <c r="AA50" s="81">
        <v>32.052474994095235</v>
      </c>
      <c r="AB50" s="81">
        <v>32.259771059130003</v>
      </c>
      <c r="AC50" s="81">
        <v>32.869067930926121</v>
      </c>
      <c r="AD50" s="81">
        <v>32.291752234526186</v>
      </c>
      <c r="AE50" s="81">
        <v>32.432543636462825</v>
      </c>
      <c r="AF50" s="81">
        <v>32.479790470641795</v>
      </c>
      <c r="AG50" s="81">
        <v>33.514952384522331</v>
      </c>
    </row>
    <row r="51" spans="1:33" x14ac:dyDescent="0.25">
      <c r="A51" s="78" t="s">
        <v>204</v>
      </c>
      <c r="B51" s="78" t="s">
        <v>265</v>
      </c>
      <c r="C51" s="78" t="s">
        <v>292</v>
      </c>
      <c r="D51" s="78" t="s">
        <v>287</v>
      </c>
      <c r="E51" s="78" t="s">
        <v>221</v>
      </c>
      <c r="F51" s="80">
        <v>55.955520629882813</v>
      </c>
      <c r="G51" s="80">
        <v>43.452354431152337</v>
      </c>
      <c r="H51" s="81">
        <v>48.668092391138686</v>
      </c>
      <c r="I51" s="81">
        <v>51.291761820751212</v>
      </c>
      <c r="J51" s="81">
        <v>47.550042638353233</v>
      </c>
      <c r="K51" s="81">
        <v>45.261668485892443</v>
      </c>
      <c r="L51" s="81">
        <v>43.312112315295863</v>
      </c>
      <c r="M51" s="81">
        <v>40.779005743489101</v>
      </c>
      <c r="N51" s="81">
        <v>41.325129167096371</v>
      </c>
      <c r="O51" s="81">
        <v>41.866045361192356</v>
      </c>
      <c r="P51" s="81">
        <v>40.861294199837907</v>
      </c>
      <c r="Q51" s="81">
        <v>40.193466991634473</v>
      </c>
      <c r="R51" s="81">
        <v>39.046267909311304</v>
      </c>
      <c r="S51" s="81">
        <v>38.692679182018665</v>
      </c>
      <c r="T51" s="81">
        <v>38.117163750032908</v>
      </c>
      <c r="U51" s="81">
        <v>38.388842367511394</v>
      </c>
      <c r="V51" s="81">
        <v>37.379171635171993</v>
      </c>
      <c r="W51" s="81">
        <v>36.880829576042132</v>
      </c>
      <c r="X51" s="81">
        <v>37.179395576872864</v>
      </c>
      <c r="Y51" s="81">
        <v>36.930197616483674</v>
      </c>
      <c r="Z51" s="81">
        <v>36.690878429643497</v>
      </c>
      <c r="AA51" s="81">
        <v>36.274265461663454</v>
      </c>
      <c r="AB51" s="81">
        <v>36.448877617261324</v>
      </c>
      <c r="AC51" s="81">
        <v>36.935437914432157</v>
      </c>
      <c r="AD51" s="81">
        <v>36.696907156197597</v>
      </c>
      <c r="AE51" s="81">
        <v>36.613407683135947</v>
      </c>
      <c r="AF51" s="81">
        <v>36.841064208838738</v>
      </c>
      <c r="AG51" s="81">
        <v>38.199977772158398</v>
      </c>
    </row>
    <row r="52" spans="1:33" x14ac:dyDescent="0.25">
      <c r="A52" s="78" t="s">
        <v>204</v>
      </c>
      <c r="B52" s="78" t="s">
        <v>265</v>
      </c>
      <c r="C52" s="78" t="s">
        <v>293</v>
      </c>
      <c r="D52" s="78" t="s">
        <v>287</v>
      </c>
      <c r="E52" s="78" t="s">
        <v>223</v>
      </c>
      <c r="F52" s="80">
        <v>64.784446716308594</v>
      </c>
      <c r="G52" s="80">
        <v>47.417060852050781</v>
      </c>
      <c r="H52" s="81">
        <v>52.116163957378241</v>
      </c>
      <c r="I52" s="81">
        <v>52.365219769925744</v>
      </c>
      <c r="J52" s="81">
        <v>49.248268935871728</v>
      </c>
      <c r="K52" s="81">
        <v>46.415353527070671</v>
      </c>
      <c r="L52" s="81">
        <v>43.942765476818813</v>
      </c>
      <c r="M52" s="81">
        <v>41.425092267062674</v>
      </c>
      <c r="N52" s="81">
        <v>42.048030394233692</v>
      </c>
      <c r="O52" s="81">
        <v>42.612636457180315</v>
      </c>
      <c r="P52" s="81">
        <v>41.328005651571004</v>
      </c>
      <c r="Q52" s="81">
        <v>40.631680116277245</v>
      </c>
      <c r="R52" s="81">
        <v>39.328729682726738</v>
      </c>
      <c r="S52" s="81">
        <v>38.889557899923247</v>
      </c>
      <c r="T52" s="81">
        <v>38.270123823648021</v>
      </c>
      <c r="U52" s="81">
        <v>38.540071340148643</v>
      </c>
      <c r="V52" s="81">
        <v>37.37945291198907</v>
      </c>
      <c r="W52" s="81">
        <v>36.797591309010848</v>
      </c>
      <c r="X52" s="81">
        <v>37.236407814298197</v>
      </c>
      <c r="Y52" s="81">
        <v>37.340091902048464</v>
      </c>
      <c r="Z52" s="81">
        <v>37.696398235455497</v>
      </c>
      <c r="AA52" s="81">
        <v>37.031128425048372</v>
      </c>
      <c r="AB52" s="81">
        <v>37.493570607750357</v>
      </c>
      <c r="AC52" s="81">
        <v>38.042620609456939</v>
      </c>
      <c r="AD52" s="81">
        <v>37.900917231202641</v>
      </c>
      <c r="AE52" s="81">
        <v>38.158540874684284</v>
      </c>
      <c r="AF52" s="81">
        <v>38.504392602592539</v>
      </c>
      <c r="AG52" s="81">
        <v>39.868147158319346</v>
      </c>
    </row>
    <row r="53" spans="1:33" x14ac:dyDescent="0.25">
      <c r="A53" s="78" t="s">
        <v>204</v>
      </c>
      <c r="B53" s="78" t="s">
        <v>265</v>
      </c>
      <c r="C53" s="78" t="s">
        <v>294</v>
      </c>
      <c r="D53" s="78" t="s">
        <v>287</v>
      </c>
      <c r="E53" s="78" t="s">
        <v>225</v>
      </c>
      <c r="F53" s="80">
        <v>64.784446716308594</v>
      </c>
      <c r="G53" s="80">
        <v>47.417060852050781</v>
      </c>
      <c r="H53" s="81">
        <v>52.818973339613045</v>
      </c>
      <c r="I53" s="81">
        <v>52.642886734976152</v>
      </c>
      <c r="J53" s="81">
        <v>49.513697726507296</v>
      </c>
      <c r="K53" s="81">
        <v>46.68300772873458</v>
      </c>
      <c r="L53" s="81">
        <v>43.405201163903143</v>
      </c>
      <c r="M53" s="81">
        <v>40.529866351081544</v>
      </c>
      <c r="N53" s="81">
        <v>41.243495514141557</v>
      </c>
      <c r="O53" s="81">
        <v>41.896824121588637</v>
      </c>
      <c r="P53" s="81">
        <v>41.29121732709438</v>
      </c>
      <c r="Q53" s="81">
        <v>40.710991314968375</v>
      </c>
      <c r="R53" s="81">
        <v>39.530919290192031</v>
      </c>
      <c r="S53" s="81">
        <v>39.084149639141579</v>
      </c>
      <c r="T53" s="81">
        <v>38.449924060776937</v>
      </c>
      <c r="U53" s="81">
        <v>38.684945249103379</v>
      </c>
      <c r="V53" s="81">
        <v>37.533415344878591</v>
      </c>
      <c r="W53" s="81">
        <v>36.957975044448212</v>
      </c>
      <c r="X53" s="81">
        <v>37.340198406458647</v>
      </c>
      <c r="Y53" s="81">
        <v>37.413293718000567</v>
      </c>
      <c r="Z53" s="81">
        <v>37.87847773747793</v>
      </c>
      <c r="AA53" s="81">
        <v>37.176748685517808</v>
      </c>
      <c r="AB53" s="81">
        <v>37.62280955902969</v>
      </c>
      <c r="AC53" s="81">
        <v>38.189903683219853</v>
      </c>
      <c r="AD53" s="81">
        <v>38.052638532296669</v>
      </c>
      <c r="AE53" s="81">
        <v>38.274814617153851</v>
      </c>
      <c r="AF53" s="81">
        <v>38.685111278435294</v>
      </c>
      <c r="AG53" s="81">
        <v>40.083020561294489</v>
      </c>
    </row>
    <row r="54" spans="1:33" x14ac:dyDescent="0.25">
      <c r="A54" s="78" t="s">
        <v>204</v>
      </c>
      <c r="B54" s="78" t="s">
        <v>265</v>
      </c>
      <c r="C54" s="78" t="s">
        <v>295</v>
      </c>
      <c r="D54" s="78" t="s">
        <v>287</v>
      </c>
      <c r="E54" s="78" t="s">
        <v>228</v>
      </c>
      <c r="F54" s="80">
        <v>64.804191589355469</v>
      </c>
      <c r="G54" s="80">
        <v>48.381008148193359</v>
      </c>
      <c r="H54" s="81">
        <v>52.265278974245028</v>
      </c>
      <c r="I54" s="81">
        <v>52.72168095815146</v>
      </c>
      <c r="J54" s="81">
        <v>49.60742623887181</v>
      </c>
      <c r="K54" s="81">
        <v>46.744365772136014</v>
      </c>
      <c r="L54" s="81">
        <v>43.528049286506956</v>
      </c>
      <c r="M54" s="81">
        <v>40.627147545685894</v>
      </c>
      <c r="N54" s="81">
        <v>41.352281264348527</v>
      </c>
      <c r="O54" s="81">
        <v>42.024143337558932</v>
      </c>
      <c r="P54" s="81">
        <v>41.386069756801575</v>
      </c>
      <c r="Q54" s="81">
        <v>40.827834660244243</v>
      </c>
      <c r="R54" s="81">
        <v>39.642874472424886</v>
      </c>
      <c r="S54" s="81">
        <v>39.199993313380261</v>
      </c>
      <c r="T54" s="81">
        <v>38.574659727057941</v>
      </c>
      <c r="U54" s="81">
        <v>38.84504126993783</v>
      </c>
      <c r="V54" s="81">
        <v>37.673409895094451</v>
      </c>
      <c r="W54" s="81">
        <v>37.087539769621159</v>
      </c>
      <c r="X54" s="81">
        <v>37.494376999754834</v>
      </c>
      <c r="Y54" s="81">
        <v>37.573947008942199</v>
      </c>
      <c r="Z54" s="81">
        <v>37.908890603382652</v>
      </c>
      <c r="AA54" s="81">
        <v>37.182646137582424</v>
      </c>
      <c r="AB54" s="81">
        <v>37.637344126921015</v>
      </c>
      <c r="AC54" s="81">
        <v>38.236080517287064</v>
      </c>
      <c r="AD54" s="81">
        <v>38.12836516275398</v>
      </c>
      <c r="AE54" s="81">
        <v>38.579461088858025</v>
      </c>
      <c r="AF54" s="81">
        <v>38.956296648227557</v>
      </c>
      <c r="AG54" s="81">
        <v>40.328981129546264</v>
      </c>
    </row>
    <row r="55" spans="1:33" x14ac:dyDescent="0.25">
      <c r="A55" s="78" t="s">
        <v>204</v>
      </c>
      <c r="B55" s="78" t="s">
        <v>265</v>
      </c>
      <c r="C55" s="78" t="s">
        <v>296</v>
      </c>
      <c r="D55" s="78" t="s">
        <v>287</v>
      </c>
      <c r="E55" s="78" t="s">
        <v>232</v>
      </c>
      <c r="F55" s="80">
        <v>64.804191589355469</v>
      </c>
      <c r="G55" s="80">
        <v>48.381008148193359</v>
      </c>
      <c r="H55" s="81">
        <v>53.262194440447956</v>
      </c>
      <c r="I55" s="81">
        <v>54.546216236355171</v>
      </c>
      <c r="J55" s="81">
        <v>51.233088307234681</v>
      </c>
      <c r="K55" s="81">
        <v>48.823281042394235</v>
      </c>
      <c r="L55" s="81">
        <v>46.123605991756563</v>
      </c>
      <c r="M55" s="81">
        <v>43.875095026700798</v>
      </c>
      <c r="N55" s="81">
        <v>44.88176576800408</v>
      </c>
      <c r="O55" s="81">
        <v>44.987414901527124</v>
      </c>
      <c r="P55" s="81">
        <v>44.098559279302407</v>
      </c>
      <c r="Q55" s="81">
        <v>43.192799227250951</v>
      </c>
      <c r="R55" s="81">
        <v>41.989561158402715</v>
      </c>
      <c r="S55" s="81">
        <v>41.388953694034008</v>
      </c>
      <c r="T55" s="81">
        <v>40.635835139795169</v>
      </c>
      <c r="U55" s="81">
        <v>41.091649126345075</v>
      </c>
      <c r="V55" s="81">
        <v>39.884757728938879</v>
      </c>
      <c r="W55" s="81">
        <v>39.166005044659691</v>
      </c>
      <c r="X55" s="81">
        <v>39.671757181371341</v>
      </c>
      <c r="Y55" s="81">
        <v>39.88330715191951</v>
      </c>
      <c r="Z55" s="81">
        <v>40.476880696596446</v>
      </c>
      <c r="AA55" s="81">
        <v>39.882774378424124</v>
      </c>
      <c r="AB55" s="81">
        <v>40.318346964626926</v>
      </c>
      <c r="AC55" s="81">
        <v>41.219726798444803</v>
      </c>
      <c r="AD55" s="81">
        <v>41.05269905533563</v>
      </c>
      <c r="AE55" s="81">
        <v>41.853353268466357</v>
      </c>
      <c r="AF55" s="81">
        <v>42.189436797826801</v>
      </c>
      <c r="AG55" s="81">
        <v>43.744462210160933</v>
      </c>
    </row>
    <row r="56" spans="1:33" x14ac:dyDescent="0.25">
      <c r="A56" s="78" t="s">
        <v>204</v>
      </c>
      <c r="B56" s="78" t="s">
        <v>265</v>
      </c>
      <c r="C56" s="78" t="s">
        <v>297</v>
      </c>
      <c r="D56" s="78" t="s">
        <v>287</v>
      </c>
      <c r="E56" s="78" t="s">
        <v>239</v>
      </c>
      <c r="F56" s="80">
        <v>67.000030517578125</v>
      </c>
      <c r="G56" s="80">
        <v>49.823940277099609</v>
      </c>
      <c r="H56" s="81">
        <v>56.81137079647965</v>
      </c>
      <c r="I56" s="81">
        <v>57.817805766065668</v>
      </c>
      <c r="J56" s="81">
        <v>54.92260830361532</v>
      </c>
      <c r="K56" s="81">
        <v>51.773537691059687</v>
      </c>
      <c r="L56" s="81">
        <v>48.933539091879382</v>
      </c>
      <c r="M56" s="81">
        <v>46.237222136571248</v>
      </c>
      <c r="N56" s="81">
        <v>47.135359477621861</v>
      </c>
      <c r="O56" s="81">
        <v>47.585525345735263</v>
      </c>
      <c r="P56" s="81">
        <v>46.025682970484638</v>
      </c>
      <c r="Q56" s="81">
        <v>44.966581454822673</v>
      </c>
      <c r="R56" s="81">
        <v>43.463786998114095</v>
      </c>
      <c r="S56" s="81">
        <v>42.898780154340386</v>
      </c>
      <c r="T56" s="81">
        <v>42.209098369924639</v>
      </c>
      <c r="U56" s="81">
        <v>42.166169024400631</v>
      </c>
      <c r="V56" s="81">
        <v>41.047687891515146</v>
      </c>
      <c r="W56" s="81">
        <v>40.309809743657922</v>
      </c>
      <c r="X56" s="81">
        <v>40.745119658551246</v>
      </c>
      <c r="Y56" s="81">
        <v>40.853308685541947</v>
      </c>
      <c r="Z56" s="81">
        <v>41.244202179410038</v>
      </c>
      <c r="AA56" s="81">
        <v>40.565205463364251</v>
      </c>
      <c r="AB56" s="81">
        <v>41.250745184464357</v>
      </c>
      <c r="AC56" s="81">
        <v>41.806819204590546</v>
      </c>
      <c r="AD56" s="81">
        <v>41.715345701307413</v>
      </c>
      <c r="AE56" s="81">
        <v>42.082209630012805</v>
      </c>
      <c r="AF56" s="81">
        <v>42.268187780534625</v>
      </c>
      <c r="AG56" s="81">
        <v>43.405871749249506</v>
      </c>
    </row>
    <row r="57" spans="1:33" x14ac:dyDescent="0.25">
      <c r="A57" s="78" t="s">
        <v>204</v>
      </c>
      <c r="B57" s="78" t="s">
        <v>265</v>
      </c>
      <c r="C57" s="78" t="s">
        <v>335</v>
      </c>
      <c r="D57" s="78" t="s">
        <v>210</v>
      </c>
      <c r="E57" s="78" t="s">
        <v>206</v>
      </c>
      <c r="F57" s="80">
        <v>55.575904846191413</v>
      </c>
      <c r="G57" s="80">
        <v>44.727138519287109</v>
      </c>
      <c r="H57" s="81">
        <v>44.121075084657896</v>
      </c>
      <c r="I57" s="81">
        <v>45.051215813991973</v>
      </c>
      <c r="J57" s="81">
        <v>43.136378688800015</v>
      </c>
      <c r="K57" s="81">
        <v>41.105300150656667</v>
      </c>
      <c r="L57" s="81">
        <v>39.193958802889057</v>
      </c>
      <c r="M57" s="81">
        <v>36.039602510405338</v>
      </c>
      <c r="N57" s="81">
        <v>37.143574039823719</v>
      </c>
      <c r="O57" s="81">
        <v>37.779750255553139</v>
      </c>
      <c r="P57" s="81">
        <v>37.362566261951272</v>
      </c>
      <c r="Q57" s="81">
        <v>36.856721543893244</v>
      </c>
      <c r="R57" s="81">
        <v>35.744106917147029</v>
      </c>
      <c r="S57" s="81">
        <v>35.402442941393971</v>
      </c>
      <c r="T57" s="81">
        <v>34.842609045257312</v>
      </c>
      <c r="U57" s="81">
        <v>34.999639437285978</v>
      </c>
      <c r="V57" s="81">
        <v>34.174200290425652</v>
      </c>
      <c r="W57" s="81">
        <v>33.476919822432748</v>
      </c>
      <c r="X57" s="81">
        <v>33.784383457691249</v>
      </c>
      <c r="Y57" s="81">
        <v>33.445404595075914</v>
      </c>
      <c r="Z57" s="81">
        <v>32.779313123166816</v>
      </c>
      <c r="AA57" s="81">
        <v>31.905876210027458</v>
      </c>
      <c r="AB57" s="81">
        <v>32.073953923019324</v>
      </c>
      <c r="AC57" s="81">
        <v>32.720891434918926</v>
      </c>
      <c r="AD57" s="81">
        <v>32.407292097282422</v>
      </c>
      <c r="AE57" s="81">
        <v>32.881137705530598</v>
      </c>
      <c r="AF57" s="81">
        <v>32.981516473588513</v>
      </c>
      <c r="AG57" s="81">
        <v>34.199951653330871</v>
      </c>
    </row>
    <row r="58" spans="1:33" x14ac:dyDescent="0.25">
      <c r="A58" s="78" t="s">
        <v>204</v>
      </c>
      <c r="B58" s="78" t="s">
        <v>265</v>
      </c>
      <c r="C58" s="78" t="s">
        <v>336</v>
      </c>
      <c r="D58" s="78" t="s">
        <v>210</v>
      </c>
      <c r="E58" s="78" t="s">
        <v>208</v>
      </c>
      <c r="F58" s="80">
        <v>55.234516143798828</v>
      </c>
      <c r="G58" s="80">
        <v>44.501983642578132</v>
      </c>
      <c r="H58" s="81">
        <v>44.457192940476489</v>
      </c>
      <c r="I58" s="81">
        <v>44.804280544143801</v>
      </c>
      <c r="J58" s="81">
        <v>42.958267042875178</v>
      </c>
      <c r="K58" s="81">
        <v>41.079690761523146</v>
      </c>
      <c r="L58" s="81">
        <v>39.637063857262589</v>
      </c>
      <c r="M58" s="81">
        <v>36.44024993021403</v>
      </c>
      <c r="N58" s="81">
        <v>37.527909925170327</v>
      </c>
      <c r="O58" s="81">
        <v>38.164765673677394</v>
      </c>
      <c r="P58" s="81">
        <v>37.297125041446122</v>
      </c>
      <c r="Q58" s="81">
        <v>36.816565646400882</v>
      </c>
      <c r="R58" s="81">
        <v>35.70622123771799</v>
      </c>
      <c r="S58" s="81">
        <v>35.280839511052719</v>
      </c>
      <c r="T58" s="81">
        <v>34.640333477591426</v>
      </c>
      <c r="U58" s="81">
        <v>34.790421185788475</v>
      </c>
      <c r="V58" s="81">
        <v>33.894082970172178</v>
      </c>
      <c r="W58" s="81">
        <v>33.168055045558106</v>
      </c>
      <c r="X58" s="81">
        <v>33.57176647686704</v>
      </c>
      <c r="Y58" s="81">
        <v>33.345876348460429</v>
      </c>
      <c r="Z58" s="81">
        <v>33.344056658357758</v>
      </c>
      <c r="AA58" s="81">
        <v>32.524549124506265</v>
      </c>
      <c r="AB58" s="81">
        <v>32.798568167407367</v>
      </c>
      <c r="AC58" s="81">
        <v>33.451713935827733</v>
      </c>
      <c r="AD58" s="81">
        <v>33.096471393305215</v>
      </c>
      <c r="AE58" s="81">
        <v>33.285698320190669</v>
      </c>
      <c r="AF58" s="81">
        <v>33.378552658199425</v>
      </c>
      <c r="AG58" s="81">
        <v>34.67936456621603</v>
      </c>
    </row>
    <row r="59" spans="1:33" x14ac:dyDescent="0.25">
      <c r="A59" s="78" t="s">
        <v>204</v>
      </c>
      <c r="B59" s="78" t="s">
        <v>265</v>
      </c>
      <c r="C59" s="78" t="s">
        <v>337</v>
      </c>
      <c r="D59" s="78" t="s">
        <v>210</v>
      </c>
      <c r="E59" s="78" t="s">
        <v>212</v>
      </c>
      <c r="F59" s="80">
        <v>46.106292724609382</v>
      </c>
      <c r="G59" s="80">
        <v>37.283676147460938</v>
      </c>
      <c r="H59" s="81">
        <v>45.267581634977354</v>
      </c>
      <c r="I59" s="81">
        <v>46.445361411974289</v>
      </c>
      <c r="J59" s="81">
        <v>44.108521395305502</v>
      </c>
      <c r="K59" s="81">
        <v>41.786517505101536</v>
      </c>
      <c r="L59" s="81">
        <v>39.261550152145645</v>
      </c>
      <c r="M59" s="81">
        <v>35.952154111480638</v>
      </c>
      <c r="N59" s="81">
        <v>36.864462798787144</v>
      </c>
      <c r="O59" s="81">
        <v>37.41153524876767</v>
      </c>
      <c r="P59" s="81">
        <v>37.059044310580106</v>
      </c>
      <c r="Q59" s="81">
        <v>36.666172228660287</v>
      </c>
      <c r="R59" s="81">
        <v>35.46943831101445</v>
      </c>
      <c r="S59" s="81">
        <v>35.131485200469406</v>
      </c>
      <c r="T59" s="81">
        <v>34.479862221271894</v>
      </c>
      <c r="U59" s="81">
        <v>34.935744315935985</v>
      </c>
      <c r="V59" s="81">
        <v>34.067719846392727</v>
      </c>
      <c r="W59" s="81">
        <v>33.503638573274877</v>
      </c>
      <c r="X59" s="81">
        <v>33.851882241378703</v>
      </c>
      <c r="Y59" s="81">
        <v>33.628994201893278</v>
      </c>
      <c r="Z59" s="81">
        <v>32.94861477719202</v>
      </c>
      <c r="AA59" s="81">
        <v>32.096875055865915</v>
      </c>
      <c r="AB59" s="81">
        <v>32.218853688830315</v>
      </c>
      <c r="AC59" s="81">
        <v>32.833200327297597</v>
      </c>
      <c r="AD59" s="81">
        <v>32.315064207217873</v>
      </c>
      <c r="AE59" s="81">
        <v>32.422542291084177</v>
      </c>
      <c r="AF59" s="81">
        <v>32.416168575026049</v>
      </c>
      <c r="AG59" s="81">
        <v>33.469972743682661</v>
      </c>
    </row>
    <row r="60" spans="1:33" x14ac:dyDescent="0.25">
      <c r="A60" s="78" t="s">
        <v>204</v>
      </c>
      <c r="B60" s="78" t="s">
        <v>265</v>
      </c>
      <c r="C60" s="78" t="s">
        <v>338</v>
      </c>
      <c r="D60" s="78" t="s">
        <v>210</v>
      </c>
      <c r="E60" s="78" t="s">
        <v>215</v>
      </c>
      <c r="F60" s="80">
        <v>45.744026184082031</v>
      </c>
      <c r="G60" s="80">
        <v>36.957622528076172</v>
      </c>
      <c r="H60" s="81">
        <v>44.480578515090045</v>
      </c>
      <c r="I60" s="81">
        <v>44.860897200923041</v>
      </c>
      <c r="J60" s="81">
        <v>42.781517581638717</v>
      </c>
      <c r="K60" s="81">
        <v>40.89103227281241</v>
      </c>
      <c r="L60" s="81">
        <v>38.493127491704058</v>
      </c>
      <c r="M60" s="81">
        <v>35.544629557916679</v>
      </c>
      <c r="N60" s="81">
        <v>36.435826125094344</v>
      </c>
      <c r="O60" s="81">
        <v>36.966899800081045</v>
      </c>
      <c r="P60" s="81">
        <v>36.005064809197584</v>
      </c>
      <c r="Q60" s="81">
        <v>35.522658451085988</v>
      </c>
      <c r="R60" s="81">
        <v>34.254578900363441</v>
      </c>
      <c r="S60" s="81">
        <v>33.929056558455095</v>
      </c>
      <c r="T60" s="81">
        <v>33.263680365731283</v>
      </c>
      <c r="U60" s="81">
        <v>33.713540390869717</v>
      </c>
      <c r="V60" s="81">
        <v>32.819914065246394</v>
      </c>
      <c r="W60" s="81">
        <v>32.252666295834082</v>
      </c>
      <c r="X60" s="81">
        <v>32.587469037107219</v>
      </c>
      <c r="Y60" s="81">
        <v>32.313439893560705</v>
      </c>
      <c r="Z60" s="81">
        <v>31.897928048615309</v>
      </c>
      <c r="AA60" s="81">
        <v>31.077393700915497</v>
      </c>
      <c r="AB60" s="81">
        <v>31.158898864375033</v>
      </c>
      <c r="AC60" s="81">
        <v>31.61598173609703</v>
      </c>
      <c r="AD60" s="81">
        <v>30.973517270218647</v>
      </c>
      <c r="AE60" s="81">
        <v>31.270970291777182</v>
      </c>
      <c r="AF60" s="81">
        <v>31.195239232287502</v>
      </c>
      <c r="AG60" s="81">
        <v>32.174931628425647</v>
      </c>
    </row>
    <row r="61" spans="1:33" x14ac:dyDescent="0.25">
      <c r="A61" s="78" t="s">
        <v>204</v>
      </c>
      <c r="B61" s="78" t="s">
        <v>265</v>
      </c>
      <c r="C61" s="78" t="s">
        <v>339</v>
      </c>
      <c r="D61" s="78" t="s">
        <v>210</v>
      </c>
      <c r="E61" s="78" t="s">
        <v>218</v>
      </c>
      <c r="F61" s="80">
        <v>45.744026184082031</v>
      </c>
      <c r="G61" s="80">
        <v>36.957622528076172</v>
      </c>
      <c r="H61" s="81">
        <v>45.064759355145249</v>
      </c>
      <c r="I61" s="81">
        <v>46.485601648582573</v>
      </c>
      <c r="J61" s="81">
        <v>44.268784917101549</v>
      </c>
      <c r="K61" s="81">
        <v>41.854980327179454</v>
      </c>
      <c r="L61" s="81">
        <v>39.78418522233352</v>
      </c>
      <c r="M61" s="81">
        <v>36.557858574306174</v>
      </c>
      <c r="N61" s="81">
        <v>37.386173012898382</v>
      </c>
      <c r="O61" s="81">
        <v>37.870056588635947</v>
      </c>
      <c r="P61" s="81">
        <v>37.179125248463592</v>
      </c>
      <c r="Q61" s="81">
        <v>36.717271700136543</v>
      </c>
      <c r="R61" s="81">
        <v>35.445493242353116</v>
      </c>
      <c r="S61" s="81">
        <v>35.044350057894391</v>
      </c>
      <c r="T61" s="81">
        <v>34.324515856682076</v>
      </c>
      <c r="U61" s="81">
        <v>34.713450717404797</v>
      </c>
      <c r="V61" s="81">
        <v>33.748772355108407</v>
      </c>
      <c r="W61" s="81">
        <v>33.124482930898608</v>
      </c>
      <c r="X61" s="81">
        <v>33.571878961132164</v>
      </c>
      <c r="Y61" s="81">
        <v>33.420321797248462</v>
      </c>
      <c r="Z61" s="81">
        <v>32.60102812477556</v>
      </c>
      <c r="AA61" s="81">
        <v>31.833457003349253</v>
      </c>
      <c r="AB61" s="81">
        <v>31.99575986304556</v>
      </c>
      <c r="AC61" s="81">
        <v>32.543206182883054</v>
      </c>
      <c r="AD61" s="81">
        <v>31.938734205270588</v>
      </c>
      <c r="AE61" s="81">
        <v>32.060371599330395</v>
      </c>
      <c r="AF61" s="81">
        <v>32.04272349812873</v>
      </c>
      <c r="AG61" s="81">
        <v>33.052373660430504</v>
      </c>
    </row>
    <row r="62" spans="1:33" x14ac:dyDescent="0.25">
      <c r="A62" s="78" t="s">
        <v>204</v>
      </c>
      <c r="B62" s="78" t="s">
        <v>265</v>
      </c>
      <c r="C62" s="78" t="s">
        <v>340</v>
      </c>
      <c r="D62" s="78" t="s">
        <v>210</v>
      </c>
      <c r="E62" s="78" t="s">
        <v>221</v>
      </c>
      <c r="F62" s="80">
        <v>54.996665954589837</v>
      </c>
      <c r="G62" s="80">
        <v>43.017318725585938</v>
      </c>
      <c r="H62" s="81">
        <v>47.895437885400227</v>
      </c>
      <c r="I62" s="81">
        <v>50.860310677944625</v>
      </c>
      <c r="J62" s="81">
        <v>47.241450616492742</v>
      </c>
      <c r="K62" s="81">
        <v>45.043100973687309</v>
      </c>
      <c r="L62" s="81">
        <v>43.187862990094324</v>
      </c>
      <c r="M62" s="81">
        <v>40.687027667605776</v>
      </c>
      <c r="N62" s="81">
        <v>41.248830785081488</v>
      </c>
      <c r="O62" s="81">
        <v>41.805315532272196</v>
      </c>
      <c r="P62" s="81">
        <v>40.851589583855137</v>
      </c>
      <c r="Q62" s="81">
        <v>40.185953687823968</v>
      </c>
      <c r="R62" s="81">
        <v>39.029058590123675</v>
      </c>
      <c r="S62" s="81">
        <v>38.702939160858186</v>
      </c>
      <c r="T62" s="81">
        <v>38.111818269944081</v>
      </c>
      <c r="U62" s="81">
        <v>38.358181641429631</v>
      </c>
      <c r="V62" s="81">
        <v>37.344559644763486</v>
      </c>
      <c r="W62" s="81">
        <v>36.843993319820932</v>
      </c>
      <c r="X62" s="81">
        <v>37.158831043530483</v>
      </c>
      <c r="Y62" s="81">
        <v>36.883114303595292</v>
      </c>
      <c r="Z62" s="81">
        <v>36.62579997272325</v>
      </c>
      <c r="AA62" s="81">
        <v>36.172484470501608</v>
      </c>
      <c r="AB62" s="81">
        <v>36.360397406303882</v>
      </c>
      <c r="AC62" s="81">
        <v>36.811681382745128</v>
      </c>
      <c r="AD62" s="81">
        <v>36.552716709908438</v>
      </c>
      <c r="AE62" s="81">
        <v>36.458820199579606</v>
      </c>
      <c r="AF62" s="81">
        <v>36.643579090953786</v>
      </c>
      <c r="AG62" s="81">
        <v>37.991537752167275</v>
      </c>
    </row>
    <row r="63" spans="1:33" x14ac:dyDescent="0.25">
      <c r="A63" s="78" t="s">
        <v>204</v>
      </c>
      <c r="B63" s="78" t="s">
        <v>265</v>
      </c>
      <c r="C63" s="78" t="s">
        <v>341</v>
      </c>
      <c r="D63" s="78" t="s">
        <v>210</v>
      </c>
      <c r="E63" s="78" t="s">
        <v>223</v>
      </c>
      <c r="F63" s="80">
        <v>63.495990753173828</v>
      </c>
      <c r="G63" s="80">
        <v>46.966960906982422</v>
      </c>
      <c r="H63" s="81">
        <v>51.348326347271957</v>
      </c>
      <c r="I63" s="81">
        <v>51.98198428261783</v>
      </c>
      <c r="J63" s="81">
        <v>48.958388396188099</v>
      </c>
      <c r="K63" s="81">
        <v>46.226884580922771</v>
      </c>
      <c r="L63" s="81">
        <v>43.854380127363243</v>
      </c>
      <c r="M63" s="81">
        <v>41.361584784105069</v>
      </c>
      <c r="N63" s="81">
        <v>42.001958463362818</v>
      </c>
      <c r="O63" s="81">
        <v>42.591237827724392</v>
      </c>
      <c r="P63" s="81">
        <v>41.376574515730745</v>
      </c>
      <c r="Q63" s="81">
        <v>40.681188229302201</v>
      </c>
      <c r="R63" s="81">
        <v>39.374252500669101</v>
      </c>
      <c r="S63" s="81">
        <v>38.972543543918917</v>
      </c>
      <c r="T63" s="81">
        <v>38.357513883395058</v>
      </c>
      <c r="U63" s="81">
        <v>38.605165494875884</v>
      </c>
      <c r="V63" s="81">
        <v>37.461347839831561</v>
      </c>
      <c r="W63" s="81">
        <v>36.875016221064875</v>
      </c>
      <c r="X63" s="81">
        <v>37.354369824228272</v>
      </c>
      <c r="Y63" s="81">
        <v>37.403724331324618</v>
      </c>
      <c r="Z63" s="81">
        <v>37.705534423077289</v>
      </c>
      <c r="AA63" s="81">
        <v>37.02715697667346</v>
      </c>
      <c r="AB63" s="81">
        <v>37.510534732553204</v>
      </c>
      <c r="AC63" s="81">
        <v>38.014283194601596</v>
      </c>
      <c r="AD63" s="81">
        <v>37.86898704010526</v>
      </c>
      <c r="AE63" s="81">
        <v>38.108059238454771</v>
      </c>
      <c r="AF63" s="81">
        <v>38.427544800963886</v>
      </c>
      <c r="AG63" s="81">
        <v>39.772796639481157</v>
      </c>
    </row>
    <row r="64" spans="1:33" x14ac:dyDescent="0.25">
      <c r="A64" s="78" t="s">
        <v>204</v>
      </c>
      <c r="B64" s="78" t="s">
        <v>265</v>
      </c>
      <c r="C64" s="78" t="s">
        <v>342</v>
      </c>
      <c r="D64" s="78" t="s">
        <v>210</v>
      </c>
      <c r="E64" s="78" t="s">
        <v>225</v>
      </c>
      <c r="F64" s="80">
        <v>63.495990753173828</v>
      </c>
      <c r="G64" s="80">
        <v>46.966960906982422</v>
      </c>
      <c r="H64" s="81">
        <v>52.01049232198443</v>
      </c>
      <c r="I64" s="81">
        <v>52.255516299441489</v>
      </c>
      <c r="J64" s="81">
        <v>49.207907568187558</v>
      </c>
      <c r="K64" s="81">
        <v>46.489483071076947</v>
      </c>
      <c r="L64" s="81">
        <v>43.34040550453286</v>
      </c>
      <c r="M64" s="81">
        <v>40.499362851811611</v>
      </c>
      <c r="N64" s="81">
        <v>41.232762973129852</v>
      </c>
      <c r="O64" s="81">
        <v>41.909442875651344</v>
      </c>
      <c r="P64" s="81">
        <v>41.337052323962773</v>
      </c>
      <c r="Q64" s="81">
        <v>40.760144150709181</v>
      </c>
      <c r="R64" s="81">
        <v>39.575294489476725</v>
      </c>
      <c r="S64" s="81">
        <v>39.162066581958086</v>
      </c>
      <c r="T64" s="81">
        <v>38.532776835107562</v>
      </c>
      <c r="U64" s="81">
        <v>38.737601800221007</v>
      </c>
      <c r="V64" s="81">
        <v>37.606023744736305</v>
      </c>
      <c r="W64" s="81">
        <v>37.028331241296058</v>
      </c>
      <c r="X64" s="81">
        <v>37.444340307029954</v>
      </c>
      <c r="Y64" s="81">
        <v>37.461300944028295</v>
      </c>
      <c r="Z64" s="81">
        <v>37.882595393970448</v>
      </c>
      <c r="AA64" s="81">
        <v>37.160013985840699</v>
      </c>
      <c r="AB64" s="81">
        <v>37.627267882085086</v>
      </c>
      <c r="AC64" s="81">
        <v>38.152267103063778</v>
      </c>
      <c r="AD64" s="81">
        <v>38.011113947261684</v>
      </c>
      <c r="AE64" s="81">
        <v>38.207812286812391</v>
      </c>
      <c r="AF64" s="81">
        <v>38.600818651551513</v>
      </c>
      <c r="AG64" s="81">
        <v>39.980340415053348</v>
      </c>
    </row>
    <row r="65" spans="1:33" x14ac:dyDescent="0.25">
      <c r="A65" s="78" t="s">
        <v>204</v>
      </c>
      <c r="B65" s="78" t="s">
        <v>265</v>
      </c>
      <c r="C65" s="78" t="s">
        <v>343</v>
      </c>
      <c r="D65" s="78" t="s">
        <v>210</v>
      </c>
      <c r="E65" s="78" t="s">
        <v>228</v>
      </c>
      <c r="F65" s="80">
        <v>63.516193389892578</v>
      </c>
      <c r="G65" s="80">
        <v>47.905361175537109</v>
      </c>
      <c r="H65" s="81">
        <v>51.504709686499254</v>
      </c>
      <c r="I65" s="81">
        <v>52.333110778728816</v>
      </c>
      <c r="J65" s="81">
        <v>49.309524069216202</v>
      </c>
      <c r="K65" s="81">
        <v>46.551014789914795</v>
      </c>
      <c r="L65" s="81">
        <v>43.46529703616153</v>
      </c>
      <c r="M65" s="81">
        <v>40.597009590300182</v>
      </c>
      <c r="N65" s="81">
        <v>41.34569134005848</v>
      </c>
      <c r="O65" s="81">
        <v>42.041091707312212</v>
      </c>
      <c r="P65" s="81">
        <v>41.425613876385462</v>
      </c>
      <c r="Q65" s="81">
        <v>40.875206725342743</v>
      </c>
      <c r="R65" s="81">
        <v>39.685247895807272</v>
      </c>
      <c r="S65" s="81">
        <v>39.276093291002802</v>
      </c>
      <c r="T65" s="81">
        <v>38.651950318168161</v>
      </c>
      <c r="U65" s="81">
        <v>38.901764267309836</v>
      </c>
      <c r="V65" s="81">
        <v>37.746178286193093</v>
      </c>
      <c r="W65" s="81">
        <v>37.15154614043346</v>
      </c>
      <c r="X65" s="81">
        <v>37.596767041876326</v>
      </c>
      <c r="Y65" s="81">
        <v>37.623217446204954</v>
      </c>
      <c r="Z65" s="81">
        <v>37.910716565787155</v>
      </c>
      <c r="AA65" s="81">
        <v>37.170974706964095</v>
      </c>
      <c r="AB65" s="81">
        <v>37.646812128568421</v>
      </c>
      <c r="AC65" s="81">
        <v>38.199773560081624</v>
      </c>
      <c r="AD65" s="81">
        <v>38.087574155903731</v>
      </c>
      <c r="AE65" s="81">
        <v>38.498946180082918</v>
      </c>
      <c r="AF65" s="81">
        <v>38.859086741887111</v>
      </c>
      <c r="AG65" s="81">
        <v>40.21811049934059</v>
      </c>
    </row>
    <row r="66" spans="1:33" x14ac:dyDescent="0.25">
      <c r="A66" s="78" t="s">
        <v>204</v>
      </c>
      <c r="B66" s="78" t="s">
        <v>265</v>
      </c>
      <c r="C66" s="78" t="s">
        <v>344</v>
      </c>
      <c r="D66" s="78" t="s">
        <v>210</v>
      </c>
      <c r="E66" s="78" t="s">
        <v>232</v>
      </c>
      <c r="F66" s="80">
        <v>63.516193389892578</v>
      </c>
      <c r="G66" s="80">
        <v>47.905361175537109</v>
      </c>
      <c r="H66" s="81">
        <v>52.483587801057013</v>
      </c>
      <c r="I66" s="81">
        <v>54.118824391149083</v>
      </c>
      <c r="J66" s="81">
        <v>50.889660089322618</v>
      </c>
      <c r="K66" s="81">
        <v>48.579895058396382</v>
      </c>
      <c r="L66" s="81">
        <v>46.002777445979916</v>
      </c>
      <c r="M66" s="81">
        <v>43.750749784104762</v>
      </c>
      <c r="N66" s="81">
        <v>44.757217284352258</v>
      </c>
      <c r="O66" s="81">
        <v>44.920853868963668</v>
      </c>
      <c r="P66" s="81">
        <v>44.058988920731338</v>
      </c>
      <c r="Q66" s="81">
        <v>43.161750077426383</v>
      </c>
      <c r="R66" s="81">
        <v>41.946778474173705</v>
      </c>
      <c r="S66" s="81">
        <v>41.384148853459273</v>
      </c>
      <c r="T66" s="81">
        <v>40.653283271598141</v>
      </c>
      <c r="U66" s="81">
        <v>41.044936099400843</v>
      </c>
      <c r="V66" s="81">
        <v>39.862800301563809</v>
      </c>
      <c r="W66" s="81">
        <v>39.143012890223488</v>
      </c>
      <c r="X66" s="81">
        <v>39.663457884476003</v>
      </c>
      <c r="Y66" s="81">
        <v>39.826262324637504</v>
      </c>
      <c r="Z66" s="81">
        <v>40.387871819358047</v>
      </c>
      <c r="AA66" s="81">
        <v>39.756421452667063</v>
      </c>
      <c r="AB66" s="81">
        <v>40.231656829949316</v>
      </c>
      <c r="AC66" s="81">
        <v>41.066197406526825</v>
      </c>
      <c r="AD66" s="81">
        <v>40.916007555262766</v>
      </c>
      <c r="AE66" s="81">
        <v>41.651508495898462</v>
      </c>
      <c r="AF66" s="81">
        <v>41.989363198796546</v>
      </c>
      <c r="AG66" s="81">
        <v>43.528864429357611</v>
      </c>
    </row>
    <row r="67" spans="1:33" x14ac:dyDescent="0.25">
      <c r="A67" s="78" t="s">
        <v>204</v>
      </c>
      <c r="B67" s="78" t="s">
        <v>265</v>
      </c>
      <c r="C67" s="78" t="s">
        <v>345</v>
      </c>
      <c r="D67" s="78" t="s">
        <v>210</v>
      </c>
      <c r="E67" s="78" t="s">
        <v>239</v>
      </c>
      <c r="F67" s="80">
        <v>65.638046264648438</v>
      </c>
      <c r="G67" s="80">
        <v>49.277286529541023</v>
      </c>
      <c r="H67" s="81">
        <v>56.035439463144897</v>
      </c>
      <c r="I67" s="81">
        <v>57.449051029573781</v>
      </c>
      <c r="J67" s="81">
        <v>54.607042931592098</v>
      </c>
      <c r="K67" s="81">
        <v>51.583548857572751</v>
      </c>
      <c r="L67" s="81">
        <v>48.830888574990645</v>
      </c>
      <c r="M67" s="81">
        <v>46.149790304142705</v>
      </c>
      <c r="N67" s="81">
        <v>47.050254917061061</v>
      </c>
      <c r="O67" s="81">
        <v>47.495081708812883</v>
      </c>
      <c r="P67" s="81">
        <v>46.021131118783948</v>
      </c>
      <c r="Q67" s="81">
        <v>44.96217549985014</v>
      </c>
      <c r="R67" s="81">
        <v>43.458768111113891</v>
      </c>
      <c r="S67" s="81">
        <v>42.925027928795764</v>
      </c>
      <c r="T67" s="81">
        <v>42.249683495814153</v>
      </c>
      <c r="U67" s="81">
        <v>42.179894659354645</v>
      </c>
      <c r="V67" s="81">
        <v>41.069876064951842</v>
      </c>
      <c r="W67" s="81">
        <v>40.330475448247775</v>
      </c>
      <c r="X67" s="81">
        <v>40.805542782152756</v>
      </c>
      <c r="Y67" s="81">
        <v>40.848136278166351</v>
      </c>
      <c r="Z67" s="81">
        <v>41.221136393002467</v>
      </c>
      <c r="AA67" s="81">
        <v>40.548197639923025</v>
      </c>
      <c r="AB67" s="81">
        <v>41.243581938927647</v>
      </c>
      <c r="AC67" s="81">
        <v>41.76034874153477</v>
      </c>
      <c r="AD67" s="81">
        <v>41.687907977848724</v>
      </c>
      <c r="AE67" s="81">
        <v>42.04135343826222</v>
      </c>
      <c r="AF67" s="81">
        <v>42.228294258424384</v>
      </c>
      <c r="AG67" s="81">
        <v>43.346015565750847</v>
      </c>
    </row>
    <row r="68" spans="1:33" x14ac:dyDescent="0.25">
      <c r="A68" s="78" t="s">
        <v>204</v>
      </c>
      <c r="B68" s="78" t="s">
        <v>265</v>
      </c>
      <c r="C68" s="78" t="s">
        <v>390</v>
      </c>
      <c r="D68" s="78" t="s">
        <v>219</v>
      </c>
      <c r="E68" s="78" t="s">
        <v>206</v>
      </c>
      <c r="F68" s="80">
        <v>56.566352844238281</v>
      </c>
      <c r="G68" s="80">
        <v>43.198337554931641</v>
      </c>
      <c r="H68" s="81">
        <v>45.70417983490362</v>
      </c>
      <c r="I68" s="81">
        <v>47.571662735373955</v>
      </c>
      <c r="J68" s="81">
        <v>46.801499038045982</v>
      </c>
      <c r="K68" s="81">
        <v>45.541169891318681</v>
      </c>
      <c r="L68" s="81">
        <v>45.396867053442605</v>
      </c>
      <c r="M68" s="81">
        <v>44.282935969089195</v>
      </c>
      <c r="N68" s="81">
        <v>46.444932313003697</v>
      </c>
      <c r="O68" s="81">
        <v>47.318917013745569</v>
      </c>
      <c r="P68" s="81">
        <v>47.88447642111759</v>
      </c>
      <c r="Q68" s="81">
        <v>47.522126455434318</v>
      </c>
      <c r="R68" s="81">
        <v>47.243054743646809</v>
      </c>
      <c r="S68" s="81">
        <v>47.088703119660238</v>
      </c>
      <c r="T68" s="81">
        <v>47.074956568807686</v>
      </c>
      <c r="U68" s="81">
        <v>47.267558167088673</v>
      </c>
      <c r="V68" s="81">
        <v>46.922484105152897</v>
      </c>
      <c r="W68" s="81">
        <v>46.706739853853847</v>
      </c>
      <c r="X68" s="81">
        <v>47.367857992590025</v>
      </c>
      <c r="Y68" s="81">
        <v>47.368505965284591</v>
      </c>
      <c r="Z68" s="81">
        <v>47.553772582141427</v>
      </c>
      <c r="AA68" s="81">
        <v>46.750974818986556</v>
      </c>
      <c r="AB68" s="81">
        <v>47.628485531619873</v>
      </c>
      <c r="AC68" s="81">
        <v>48.745548350565876</v>
      </c>
      <c r="AD68" s="81">
        <v>49.445375150171856</v>
      </c>
      <c r="AE68" s="81">
        <v>49.203960469422178</v>
      </c>
      <c r="AF68" s="81">
        <v>50.000543182786792</v>
      </c>
      <c r="AG68" s="81">
        <v>52.110072594209811</v>
      </c>
    </row>
    <row r="69" spans="1:33" x14ac:dyDescent="0.25">
      <c r="A69" s="78" t="s">
        <v>204</v>
      </c>
      <c r="B69" s="78" t="s">
        <v>265</v>
      </c>
      <c r="C69" s="78" t="s">
        <v>391</v>
      </c>
      <c r="D69" s="78" t="s">
        <v>219</v>
      </c>
      <c r="E69" s="78" t="s">
        <v>208</v>
      </c>
      <c r="F69" s="80">
        <v>56.323200225830078</v>
      </c>
      <c r="G69" s="80">
        <v>42.975135803222663</v>
      </c>
      <c r="H69" s="81">
        <v>46.3816322920365</v>
      </c>
      <c r="I69" s="81">
        <v>48.193184346995885</v>
      </c>
      <c r="J69" s="81">
        <v>47.474067080260696</v>
      </c>
      <c r="K69" s="81">
        <v>46.228089175700191</v>
      </c>
      <c r="L69" s="81">
        <v>45.8943158684067</v>
      </c>
      <c r="M69" s="81">
        <v>44.910884120837544</v>
      </c>
      <c r="N69" s="81">
        <v>47.083620198256739</v>
      </c>
      <c r="O69" s="81">
        <v>48.005118982572185</v>
      </c>
      <c r="P69" s="81">
        <v>48.445292642609559</v>
      </c>
      <c r="Q69" s="81">
        <v>48.176657065341544</v>
      </c>
      <c r="R69" s="81">
        <v>47.893379051924079</v>
      </c>
      <c r="S69" s="81">
        <v>47.734728785219559</v>
      </c>
      <c r="T69" s="81">
        <v>47.51386811340619</v>
      </c>
      <c r="U69" s="81">
        <v>47.738446958013483</v>
      </c>
      <c r="V69" s="81">
        <v>47.352954175485273</v>
      </c>
      <c r="W69" s="81">
        <v>47.188257933480962</v>
      </c>
      <c r="X69" s="81">
        <v>47.726664748225126</v>
      </c>
      <c r="Y69" s="81">
        <v>47.986629202802838</v>
      </c>
      <c r="Z69" s="81">
        <v>48.272701450786755</v>
      </c>
      <c r="AA69" s="81">
        <v>47.628506472894074</v>
      </c>
      <c r="AB69" s="81">
        <v>48.568300835145003</v>
      </c>
      <c r="AC69" s="81">
        <v>49.6660901181111</v>
      </c>
      <c r="AD69" s="81">
        <v>50.451853607264205</v>
      </c>
      <c r="AE69" s="81">
        <v>50.379434464580157</v>
      </c>
      <c r="AF69" s="81">
        <v>51.127550065264529</v>
      </c>
      <c r="AG69" s="81">
        <v>53.431324129697749</v>
      </c>
    </row>
    <row r="70" spans="1:33" x14ac:dyDescent="0.25">
      <c r="A70" s="78" t="s">
        <v>204</v>
      </c>
      <c r="B70" s="78" t="s">
        <v>265</v>
      </c>
      <c r="C70" s="78" t="s">
        <v>392</v>
      </c>
      <c r="D70" s="78" t="s">
        <v>219</v>
      </c>
      <c r="E70" s="78" t="s">
        <v>212</v>
      </c>
      <c r="F70" s="80">
        <v>50.840183258056641</v>
      </c>
      <c r="G70" s="80">
        <v>39.299594879150391</v>
      </c>
      <c r="H70" s="81">
        <v>48.090130697141262</v>
      </c>
      <c r="I70" s="81">
        <v>51.441624168788209</v>
      </c>
      <c r="J70" s="81">
        <v>49.861332962279789</v>
      </c>
      <c r="K70" s="81">
        <v>48.136034739299916</v>
      </c>
      <c r="L70" s="81">
        <v>46.931278929038506</v>
      </c>
      <c r="M70" s="81">
        <v>45.635082413357644</v>
      </c>
      <c r="N70" s="81">
        <v>47.545097053560525</v>
      </c>
      <c r="O70" s="81">
        <v>48.538679711829317</v>
      </c>
      <c r="P70" s="81">
        <v>48.804767102550279</v>
      </c>
      <c r="Q70" s="81">
        <v>48.689984557003548</v>
      </c>
      <c r="R70" s="81">
        <v>48.378735731337137</v>
      </c>
      <c r="S70" s="81">
        <v>48.256835125198087</v>
      </c>
      <c r="T70" s="81">
        <v>47.922166138058387</v>
      </c>
      <c r="U70" s="81">
        <v>48.066845021948751</v>
      </c>
      <c r="V70" s="81">
        <v>47.597373981330094</v>
      </c>
      <c r="W70" s="81">
        <v>47.51201921203991</v>
      </c>
      <c r="X70" s="81">
        <v>48.150077260631669</v>
      </c>
      <c r="Y70" s="81">
        <v>48.57017220704163</v>
      </c>
      <c r="Z70" s="81">
        <v>48.877578681760639</v>
      </c>
      <c r="AA70" s="81">
        <v>48.307487681395223</v>
      </c>
      <c r="AB70" s="81">
        <v>49.168414138797957</v>
      </c>
      <c r="AC70" s="81">
        <v>50.247824116032746</v>
      </c>
      <c r="AD70" s="81">
        <v>50.778709184389982</v>
      </c>
      <c r="AE70" s="81">
        <v>50.765328482827762</v>
      </c>
      <c r="AF70" s="81">
        <v>51.342180333628313</v>
      </c>
      <c r="AG70" s="81">
        <v>53.708810891819233</v>
      </c>
    </row>
    <row r="71" spans="1:33" x14ac:dyDescent="0.25">
      <c r="A71" s="78" t="s">
        <v>204</v>
      </c>
      <c r="B71" s="78" t="s">
        <v>265</v>
      </c>
      <c r="C71" s="78" t="s">
        <v>393</v>
      </c>
      <c r="D71" s="78" t="s">
        <v>219</v>
      </c>
      <c r="E71" s="78" t="s">
        <v>215</v>
      </c>
      <c r="F71" s="80">
        <v>49.816917419433587</v>
      </c>
      <c r="G71" s="80">
        <v>38.73419189453125</v>
      </c>
      <c r="H71" s="81">
        <v>46.78436758094837</v>
      </c>
      <c r="I71" s="81">
        <v>48.70171727920485</v>
      </c>
      <c r="J71" s="81">
        <v>47.794582200961088</v>
      </c>
      <c r="K71" s="81">
        <v>46.62207696533951</v>
      </c>
      <c r="L71" s="81">
        <v>45.621709252939844</v>
      </c>
      <c r="M71" s="81">
        <v>44.337811213813907</v>
      </c>
      <c r="N71" s="81">
        <v>46.136761632642987</v>
      </c>
      <c r="O71" s="81">
        <v>47.03966051076366</v>
      </c>
      <c r="P71" s="81">
        <v>47.307109839802372</v>
      </c>
      <c r="Q71" s="81">
        <v>47.005629564066787</v>
      </c>
      <c r="R71" s="81">
        <v>46.567873171132682</v>
      </c>
      <c r="S71" s="81">
        <v>46.384554689149709</v>
      </c>
      <c r="T71" s="81">
        <v>46.126216913248847</v>
      </c>
      <c r="U71" s="81">
        <v>46.166365395287876</v>
      </c>
      <c r="V71" s="81">
        <v>45.641944468438837</v>
      </c>
      <c r="W71" s="81">
        <v>45.483933551624169</v>
      </c>
      <c r="X71" s="81">
        <v>46.164978360419468</v>
      </c>
      <c r="Y71" s="81">
        <v>46.484282530320741</v>
      </c>
      <c r="Z71" s="81">
        <v>46.707757033418133</v>
      </c>
      <c r="AA71" s="81">
        <v>46.147864953387064</v>
      </c>
      <c r="AB71" s="81">
        <v>47.005413248465956</v>
      </c>
      <c r="AC71" s="81">
        <v>47.839544903347608</v>
      </c>
      <c r="AD71" s="81">
        <v>48.20062266308534</v>
      </c>
      <c r="AE71" s="81">
        <v>47.987003460359929</v>
      </c>
      <c r="AF71" s="81">
        <v>48.428574992186483</v>
      </c>
      <c r="AG71" s="81">
        <v>50.558868971549032</v>
      </c>
    </row>
    <row r="72" spans="1:33" x14ac:dyDescent="0.25">
      <c r="A72" s="78" t="s">
        <v>204</v>
      </c>
      <c r="B72" s="78" t="s">
        <v>265</v>
      </c>
      <c r="C72" s="78" t="s">
        <v>394</v>
      </c>
      <c r="D72" s="78" t="s">
        <v>219</v>
      </c>
      <c r="E72" s="78" t="s">
        <v>218</v>
      </c>
      <c r="F72" s="80">
        <v>49.816917419433587</v>
      </c>
      <c r="G72" s="80">
        <v>38.73419189453125</v>
      </c>
      <c r="H72" s="81">
        <v>47.254051862396039</v>
      </c>
      <c r="I72" s="81">
        <v>50.956584608061391</v>
      </c>
      <c r="J72" s="81">
        <v>49.482626590996837</v>
      </c>
      <c r="K72" s="81">
        <v>47.811995691239154</v>
      </c>
      <c r="L72" s="81">
        <v>46.622457722930342</v>
      </c>
      <c r="M72" s="81">
        <v>45.182426337407392</v>
      </c>
      <c r="N72" s="81">
        <v>46.948076241935716</v>
      </c>
      <c r="O72" s="81">
        <v>47.829849493574308</v>
      </c>
      <c r="P72" s="81">
        <v>48.10882824409223</v>
      </c>
      <c r="Q72" s="81">
        <v>47.845987659078588</v>
      </c>
      <c r="R72" s="81">
        <v>47.434224607863136</v>
      </c>
      <c r="S72" s="81">
        <v>47.296798958406633</v>
      </c>
      <c r="T72" s="81">
        <v>47.070280314363792</v>
      </c>
      <c r="U72" s="81">
        <v>47.179684368247528</v>
      </c>
      <c r="V72" s="81">
        <v>46.673315727602919</v>
      </c>
      <c r="W72" s="81">
        <v>46.52418100911963</v>
      </c>
      <c r="X72" s="81">
        <v>47.258225460431937</v>
      </c>
      <c r="Y72" s="81">
        <v>47.589239566034593</v>
      </c>
      <c r="Z72" s="81">
        <v>47.877712051098641</v>
      </c>
      <c r="AA72" s="81">
        <v>47.30334588437475</v>
      </c>
      <c r="AB72" s="81">
        <v>48.18139115228692</v>
      </c>
      <c r="AC72" s="81">
        <v>49.165644415369101</v>
      </c>
      <c r="AD72" s="81">
        <v>49.617926345617789</v>
      </c>
      <c r="AE72" s="81">
        <v>49.52778194019816</v>
      </c>
      <c r="AF72" s="81">
        <v>50.099886613470069</v>
      </c>
      <c r="AG72" s="81">
        <v>52.332660895665903</v>
      </c>
    </row>
    <row r="73" spans="1:33" x14ac:dyDescent="0.25">
      <c r="A73" s="78" t="s">
        <v>204</v>
      </c>
      <c r="B73" s="78" t="s">
        <v>265</v>
      </c>
      <c r="C73" s="78" t="s">
        <v>395</v>
      </c>
      <c r="D73" s="78" t="s">
        <v>219</v>
      </c>
      <c r="E73" s="78" t="s">
        <v>221</v>
      </c>
      <c r="F73" s="80">
        <v>59.743293762207031</v>
      </c>
      <c r="G73" s="80">
        <v>44.402114868164063</v>
      </c>
      <c r="H73" s="81">
        <v>51.855595450429853</v>
      </c>
      <c r="I73" s="81">
        <v>56.72714094664066</v>
      </c>
      <c r="J73" s="81">
        <v>53.375890149183398</v>
      </c>
      <c r="K73" s="81">
        <v>51.368537608597748</v>
      </c>
      <c r="L73" s="81">
        <v>50.384666073065297</v>
      </c>
      <c r="M73" s="81">
        <v>49.169504598671622</v>
      </c>
      <c r="N73" s="81">
        <v>50.7887835102593</v>
      </c>
      <c r="O73" s="81">
        <v>51.684517884256103</v>
      </c>
      <c r="P73" s="81">
        <v>51.87661227945442</v>
      </c>
      <c r="Q73" s="81">
        <v>51.682510531676293</v>
      </c>
      <c r="R73" s="81">
        <v>51.3553878278044</v>
      </c>
      <c r="S73" s="81">
        <v>51.242349218231148</v>
      </c>
      <c r="T73" s="81">
        <v>51.09715103307677</v>
      </c>
      <c r="U73" s="81">
        <v>51.269431607742035</v>
      </c>
      <c r="V73" s="81">
        <v>50.80103506111729</v>
      </c>
      <c r="W73" s="81">
        <v>50.615641238194101</v>
      </c>
      <c r="X73" s="81">
        <v>51.560543202317646</v>
      </c>
      <c r="Y73" s="81">
        <v>52.059915603752245</v>
      </c>
      <c r="Z73" s="81">
        <v>52.525150729903451</v>
      </c>
      <c r="AA73" s="81">
        <v>52.215921453403894</v>
      </c>
      <c r="AB73" s="81">
        <v>53.248105345053844</v>
      </c>
      <c r="AC73" s="81">
        <v>54.467906636472378</v>
      </c>
      <c r="AD73" s="81">
        <v>54.993273556254813</v>
      </c>
      <c r="AE73" s="81">
        <v>55.111974043141977</v>
      </c>
      <c r="AF73" s="81">
        <v>56.001044933974512</v>
      </c>
      <c r="AG73" s="81">
        <v>58.401687703287919</v>
      </c>
    </row>
    <row r="74" spans="1:33" x14ac:dyDescent="0.25">
      <c r="A74" s="78" t="s">
        <v>204</v>
      </c>
      <c r="B74" s="78" t="s">
        <v>265</v>
      </c>
      <c r="C74" s="78" t="s">
        <v>396</v>
      </c>
      <c r="D74" s="78" t="s">
        <v>219</v>
      </c>
      <c r="E74" s="78" t="s">
        <v>223</v>
      </c>
      <c r="F74" s="80">
        <v>67.096504211425781</v>
      </c>
      <c r="G74" s="80">
        <v>47.701492309570313</v>
      </c>
      <c r="H74" s="81">
        <v>55.131480769519136</v>
      </c>
      <c r="I74" s="81">
        <v>56.778313932606721</v>
      </c>
      <c r="J74" s="81">
        <v>53.993003033423385</v>
      </c>
      <c r="K74" s="81">
        <v>51.806690232941165</v>
      </c>
      <c r="L74" s="81">
        <v>50.561592520248915</v>
      </c>
      <c r="M74" s="81">
        <v>49.181736465014147</v>
      </c>
      <c r="N74" s="81">
        <v>50.905159658327818</v>
      </c>
      <c r="O74" s="81">
        <v>51.872062386286991</v>
      </c>
      <c r="P74" s="81">
        <v>52.082270371815142</v>
      </c>
      <c r="Q74" s="81">
        <v>51.880200892045266</v>
      </c>
      <c r="R74" s="81">
        <v>51.444364193129559</v>
      </c>
      <c r="S74" s="81">
        <v>51.36514976643209</v>
      </c>
      <c r="T74" s="81">
        <v>51.176493004227559</v>
      </c>
      <c r="U74" s="81">
        <v>51.19209496121325</v>
      </c>
      <c r="V74" s="81">
        <v>50.618986191693004</v>
      </c>
      <c r="W74" s="81">
        <v>50.310114756835077</v>
      </c>
      <c r="X74" s="81">
        <v>51.245338960928017</v>
      </c>
      <c r="Y74" s="81">
        <v>51.868075602773523</v>
      </c>
      <c r="Z74" s="81">
        <v>52.460659161597235</v>
      </c>
      <c r="AA74" s="81">
        <v>52.041879909942722</v>
      </c>
      <c r="AB74" s="81">
        <v>53.206132913298866</v>
      </c>
      <c r="AC74" s="81">
        <v>54.45665315769957</v>
      </c>
      <c r="AD74" s="81">
        <v>54.978604197338406</v>
      </c>
      <c r="AE74" s="81">
        <v>55.061562795318252</v>
      </c>
      <c r="AF74" s="81">
        <v>55.873718497770035</v>
      </c>
      <c r="AG74" s="81">
        <v>58.258886723584773</v>
      </c>
    </row>
    <row r="75" spans="1:33" x14ac:dyDescent="0.25">
      <c r="A75" s="78" t="s">
        <v>204</v>
      </c>
      <c r="B75" s="78" t="s">
        <v>265</v>
      </c>
      <c r="C75" s="78" t="s">
        <v>397</v>
      </c>
      <c r="D75" s="78" t="s">
        <v>219</v>
      </c>
      <c r="E75" s="78" t="s">
        <v>225</v>
      </c>
      <c r="F75" s="80">
        <v>67.096504211425781</v>
      </c>
      <c r="G75" s="80">
        <v>47.701492309570313</v>
      </c>
      <c r="H75" s="81">
        <v>55.231108117924968</v>
      </c>
      <c r="I75" s="81">
        <v>57.006265328903183</v>
      </c>
      <c r="J75" s="81">
        <v>54.185667987908509</v>
      </c>
      <c r="K75" s="81">
        <v>51.984911482905055</v>
      </c>
      <c r="L75" s="81">
        <v>50.656086106877218</v>
      </c>
      <c r="M75" s="81">
        <v>49.151734152145352</v>
      </c>
      <c r="N75" s="81">
        <v>50.926359689405665</v>
      </c>
      <c r="O75" s="81">
        <v>51.924435685140587</v>
      </c>
      <c r="P75" s="81">
        <v>52.132428337465669</v>
      </c>
      <c r="Q75" s="81">
        <v>51.986068436758956</v>
      </c>
      <c r="R75" s="81">
        <v>51.56720079230945</v>
      </c>
      <c r="S75" s="81">
        <v>51.507581020917172</v>
      </c>
      <c r="T75" s="81">
        <v>51.314888671380892</v>
      </c>
      <c r="U75" s="81">
        <v>51.322662466623463</v>
      </c>
      <c r="V75" s="81">
        <v>50.749216978492655</v>
      </c>
      <c r="W75" s="81">
        <v>50.444667033235312</v>
      </c>
      <c r="X75" s="81">
        <v>51.367548846810216</v>
      </c>
      <c r="Y75" s="81">
        <v>51.987493711066101</v>
      </c>
      <c r="Z75" s="81">
        <v>52.570924263234197</v>
      </c>
      <c r="AA75" s="81">
        <v>52.135507510804239</v>
      </c>
      <c r="AB75" s="81">
        <v>53.297191667822091</v>
      </c>
      <c r="AC75" s="81">
        <v>54.567196236608353</v>
      </c>
      <c r="AD75" s="81">
        <v>55.087892359038221</v>
      </c>
      <c r="AE75" s="81">
        <v>55.184365559320518</v>
      </c>
      <c r="AF75" s="81">
        <v>55.999306444389248</v>
      </c>
      <c r="AG75" s="81">
        <v>58.386024633456088</v>
      </c>
    </row>
    <row r="76" spans="1:33" x14ac:dyDescent="0.25">
      <c r="A76" s="78" t="s">
        <v>204</v>
      </c>
      <c r="B76" s="78" t="s">
        <v>265</v>
      </c>
      <c r="C76" s="78" t="s">
        <v>398</v>
      </c>
      <c r="D76" s="78" t="s">
        <v>219</v>
      </c>
      <c r="E76" s="78" t="s">
        <v>228</v>
      </c>
      <c r="F76" s="80">
        <v>67.102523803710938</v>
      </c>
      <c r="G76" s="80">
        <v>47.914417266845703</v>
      </c>
      <c r="H76" s="81">
        <v>55.386083019406335</v>
      </c>
      <c r="I76" s="81">
        <v>57.061250684619822</v>
      </c>
      <c r="J76" s="81">
        <v>54.233084287607539</v>
      </c>
      <c r="K76" s="81">
        <v>52.022141528565221</v>
      </c>
      <c r="L76" s="81">
        <v>50.681452129507456</v>
      </c>
      <c r="M76" s="81">
        <v>49.189809480029581</v>
      </c>
      <c r="N76" s="81">
        <v>50.950558667748055</v>
      </c>
      <c r="O76" s="81">
        <v>51.943345177433756</v>
      </c>
      <c r="P76" s="81">
        <v>52.149603268785192</v>
      </c>
      <c r="Q76" s="81">
        <v>51.992627501570809</v>
      </c>
      <c r="R76" s="81">
        <v>51.584292993657719</v>
      </c>
      <c r="S76" s="81">
        <v>51.508745025982741</v>
      </c>
      <c r="T76" s="81">
        <v>51.3056509369463</v>
      </c>
      <c r="U76" s="81">
        <v>51.307499433845841</v>
      </c>
      <c r="V76" s="81">
        <v>50.721754769441617</v>
      </c>
      <c r="W76" s="81">
        <v>50.40483782045596</v>
      </c>
      <c r="X76" s="81">
        <v>51.352573914804871</v>
      </c>
      <c r="Y76" s="81">
        <v>51.970792757141012</v>
      </c>
      <c r="Z76" s="81">
        <v>52.564418365699211</v>
      </c>
      <c r="AA76" s="81">
        <v>52.124306914806205</v>
      </c>
      <c r="AB76" s="81">
        <v>53.289508967182073</v>
      </c>
      <c r="AC76" s="81">
        <v>54.563116322877441</v>
      </c>
      <c r="AD76" s="81">
        <v>55.082772239354952</v>
      </c>
      <c r="AE76" s="81">
        <v>55.172010825347748</v>
      </c>
      <c r="AF76" s="81">
        <v>55.985994605385528</v>
      </c>
      <c r="AG76" s="81">
        <v>58.362426722040851</v>
      </c>
    </row>
    <row r="77" spans="1:33" x14ac:dyDescent="0.25">
      <c r="A77" s="78" t="s">
        <v>204</v>
      </c>
      <c r="B77" s="78" t="s">
        <v>265</v>
      </c>
      <c r="C77" s="78" t="s">
        <v>399</v>
      </c>
      <c r="D77" s="78" t="s">
        <v>219</v>
      </c>
      <c r="E77" s="78" t="s">
        <v>232</v>
      </c>
      <c r="F77" s="80">
        <v>67.102523803710938</v>
      </c>
      <c r="G77" s="80">
        <v>47.914417266845703</v>
      </c>
      <c r="H77" s="81">
        <v>55.826582225854466</v>
      </c>
      <c r="I77" s="81">
        <v>57.873512201295938</v>
      </c>
      <c r="J77" s="81">
        <v>54.941247612122986</v>
      </c>
      <c r="K77" s="81">
        <v>52.769341599050719</v>
      </c>
      <c r="L77" s="81">
        <v>51.733407269442267</v>
      </c>
      <c r="M77" s="81">
        <v>50.57737918053256</v>
      </c>
      <c r="N77" s="81">
        <v>52.331044532134065</v>
      </c>
      <c r="O77" s="81">
        <v>53.17896529065758</v>
      </c>
      <c r="P77" s="81">
        <v>53.184179333777394</v>
      </c>
      <c r="Q77" s="81">
        <v>52.828180932649182</v>
      </c>
      <c r="R77" s="81">
        <v>52.313096285566424</v>
      </c>
      <c r="S77" s="81">
        <v>52.192851628607144</v>
      </c>
      <c r="T77" s="81">
        <v>52.035149370119932</v>
      </c>
      <c r="U77" s="81">
        <v>52.04627300864972</v>
      </c>
      <c r="V77" s="81">
        <v>51.493960084873841</v>
      </c>
      <c r="W77" s="81">
        <v>51.23210099526753</v>
      </c>
      <c r="X77" s="81">
        <v>52.174713181463709</v>
      </c>
      <c r="Y77" s="81">
        <v>52.798631077827764</v>
      </c>
      <c r="Z77" s="81">
        <v>53.457540604105695</v>
      </c>
      <c r="AA77" s="81">
        <v>53.024836007334017</v>
      </c>
      <c r="AB77" s="81">
        <v>54.200782388933249</v>
      </c>
      <c r="AC77" s="81">
        <v>55.739220013371266</v>
      </c>
      <c r="AD77" s="81">
        <v>56.371037729626771</v>
      </c>
      <c r="AE77" s="81">
        <v>56.503609193409389</v>
      </c>
      <c r="AF77" s="81">
        <v>57.436143995947795</v>
      </c>
      <c r="AG77" s="81">
        <v>59.863668302474672</v>
      </c>
    </row>
    <row r="78" spans="1:33" x14ac:dyDescent="0.25">
      <c r="A78" s="78" t="s">
        <v>204</v>
      </c>
      <c r="B78" s="78" t="s">
        <v>265</v>
      </c>
      <c r="C78" s="78" t="s">
        <v>400</v>
      </c>
      <c r="D78" s="78" t="s">
        <v>219</v>
      </c>
      <c r="E78" s="78" t="s">
        <v>239</v>
      </c>
      <c r="F78" s="80">
        <v>70.228103637695313</v>
      </c>
      <c r="G78" s="80">
        <v>50.08197021484375</v>
      </c>
      <c r="H78" s="81">
        <v>59.5257121783293</v>
      </c>
      <c r="I78" s="81">
        <v>62.157480358224717</v>
      </c>
      <c r="J78" s="81">
        <v>59.17418703930008</v>
      </c>
      <c r="K78" s="81">
        <v>55.852243392268996</v>
      </c>
      <c r="L78" s="81">
        <v>53.995618518613277</v>
      </c>
      <c r="M78" s="81">
        <v>52.572018216466631</v>
      </c>
      <c r="N78" s="81">
        <v>54.339473930168168</v>
      </c>
      <c r="O78" s="81">
        <v>55.169641741803588</v>
      </c>
      <c r="P78" s="81">
        <v>55.221637360809247</v>
      </c>
      <c r="Q78" s="81">
        <v>54.690189857527564</v>
      </c>
      <c r="R78" s="81">
        <v>54.063972784435308</v>
      </c>
      <c r="S78" s="81">
        <v>53.876238567086887</v>
      </c>
      <c r="T78" s="81">
        <v>53.646940164115421</v>
      </c>
      <c r="U78" s="81">
        <v>53.615870726581058</v>
      </c>
      <c r="V78" s="81">
        <v>53.06054256093352</v>
      </c>
      <c r="W78" s="81">
        <v>52.703864896339851</v>
      </c>
      <c r="X78" s="81">
        <v>53.685899516632418</v>
      </c>
      <c r="Y78" s="81">
        <v>54.364885402541425</v>
      </c>
      <c r="Z78" s="81">
        <v>55.128078205419925</v>
      </c>
      <c r="AA78" s="81">
        <v>54.704745218484035</v>
      </c>
      <c r="AB78" s="81">
        <v>56.015145714043769</v>
      </c>
      <c r="AC78" s="81">
        <v>57.351148783652874</v>
      </c>
      <c r="AD78" s="81">
        <v>57.908071252691599</v>
      </c>
      <c r="AE78" s="81">
        <v>57.712984413176621</v>
      </c>
      <c r="AF78" s="81">
        <v>58.35353752594807</v>
      </c>
      <c r="AG78" s="81">
        <v>59.950763293453555</v>
      </c>
    </row>
    <row r="79" spans="1:33" x14ac:dyDescent="0.25">
      <c r="A79" s="78"/>
      <c r="B79" s="78"/>
      <c r="C79" s="78"/>
      <c r="D79" s="78"/>
      <c r="E79" s="78"/>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row>
    <row r="80" spans="1:33" x14ac:dyDescent="0.25">
      <c r="A80" s="77" t="s">
        <v>259</v>
      </c>
      <c r="B80" s="77" t="s">
        <v>260</v>
      </c>
      <c r="C80" s="77" t="s">
        <v>261</v>
      </c>
      <c r="D80" s="77" t="s">
        <v>262</v>
      </c>
      <c r="E80" s="77" t="s">
        <v>263</v>
      </c>
      <c r="F80" s="79">
        <v>2023</v>
      </c>
      <c r="G80" s="79">
        <v>2024</v>
      </c>
      <c r="H80" s="79">
        <v>2025</v>
      </c>
      <c r="I80" s="79">
        <v>2026</v>
      </c>
      <c r="J80" s="79">
        <v>2027</v>
      </c>
      <c r="K80" s="79">
        <v>2028</v>
      </c>
      <c r="L80" s="79">
        <v>2029</v>
      </c>
      <c r="M80" s="79">
        <v>2030</v>
      </c>
      <c r="N80" s="79">
        <v>2031</v>
      </c>
      <c r="O80" s="79">
        <v>2032</v>
      </c>
      <c r="P80" s="79">
        <v>2033</v>
      </c>
      <c r="Q80" s="79">
        <v>2034</v>
      </c>
      <c r="R80" s="79">
        <v>2035</v>
      </c>
      <c r="S80" s="79">
        <v>2036</v>
      </c>
      <c r="T80" s="79">
        <v>2037</v>
      </c>
      <c r="U80" s="79">
        <v>2038</v>
      </c>
      <c r="V80" s="79">
        <v>2039</v>
      </c>
      <c r="W80" s="79">
        <v>2040</v>
      </c>
      <c r="X80" s="79">
        <v>2041</v>
      </c>
      <c r="Y80" s="79">
        <v>2042</v>
      </c>
      <c r="Z80" s="79">
        <v>2043</v>
      </c>
      <c r="AA80" s="79">
        <v>2044</v>
      </c>
      <c r="AB80" s="79">
        <v>2045</v>
      </c>
      <c r="AC80" s="79">
        <v>2046</v>
      </c>
      <c r="AD80" s="79">
        <v>2047</v>
      </c>
      <c r="AE80" s="79">
        <v>2048</v>
      </c>
      <c r="AF80" s="79">
        <v>2049</v>
      </c>
      <c r="AG80" s="79">
        <v>2050</v>
      </c>
    </row>
    <row r="81" spans="1:62" x14ac:dyDescent="0.25">
      <c r="A81" s="77" t="s">
        <v>266</v>
      </c>
      <c r="B81" s="77" t="s">
        <v>267</v>
      </c>
      <c r="C81" s="78" t="s">
        <v>298</v>
      </c>
      <c r="D81" s="78" t="s">
        <v>285</v>
      </c>
      <c r="E81" s="77" t="s">
        <v>206</v>
      </c>
      <c r="F81" s="81">
        <v>10.541406450933867</v>
      </c>
      <c r="G81" s="81">
        <v>7.0987649674941062</v>
      </c>
      <c r="H81" s="81">
        <v>8.2997034944517623</v>
      </c>
      <c r="I81" s="81">
        <v>6.0709223002604711</v>
      </c>
      <c r="J81" s="81">
        <v>6.2417408114743802</v>
      </c>
      <c r="K81" s="81">
        <v>6.3994156977316674</v>
      </c>
      <c r="L81" s="81">
        <v>5.7437385323331052</v>
      </c>
      <c r="M81" s="81">
        <v>5.4954593890000574</v>
      </c>
      <c r="N81" s="81">
        <v>5.7404111693458812</v>
      </c>
      <c r="O81" s="81">
        <v>5.9254573231502343</v>
      </c>
      <c r="P81" s="81">
        <v>5.9048533132089407</v>
      </c>
      <c r="Q81" s="81">
        <v>4.971402864663041</v>
      </c>
      <c r="R81" s="81">
        <v>5.2558386470328129</v>
      </c>
      <c r="S81" s="81">
        <v>5.5360566299188001</v>
      </c>
      <c r="T81" s="81">
        <v>5.7367719272852442</v>
      </c>
      <c r="U81" s="81">
        <v>5.957773816663007</v>
      </c>
      <c r="V81" s="81">
        <v>5.9872192297782503</v>
      </c>
      <c r="W81" s="81">
        <v>5.8130103372257329</v>
      </c>
      <c r="X81" s="81">
        <v>5.9206939506227192</v>
      </c>
      <c r="Y81" s="81">
        <v>5.8471310464569211</v>
      </c>
      <c r="Z81" s="81">
        <v>5.7990505664033947</v>
      </c>
      <c r="AA81" s="81">
        <v>5.8512442936578388</v>
      </c>
      <c r="AB81" s="81">
        <v>5.9180754890246368</v>
      </c>
      <c r="AC81" s="81">
        <v>5.827330155627175</v>
      </c>
      <c r="AD81" s="81">
        <v>5.7654804703818332</v>
      </c>
      <c r="AE81" s="81">
        <v>5.7222613976691337</v>
      </c>
      <c r="AF81" s="81">
        <v>5.6778782135797625</v>
      </c>
      <c r="AG81" s="81">
        <v>5.5419025313834664</v>
      </c>
    </row>
    <row r="82" spans="1:62" x14ac:dyDescent="0.25">
      <c r="A82" s="77" t="s">
        <v>266</v>
      </c>
      <c r="B82" s="77" t="s">
        <v>267</v>
      </c>
      <c r="C82" s="78" t="s">
        <v>299</v>
      </c>
      <c r="D82" s="78" t="s">
        <v>285</v>
      </c>
      <c r="E82" s="77" t="s">
        <v>208</v>
      </c>
      <c r="F82" s="81">
        <v>10.541406450933867</v>
      </c>
      <c r="G82" s="81">
        <v>7.0987649674941062</v>
      </c>
      <c r="H82" s="81">
        <v>8.2997034944517623</v>
      </c>
      <c r="I82" s="81">
        <v>6.0709223002604711</v>
      </c>
      <c r="J82" s="81">
        <v>6.2417408114743802</v>
      </c>
      <c r="K82" s="81">
        <v>6.3994156977316674</v>
      </c>
      <c r="L82" s="81">
        <v>5.7437385323331052</v>
      </c>
      <c r="M82" s="81">
        <v>5.4954593890000574</v>
      </c>
      <c r="N82" s="81">
        <v>5.7404111693458812</v>
      </c>
      <c r="O82" s="81">
        <v>5.9254573231502343</v>
      </c>
      <c r="P82" s="81">
        <v>5.9048533132089407</v>
      </c>
      <c r="Q82" s="81">
        <v>4.971402864663041</v>
      </c>
      <c r="R82" s="81">
        <v>5.2558386470328129</v>
      </c>
      <c r="S82" s="81">
        <v>5.5360566299188001</v>
      </c>
      <c r="T82" s="81">
        <v>5.7367719272852442</v>
      </c>
      <c r="U82" s="81">
        <v>5.957773816663007</v>
      </c>
      <c r="V82" s="81">
        <v>5.9872192297782503</v>
      </c>
      <c r="W82" s="81">
        <v>5.8130103372257329</v>
      </c>
      <c r="X82" s="81">
        <v>5.9206939506227192</v>
      </c>
      <c r="Y82" s="81">
        <v>5.8471310464569211</v>
      </c>
      <c r="Z82" s="81">
        <v>5.7990505664033947</v>
      </c>
      <c r="AA82" s="81">
        <v>5.8512442936578388</v>
      </c>
      <c r="AB82" s="81">
        <v>5.9180754890246368</v>
      </c>
      <c r="AC82" s="81">
        <v>5.827330155627175</v>
      </c>
      <c r="AD82" s="81">
        <v>5.7654804703818332</v>
      </c>
      <c r="AE82" s="81">
        <v>5.7222613976691337</v>
      </c>
      <c r="AF82" s="81">
        <v>5.6778782135797625</v>
      </c>
      <c r="AG82" s="81">
        <v>5.5419025313834664</v>
      </c>
    </row>
    <row r="83" spans="1:62" x14ac:dyDescent="0.25">
      <c r="A83" s="77" t="s">
        <v>266</v>
      </c>
      <c r="B83" s="77" t="s">
        <v>267</v>
      </c>
      <c r="C83" s="78" t="s">
        <v>300</v>
      </c>
      <c r="D83" s="78" t="s">
        <v>285</v>
      </c>
      <c r="E83" s="77" t="s">
        <v>212</v>
      </c>
      <c r="F83" s="81">
        <v>10.541406450933867</v>
      </c>
      <c r="G83" s="81">
        <v>7.0987649674941062</v>
      </c>
      <c r="H83" s="81">
        <v>8.2997034944517623</v>
      </c>
      <c r="I83" s="81">
        <v>6.0709223002604711</v>
      </c>
      <c r="J83" s="81">
        <v>6.2417408114743802</v>
      </c>
      <c r="K83" s="81">
        <v>6.3994156977316674</v>
      </c>
      <c r="L83" s="81">
        <v>5.7437385323331052</v>
      </c>
      <c r="M83" s="81">
        <v>5.4954593890000574</v>
      </c>
      <c r="N83" s="81">
        <v>5.7404111693458812</v>
      </c>
      <c r="O83" s="81">
        <v>5.9254573231502343</v>
      </c>
      <c r="P83" s="81">
        <v>5.9048533132089407</v>
      </c>
      <c r="Q83" s="81">
        <v>4.971402864663041</v>
      </c>
      <c r="R83" s="81">
        <v>5.2558386470328129</v>
      </c>
      <c r="S83" s="81">
        <v>5.5360566299188001</v>
      </c>
      <c r="T83" s="81">
        <v>5.7367719272852442</v>
      </c>
      <c r="U83" s="81">
        <v>5.957773816663007</v>
      </c>
      <c r="V83" s="81">
        <v>5.9872192297782503</v>
      </c>
      <c r="W83" s="81">
        <v>5.8130103372257329</v>
      </c>
      <c r="X83" s="81">
        <v>5.9206939506227192</v>
      </c>
      <c r="Y83" s="81">
        <v>5.8471310464569211</v>
      </c>
      <c r="Z83" s="81">
        <v>5.7990505664033947</v>
      </c>
      <c r="AA83" s="81">
        <v>5.8512442936578388</v>
      </c>
      <c r="AB83" s="81">
        <v>5.9180754890246368</v>
      </c>
      <c r="AC83" s="81">
        <v>5.827330155627175</v>
      </c>
      <c r="AD83" s="81">
        <v>5.7654804703818332</v>
      </c>
      <c r="AE83" s="81">
        <v>5.7222613976691337</v>
      </c>
      <c r="AF83" s="81">
        <v>5.6778782135797625</v>
      </c>
      <c r="AG83" s="81">
        <v>5.5419025313834664</v>
      </c>
    </row>
    <row r="84" spans="1:62" x14ac:dyDescent="0.25">
      <c r="A84" s="77" t="s">
        <v>266</v>
      </c>
      <c r="B84" s="77" t="s">
        <v>267</v>
      </c>
      <c r="C84" s="78" t="s">
        <v>301</v>
      </c>
      <c r="D84" s="78" t="s">
        <v>285</v>
      </c>
      <c r="E84" s="77" t="s">
        <v>215</v>
      </c>
      <c r="F84" s="81">
        <v>10.541406450933867</v>
      </c>
      <c r="G84" s="81">
        <v>7.0987649674941062</v>
      </c>
      <c r="H84" s="81">
        <v>8.2997034944517623</v>
      </c>
      <c r="I84" s="81">
        <v>6.0709223002604711</v>
      </c>
      <c r="J84" s="81">
        <v>6.2417408114743802</v>
      </c>
      <c r="K84" s="81">
        <v>6.3994156977316674</v>
      </c>
      <c r="L84" s="81">
        <v>5.7437385323331052</v>
      </c>
      <c r="M84" s="81">
        <v>5.4954593890000574</v>
      </c>
      <c r="N84" s="81">
        <v>5.7404111693458812</v>
      </c>
      <c r="O84" s="81">
        <v>5.9254573231502343</v>
      </c>
      <c r="P84" s="81">
        <v>5.9048533132089407</v>
      </c>
      <c r="Q84" s="81">
        <v>4.971402864663041</v>
      </c>
      <c r="R84" s="81">
        <v>5.2558386470328129</v>
      </c>
      <c r="S84" s="81">
        <v>5.5360566299188001</v>
      </c>
      <c r="T84" s="81">
        <v>5.7367719272852442</v>
      </c>
      <c r="U84" s="81">
        <v>5.957773816663007</v>
      </c>
      <c r="V84" s="81">
        <v>5.9872192297782503</v>
      </c>
      <c r="W84" s="81">
        <v>5.8130103372257329</v>
      </c>
      <c r="X84" s="81">
        <v>5.9206939506227192</v>
      </c>
      <c r="Y84" s="81">
        <v>5.8471310464569211</v>
      </c>
      <c r="Z84" s="81">
        <v>5.7990505664033947</v>
      </c>
      <c r="AA84" s="81">
        <v>5.8512442936578388</v>
      </c>
      <c r="AB84" s="81">
        <v>5.9180754890246368</v>
      </c>
      <c r="AC84" s="81">
        <v>5.827330155627175</v>
      </c>
      <c r="AD84" s="81">
        <v>5.7654804703818332</v>
      </c>
      <c r="AE84" s="81">
        <v>5.7222613976691337</v>
      </c>
      <c r="AF84" s="81">
        <v>5.6778782135797625</v>
      </c>
      <c r="AG84" s="81">
        <v>5.5419025313834664</v>
      </c>
    </row>
    <row r="85" spans="1:62" x14ac:dyDescent="0.25">
      <c r="A85" s="77" t="s">
        <v>266</v>
      </c>
      <c r="B85" s="77" t="s">
        <v>267</v>
      </c>
      <c r="C85" s="78" t="s">
        <v>302</v>
      </c>
      <c r="D85" s="78" t="s">
        <v>285</v>
      </c>
      <c r="E85" s="77" t="s">
        <v>218</v>
      </c>
      <c r="F85" s="81">
        <v>10.541406450933867</v>
      </c>
      <c r="G85" s="81">
        <v>7.0987649674941062</v>
      </c>
      <c r="H85" s="81">
        <v>8.2997034944517623</v>
      </c>
      <c r="I85" s="81">
        <v>6.0709223002604711</v>
      </c>
      <c r="J85" s="81">
        <v>6.2417408114743802</v>
      </c>
      <c r="K85" s="81">
        <v>6.3994156977316674</v>
      </c>
      <c r="L85" s="81">
        <v>5.7437385323331052</v>
      </c>
      <c r="M85" s="81">
        <v>5.4954593890000574</v>
      </c>
      <c r="N85" s="81">
        <v>5.7404111693458812</v>
      </c>
      <c r="O85" s="81">
        <v>5.9254573231502343</v>
      </c>
      <c r="P85" s="81">
        <v>5.9048533132089407</v>
      </c>
      <c r="Q85" s="81">
        <v>4.971402864663041</v>
      </c>
      <c r="R85" s="81">
        <v>5.2558386470328129</v>
      </c>
      <c r="S85" s="81">
        <v>5.5360566299188001</v>
      </c>
      <c r="T85" s="81">
        <v>5.7367719272852442</v>
      </c>
      <c r="U85" s="81">
        <v>5.957773816663007</v>
      </c>
      <c r="V85" s="81">
        <v>5.9872192297782503</v>
      </c>
      <c r="W85" s="81">
        <v>5.8130103372257329</v>
      </c>
      <c r="X85" s="81">
        <v>5.9206939506227192</v>
      </c>
      <c r="Y85" s="81">
        <v>5.8471310464569211</v>
      </c>
      <c r="Z85" s="81">
        <v>5.7990505664033947</v>
      </c>
      <c r="AA85" s="81">
        <v>5.8512442936578388</v>
      </c>
      <c r="AB85" s="81">
        <v>5.9180754890246368</v>
      </c>
      <c r="AC85" s="81">
        <v>5.827330155627175</v>
      </c>
      <c r="AD85" s="81">
        <v>5.7654804703818332</v>
      </c>
      <c r="AE85" s="81">
        <v>5.7222613976691337</v>
      </c>
      <c r="AF85" s="81">
        <v>5.6778782135797625</v>
      </c>
      <c r="AG85" s="81">
        <v>5.5419025313834664</v>
      </c>
    </row>
    <row r="86" spans="1:62" x14ac:dyDescent="0.25">
      <c r="A86" s="77" t="s">
        <v>266</v>
      </c>
      <c r="B86" s="77" t="s">
        <v>267</v>
      </c>
      <c r="C86" s="78" t="s">
        <v>303</v>
      </c>
      <c r="D86" s="78" t="s">
        <v>285</v>
      </c>
      <c r="E86" s="77" t="s">
        <v>221</v>
      </c>
      <c r="F86" s="81">
        <v>10.541406450933867</v>
      </c>
      <c r="G86" s="81">
        <v>7.0987649674941062</v>
      </c>
      <c r="H86" s="81">
        <v>8.2997034944517623</v>
      </c>
      <c r="I86" s="81">
        <v>6.0709223002604711</v>
      </c>
      <c r="J86" s="81">
        <v>6.2417408114743802</v>
      </c>
      <c r="K86" s="81">
        <v>6.3994156977316674</v>
      </c>
      <c r="L86" s="81">
        <v>5.7437385323331052</v>
      </c>
      <c r="M86" s="81">
        <v>5.4954593890000574</v>
      </c>
      <c r="N86" s="81">
        <v>5.7404111693458812</v>
      </c>
      <c r="O86" s="81">
        <v>5.9254573231502343</v>
      </c>
      <c r="P86" s="81">
        <v>5.9048533132089407</v>
      </c>
      <c r="Q86" s="81">
        <v>4.971402864663041</v>
      </c>
      <c r="R86" s="81">
        <v>5.2558386470328129</v>
      </c>
      <c r="S86" s="81">
        <v>5.5360566299188001</v>
      </c>
      <c r="T86" s="81">
        <v>5.7367719272852442</v>
      </c>
      <c r="U86" s="81">
        <v>5.957773816663007</v>
      </c>
      <c r="V86" s="81">
        <v>5.9872192297782503</v>
      </c>
      <c r="W86" s="81">
        <v>5.8130103372257329</v>
      </c>
      <c r="X86" s="81">
        <v>5.9206939506227192</v>
      </c>
      <c r="Y86" s="81">
        <v>5.8471310464569211</v>
      </c>
      <c r="Z86" s="81">
        <v>5.7990505664033947</v>
      </c>
      <c r="AA86" s="81">
        <v>5.8512442936578388</v>
      </c>
      <c r="AB86" s="81">
        <v>5.9180754890246368</v>
      </c>
      <c r="AC86" s="81">
        <v>5.827330155627175</v>
      </c>
      <c r="AD86" s="81">
        <v>5.7654804703818332</v>
      </c>
      <c r="AE86" s="81">
        <v>5.7222613976691337</v>
      </c>
      <c r="AF86" s="81">
        <v>5.6778782135797625</v>
      </c>
      <c r="AG86" s="81">
        <v>5.5419025313834664</v>
      </c>
    </row>
    <row r="87" spans="1:62" x14ac:dyDescent="0.25">
      <c r="A87" s="77" t="s">
        <v>266</v>
      </c>
      <c r="B87" s="77" t="s">
        <v>267</v>
      </c>
      <c r="C87" s="78" t="s">
        <v>304</v>
      </c>
      <c r="D87" s="78" t="s">
        <v>285</v>
      </c>
      <c r="E87" s="77" t="s">
        <v>223</v>
      </c>
      <c r="F87" s="81">
        <v>13.095919057141765</v>
      </c>
      <c r="G87" s="81">
        <v>11.644465341415771</v>
      </c>
      <c r="H87" s="81">
        <v>8.3882329062164693</v>
      </c>
      <c r="I87" s="81">
        <v>6.3998040443699571</v>
      </c>
      <c r="J87" s="81">
        <v>6.4975049757277015</v>
      </c>
      <c r="K87" s="81">
        <v>7.0729383030486632</v>
      </c>
      <c r="L87" s="81">
        <v>6.707057784101278</v>
      </c>
      <c r="M87" s="81">
        <v>6.4466155090567856</v>
      </c>
      <c r="N87" s="81">
        <v>6.6398736116962418</v>
      </c>
      <c r="O87" s="81">
        <v>6.7397311919366469</v>
      </c>
      <c r="P87" s="81">
        <v>6.664355819730841</v>
      </c>
      <c r="Q87" s="81">
        <v>5.5128250855985739</v>
      </c>
      <c r="R87" s="81">
        <v>5.7841564502688261</v>
      </c>
      <c r="S87" s="81">
        <v>6.0978673385071209</v>
      </c>
      <c r="T87" s="81">
        <v>6.3230344730401793</v>
      </c>
      <c r="U87" s="81">
        <v>6.6096874914086223</v>
      </c>
      <c r="V87" s="81">
        <v>6.7082137425960413</v>
      </c>
      <c r="W87" s="81">
        <v>6.5925970677741104</v>
      </c>
      <c r="X87" s="81">
        <v>6.8150539594649109</v>
      </c>
      <c r="Y87" s="81">
        <v>6.5959700414825653</v>
      </c>
      <c r="Z87" s="81">
        <v>6.9798146232286049</v>
      </c>
      <c r="AA87" s="81">
        <v>7.616406763968893</v>
      </c>
      <c r="AB87" s="81">
        <v>7.6270483588833624</v>
      </c>
      <c r="AC87" s="81">
        <v>7.3523686656465737</v>
      </c>
      <c r="AD87" s="81">
        <v>7.3251174710947033</v>
      </c>
      <c r="AE87" s="81">
        <v>7.0910493344673995</v>
      </c>
      <c r="AF87" s="81">
        <v>6.8769600973019349</v>
      </c>
      <c r="AG87" s="81">
        <v>6.5968108661327785</v>
      </c>
    </row>
    <row r="88" spans="1:62" x14ac:dyDescent="0.25">
      <c r="A88" s="77" t="s">
        <v>266</v>
      </c>
      <c r="B88" s="77" t="s">
        <v>267</v>
      </c>
      <c r="C88" s="78" t="s">
        <v>305</v>
      </c>
      <c r="D88" s="78" t="s">
        <v>285</v>
      </c>
      <c r="E88" s="77" t="s">
        <v>225</v>
      </c>
      <c r="F88" s="81">
        <v>13.095919057141765</v>
      </c>
      <c r="G88" s="81">
        <v>11.644465341415771</v>
      </c>
      <c r="H88" s="81">
        <v>8.3882329062164693</v>
      </c>
      <c r="I88" s="81">
        <v>6.3998040443699571</v>
      </c>
      <c r="J88" s="81">
        <v>6.4975049757277015</v>
      </c>
      <c r="K88" s="81">
        <v>7.0729383030486632</v>
      </c>
      <c r="L88" s="81">
        <v>6.707057784101278</v>
      </c>
      <c r="M88" s="81">
        <v>6.4466155090567856</v>
      </c>
      <c r="N88" s="81">
        <v>6.6398736116962418</v>
      </c>
      <c r="O88" s="81">
        <v>6.7397311919366469</v>
      </c>
      <c r="P88" s="81">
        <v>6.664355819730841</v>
      </c>
      <c r="Q88" s="81">
        <v>5.5128250855985739</v>
      </c>
      <c r="R88" s="81">
        <v>5.7841564502688261</v>
      </c>
      <c r="S88" s="81">
        <v>6.0978673385071209</v>
      </c>
      <c r="T88" s="81">
        <v>6.3230344730401793</v>
      </c>
      <c r="U88" s="81">
        <v>6.6096874914086223</v>
      </c>
      <c r="V88" s="81">
        <v>6.7082137425960413</v>
      </c>
      <c r="W88" s="81">
        <v>6.5925970677741104</v>
      </c>
      <c r="X88" s="81">
        <v>6.8150539594649109</v>
      </c>
      <c r="Y88" s="81">
        <v>6.5959700414825653</v>
      </c>
      <c r="Z88" s="81">
        <v>6.9798146232286049</v>
      </c>
      <c r="AA88" s="81">
        <v>7.616406763968893</v>
      </c>
      <c r="AB88" s="81">
        <v>7.6270483588833624</v>
      </c>
      <c r="AC88" s="81">
        <v>7.3523686656465737</v>
      </c>
      <c r="AD88" s="81">
        <v>7.3251174710947033</v>
      </c>
      <c r="AE88" s="81">
        <v>7.0910493344673995</v>
      </c>
      <c r="AF88" s="81">
        <v>6.8769600973019349</v>
      </c>
      <c r="AG88" s="81">
        <v>6.5968108661327785</v>
      </c>
    </row>
    <row r="89" spans="1:62" x14ac:dyDescent="0.25">
      <c r="A89" s="77" t="s">
        <v>266</v>
      </c>
      <c r="B89" s="77" t="s">
        <v>267</v>
      </c>
      <c r="C89" s="78" t="s">
        <v>306</v>
      </c>
      <c r="D89" s="78" t="s">
        <v>285</v>
      </c>
      <c r="E89" s="77" t="s">
        <v>228</v>
      </c>
      <c r="F89" s="81">
        <v>13.095919057141765</v>
      </c>
      <c r="G89" s="81">
        <v>11.644465341415771</v>
      </c>
      <c r="H89" s="81">
        <v>8.3882329062164693</v>
      </c>
      <c r="I89" s="81">
        <v>6.3998040443699571</v>
      </c>
      <c r="J89" s="81">
        <v>6.4975049757277015</v>
      </c>
      <c r="K89" s="81">
        <v>7.0729383030486632</v>
      </c>
      <c r="L89" s="81">
        <v>6.707057784101278</v>
      </c>
      <c r="M89" s="81">
        <v>6.4466155090567856</v>
      </c>
      <c r="N89" s="81">
        <v>6.6398736116962418</v>
      </c>
      <c r="O89" s="81">
        <v>6.7397311919366469</v>
      </c>
      <c r="P89" s="81">
        <v>6.664355819730841</v>
      </c>
      <c r="Q89" s="81">
        <v>5.5128250855985739</v>
      </c>
      <c r="R89" s="81">
        <v>5.7841564502688261</v>
      </c>
      <c r="S89" s="81">
        <v>6.0978673385071209</v>
      </c>
      <c r="T89" s="81">
        <v>6.3230344730401793</v>
      </c>
      <c r="U89" s="81">
        <v>6.6096874914086223</v>
      </c>
      <c r="V89" s="81">
        <v>6.7082137425960413</v>
      </c>
      <c r="W89" s="81">
        <v>6.5925970677741104</v>
      </c>
      <c r="X89" s="81">
        <v>6.8150539594649109</v>
      </c>
      <c r="Y89" s="81">
        <v>6.5959700414825653</v>
      </c>
      <c r="Z89" s="81">
        <v>6.9798146232286049</v>
      </c>
      <c r="AA89" s="81">
        <v>7.616406763968893</v>
      </c>
      <c r="AB89" s="81">
        <v>7.6270483588833624</v>
      </c>
      <c r="AC89" s="81">
        <v>7.3523686656465737</v>
      </c>
      <c r="AD89" s="81">
        <v>7.3251174710947033</v>
      </c>
      <c r="AE89" s="81">
        <v>7.0910493344673995</v>
      </c>
      <c r="AF89" s="81">
        <v>6.8769600973019349</v>
      </c>
      <c r="AG89" s="81">
        <v>6.5968108661327785</v>
      </c>
    </row>
    <row r="90" spans="1:62" x14ac:dyDescent="0.25">
      <c r="A90" s="77" t="s">
        <v>266</v>
      </c>
      <c r="B90" s="77" t="s">
        <v>267</v>
      </c>
      <c r="C90" s="78" t="s">
        <v>307</v>
      </c>
      <c r="D90" s="78" t="s">
        <v>285</v>
      </c>
      <c r="E90" s="77" t="s">
        <v>232</v>
      </c>
      <c r="F90" s="81">
        <v>13.645624301515621</v>
      </c>
      <c r="G90" s="81">
        <v>12.85872777006608</v>
      </c>
      <c r="H90" s="81">
        <v>13.953660024024401</v>
      </c>
      <c r="I90" s="81">
        <v>18.687582949290704</v>
      </c>
      <c r="J90" s="81">
        <v>15.844831787141285</v>
      </c>
      <c r="K90" s="81">
        <v>14.863404911597524</v>
      </c>
      <c r="L90" s="81">
        <v>13.957262389487083</v>
      </c>
      <c r="M90" s="81">
        <v>13.051785438053024</v>
      </c>
      <c r="N90" s="81">
        <v>12.701304897210658</v>
      </c>
      <c r="O90" s="81">
        <v>11.998257868191128</v>
      </c>
      <c r="P90" s="81">
        <v>11.680831607089624</v>
      </c>
      <c r="Q90" s="81">
        <v>9.4287642213836964</v>
      </c>
      <c r="R90" s="81">
        <v>9.3820501553480025</v>
      </c>
      <c r="S90" s="81">
        <v>9.1645594961773416</v>
      </c>
      <c r="T90" s="81">
        <v>9.1212739670386078</v>
      </c>
      <c r="U90" s="81">
        <v>9.0256691369519277</v>
      </c>
      <c r="V90" s="81">
        <v>9.0074164007592277</v>
      </c>
      <c r="W90" s="81">
        <v>8.7006700441715381</v>
      </c>
      <c r="X90" s="81">
        <v>8.9453115097487963</v>
      </c>
      <c r="Y90" s="81">
        <v>8.6047079364614252</v>
      </c>
      <c r="Z90" s="81">
        <v>8.2762471082308142</v>
      </c>
      <c r="AA90" s="81">
        <v>8.5944068074480882</v>
      </c>
      <c r="AB90" s="81">
        <v>8.5926417014038226</v>
      </c>
      <c r="AC90" s="81">
        <v>8.2821274131713203</v>
      </c>
      <c r="AD90" s="81">
        <v>8.2623031477990168</v>
      </c>
      <c r="AE90" s="81">
        <v>7.9708727843539684</v>
      </c>
      <c r="AF90" s="81">
        <v>7.7219314499217448</v>
      </c>
      <c r="AG90" s="81">
        <v>7.4306133405413526</v>
      </c>
    </row>
    <row r="91" spans="1:62" x14ac:dyDescent="0.25">
      <c r="A91" s="77" t="s">
        <v>266</v>
      </c>
      <c r="B91" s="77" t="s">
        <v>267</v>
      </c>
      <c r="C91" s="78" t="s">
        <v>308</v>
      </c>
      <c r="D91" s="78" t="s">
        <v>285</v>
      </c>
      <c r="E91" s="77" t="s">
        <v>239</v>
      </c>
      <c r="F91" s="81">
        <v>18.366622282608699</v>
      </c>
      <c r="G91" s="81">
        <v>12.485108561250602</v>
      </c>
      <c r="H91" s="81">
        <v>9.9554267574379924</v>
      </c>
      <c r="I91" s="81">
        <v>6.8334003870093101</v>
      </c>
      <c r="J91" s="81">
        <v>7.1312165235638121</v>
      </c>
      <c r="K91" s="81">
        <v>8.2211798553368354</v>
      </c>
      <c r="L91" s="81">
        <v>7.6767935082113539</v>
      </c>
      <c r="M91" s="81">
        <v>7.1198823043995727</v>
      </c>
      <c r="N91" s="81">
        <v>7.2027576839077145</v>
      </c>
      <c r="O91" s="81">
        <v>7.4011956196855806</v>
      </c>
      <c r="P91" s="81">
        <v>7.2516836402609028</v>
      </c>
      <c r="Q91" s="81">
        <v>6.0047665868372668</v>
      </c>
      <c r="R91" s="81">
        <v>6.0742020245261852</v>
      </c>
      <c r="S91" s="81">
        <v>6.2978696268399199</v>
      </c>
      <c r="T91" s="81">
        <v>6.565734207148588</v>
      </c>
      <c r="U91" s="81">
        <v>6.7483826524304291</v>
      </c>
      <c r="V91" s="81">
        <v>6.8077158178015527</v>
      </c>
      <c r="W91" s="81">
        <v>6.6163178334885879</v>
      </c>
      <c r="X91" s="81">
        <v>6.6588187913849497</v>
      </c>
      <c r="Y91" s="81">
        <v>6.5252609839988525</v>
      </c>
      <c r="Z91" s="81">
        <v>6.6325443451623549</v>
      </c>
      <c r="AA91" s="81">
        <v>6.7051404169485096</v>
      </c>
      <c r="AB91" s="81">
        <v>6.7405050046270887</v>
      </c>
      <c r="AC91" s="81">
        <v>6.5974233076536937</v>
      </c>
      <c r="AD91" s="81">
        <v>6.4786492517712917</v>
      </c>
      <c r="AE91" s="81">
        <v>6.3906376610929696</v>
      </c>
      <c r="AF91" s="81">
        <v>6.341365125594586</v>
      </c>
      <c r="AG91" s="81">
        <v>6.1878475015685632</v>
      </c>
    </row>
    <row r="92" spans="1:62" x14ac:dyDescent="0.25">
      <c r="A92" s="77" t="s">
        <v>266</v>
      </c>
      <c r="B92" s="77" t="s">
        <v>267</v>
      </c>
      <c r="C92" s="78" t="s">
        <v>286</v>
      </c>
      <c r="D92" s="78" t="s">
        <v>287</v>
      </c>
      <c r="E92" s="77" t="s">
        <v>206</v>
      </c>
      <c r="F92" s="81">
        <v>10.541406450933867</v>
      </c>
      <c r="G92" s="81">
        <v>7.0987649674941062</v>
      </c>
      <c r="H92" s="81">
        <v>8.2997034944517623</v>
      </c>
      <c r="I92" s="81">
        <v>6.0709223002604711</v>
      </c>
      <c r="J92" s="81">
        <v>6.2417408114743802</v>
      </c>
      <c r="K92" s="81">
        <v>6.3994156977316674</v>
      </c>
      <c r="L92" s="81">
        <v>5.7437385323331052</v>
      </c>
      <c r="M92" s="81">
        <v>5.4954593890000574</v>
      </c>
      <c r="N92" s="81">
        <v>5.7404111693458812</v>
      </c>
      <c r="O92" s="81">
        <v>5.9254573231502343</v>
      </c>
      <c r="P92" s="81">
        <v>5.9048533132089407</v>
      </c>
      <c r="Q92" s="81">
        <v>4.971402864663041</v>
      </c>
      <c r="R92" s="81">
        <v>5.2558386470328129</v>
      </c>
      <c r="S92" s="81">
        <v>5.5360566299188001</v>
      </c>
      <c r="T92" s="81">
        <v>5.7367719272852442</v>
      </c>
      <c r="U92" s="81">
        <v>5.957773816663007</v>
      </c>
      <c r="V92" s="81">
        <v>5.9872192297782503</v>
      </c>
      <c r="W92" s="81">
        <v>5.8130103372257329</v>
      </c>
      <c r="X92" s="81">
        <v>5.9206939506227192</v>
      </c>
      <c r="Y92" s="81">
        <v>5.8471310464569211</v>
      </c>
      <c r="Z92" s="81">
        <v>5.7990505664033947</v>
      </c>
      <c r="AA92" s="81">
        <v>5.8512442936578388</v>
      </c>
      <c r="AB92" s="81">
        <v>5.9180754890246368</v>
      </c>
      <c r="AC92" s="81">
        <v>5.827330155627175</v>
      </c>
      <c r="AD92" s="81">
        <v>5.7654804703818332</v>
      </c>
      <c r="AE92" s="81">
        <v>5.7222613976691337</v>
      </c>
      <c r="AF92" s="81">
        <v>5.6778782135797625</v>
      </c>
      <c r="AG92" s="81">
        <v>5.5419025313834664</v>
      </c>
    </row>
    <row r="93" spans="1:62" x14ac:dyDescent="0.25">
      <c r="A93" s="77" t="s">
        <v>266</v>
      </c>
      <c r="B93" s="77" t="s">
        <v>267</v>
      </c>
      <c r="C93" s="78" t="s">
        <v>288</v>
      </c>
      <c r="D93" s="78" t="s">
        <v>287</v>
      </c>
      <c r="E93" s="77" t="s">
        <v>208</v>
      </c>
      <c r="F93" s="81">
        <v>10.541406450933867</v>
      </c>
      <c r="G93" s="81">
        <v>7.0987649674941062</v>
      </c>
      <c r="H93" s="81">
        <v>8.2997034944517623</v>
      </c>
      <c r="I93" s="81">
        <v>6.0709223002604711</v>
      </c>
      <c r="J93" s="81">
        <v>6.2417408114743802</v>
      </c>
      <c r="K93" s="81">
        <v>6.3994156977316674</v>
      </c>
      <c r="L93" s="81">
        <v>5.7437385323331052</v>
      </c>
      <c r="M93" s="81">
        <v>5.4954593890000574</v>
      </c>
      <c r="N93" s="81">
        <v>5.7404111693458812</v>
      </c>
      <c r="O93" s="81">
        <v>5.9254573231502343</v>
      </c>
      <c r="P93" s="81">
        <v>5.9048533132089407</v>
      </c>
      <c r="Q93" s="81">
        <v>4.971402864663041</v>
      </c>
      <c r="R93" s="81">
        <v>5.2558386470328129</v>
      </c>
      <c r="S93" s="81">
        <v>5.5360566299188001</v>
      </c>
      <c r="T93" s="81">
        <v>5.7367719272852442</v>
      </c>
      <c r="U93" s="81">
        <v>5.957773816663007</v>
      </c>
      <c r="V93" s="81">
        <v>5.9872192297782503</v>
      </c>
      <c r="W93" s="81">
        <v>5.8130103372257329</v>
      </c>
      <c r="X93" s="81">
        <v>5.9206939506227192</v>
      </c>
      <c r="Y93" s="81">
        <v>5.8471310464569211</v>
      </c>
      <c r="Z93" s="81">
        <v>5.7990505664033947</v>
      </c>
      <c r="AA93" s="81">
        <v>5.8512442936578388</v>
      </c>
      <c r="AB93" s="81">
        <v>5.9180754890246368</v>
      </c>
      <c r="AC93" s="81">
        <v>5.827330155627175</v>
      </c>
      <c r="AD93" s="81">
        <v>5.7654804703818332</v>
      </c>
      <c r="AE93" s="81">
        <v>5.7222613976691337</v>
      </c>
      <c r="AF93" s="81">
        <v>5.6778782135797625</v>
      </c>
      <c r="AG93" s="81">
        <v>5.5419025313834664</v>
      </c>
    </row>
    <row r="94" spans="1:62" x14ac:dyDescent="0.25">
      <c r="A94" s="77" t="s">
        <v>266</v>
      </c>
      <c r="B94" s="77" t="s">
        <v>267</v>
      </c>
      <c r="C94" s="78" t="s">
        <v>289</v>
      </c>
      <c r="D94" s="78" t="s">
        <v>287</v>
      </c>
      <c r="E94" s="77" t="s">
        <v>212</v>
      </c>
      <c r="F94" s="81">
        <v>10.541406450933867</v>
      </c>
      <c r="G94" s="81">
        <v>7.0987649674941062</v>
      </c>
      <c r="H94" s="81">
        <v>8.2997034944517623</v>
      </c>
      <c r="I94" s="81">
        <v>6.0709223002604711</v>
      </c>
      <c r="J94" s="81">
        <v>6.2417408114743802</v>
      </c>
      <c r="K94" s="81">
        <v>6.3994156977316674</v>
      </c>
      <c r="L94" s="81">
        <v>5.7437385323331052</v>
      </c>
      <c r="M94" s="81">
        <v>5.4954593890000574</v>
      </c>
      <c r="N94" s="81">
        <v>5.7404111693458812</v>
      </c>
      <c r="O94" s="81">
        <v>5.9254573231502343</v>
      </c>
      <c r="P94" s="81">
        <v>5.9048533132089407</v>
      </c>
      <c r="Q94" s="81">
        <v>4.971402864663041</v>
      </c>
      <c r="R94" s="81">
        <v>5.2558386470328129</v>
      </c>
      <c r="S94" s="81">
        <v>5.5360566299188001</v>
      </c>
      <c r="T94" s="81">
        <v>5.7367719272852442</v>
      </c>
      <c r="U94" s="81">
        <v>5.957773816663007</v>
      </c>
      <c r="V94" s="81">
        <v>5.9872192297782503</v>
      </c>
      <c r="W94" s="81">
        <v>5.8130103372257329</v>
      </c>
      <c r="X94" s="81">
        <v>5.9206939506227192</v>
      </c>
      <c r="Y94" s="81">
        <v>5.8471310464569211</v>
      </c>
      <c r="Z94" s="81">
        <v>5.7990505664033947</v>
      </c>
      <c r="AA94" s="81">
        <v>5.8512442936578388</v>
      </c>
      <c r="AB94" s="81">
        <v>5.9180754890246368</v>
      </c>
      <c r="AC94" s="81">
        <v>5.827330155627175</v>
      </c>
      <c r="AD94" s="81">
        <v>5.7654804703818332</v>
      </c>
      <c r="AE94" s="81">
        <v>5.7222613976691337</v>
      </c>
      <c r="AF94" s="81">
        <v>5.6778782135797625</v>
      </c>
      <c r="AG94" s="81">
        <v>5.5419025313834664</v>
      </c>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row>
    <row r="95" spans="1:62" x14ac:dyDescent="0.25">
      <c r="A95" s="77" t="s">
        <v>266</v>
      </c>
      <c r="B95" s="77" t="s">
        <v>267</v>
      </c>
      <c r="C95" s="78" t="s">
        <v>290</v>
      </c>
      <c r="D95" s="78" t="s">
        <v>287</v>
      </c>
      <c r="E95" s="77" t="s">
        <v>215</v>
      </c>
      <c r="F95" s="81">
        <v>10.541406450933867</v>
      </c>
      <c r="G95" s="81">
        <v>7.0987649674941062</v>
      </c>
      <c r="H95" s="81">
        <v>8.2997034944517623</v>
      </c>
      <c r="I95" s="81">
        <v>6.0709223002604711</v>
      </c>
      <c r="J95" s="81">
        <v>6.2417408114743802</v>
      </c>
      <c r="K95" s="81">
        <v>6.3994156977316674</v>
      </c>
      <c r="L95" s="81">
        <v>5.7437385323331052</v>
      </c>
      <c r="M95" s="81">
        <v>5.4954593890000574</v>
      </c>
      <c r="N95" s="81">
        <v>5.7404111693458812</v>
      </c>
      <c r="O95" s="81">
        <v>5.9254573231502343</v>
      </c>
      <c r="P95" s="81">
        <v>5.9048533132089407</v>
      </c>
      <c r="Q95" s="81">
        <v>4.971402864663041</v>
      </c>
      <c r="R95" s="81">
        <v>5.2558386470328129</v>
      </c>
      <c r="S95" s="81">
        <v>5.5360566299188001</v>
      </c>
      <c r="T95" s="81">
        <v>5.7367719272852442</v>
      </c>
      <c r="U95" s="81">
        <v>5.957773816663007</v>
      </c>
      <c r="V95" s="81">
        <v>5.9872192297782503</v>
      </c>
      <c r="W95" s="81">
        <v>5.8130103372257329</v>
      </c>
      <c r="X95" s="81">
        <v>5.9206939506227192</v>
      </c>
      <c r="Y95" s="81">
        <v>5.8471310464569211</v>
      </c>
      <c r="Z95" s="81">
        <v>5.7990505664033947</v>
      </c>
      <c r="AA95" s="81">
        <v>5.8512442936578388</v>
      </c>
      <c r="AB95" s="81">
        <v>5.9180754890246368</v>
      </c>
      <c r="AC95" s="81">
        <v>5.827330155627175</v>
      </c>
      <c r="AD95" s="81">
        <v>5.7654804703818332</v>
      </c>
      <c r="AE95" s="81">
        <v>5.7222613976691337</v>
      </c>
      <c r="AF95" s="81">
        <v>5.6778782135797625</v>
      </c>
      <c r="AG95" s="81">
        <v>5.5419025313834664</v>
      </c>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row>
    <row r="96" spans="1:62" x14ac:dyDescent="0.25">
      <c r="A96" s="77" t="s">
        <v>266</v>
      </c>
      <c r="B96" s="77" t="s">
        <v>267</v>
      </c>
      <c r="C96" s="78" t="s">
        <v>291</v>
      </c>
      <c r="D96" s="78" t="s">
        <v>287</v>
      </c>
      <c r="E96" s="77" t="s">
        <v>218</v>
      </c>
      <c r="F96" s="81">
        <v>10.541406450933867</v>
      </c>
      <c r="G96" s="81">
        <v>7.0987649674941062</v>
      </c>
      <c r="H96" s="81">
        <v>8.2997034944517623</v>
      </c>
      <c r="I96" s="81">
        <v>6.0709223002604711</v>
      </c>
      <c r="J96" s="81">
        <v>6.2417408114743802</v>
      </c>
      <c r="K96" s="81">
        <v>6.3994156977316674</v>
      </c>
      <c r="L96" s="81">
        <v>5.7437385323331052</v>
      </c>
      <c r="M96" s="81">
        <v>5.4954593890000574</v>
      </c>
      <c r="N96" s="81">
        <v>5.7404111693458812</v>
      </c>
      <c r="O96" s="81">
        <v>5.9254573231502343</v>
      </c>
      <c r="P96" s="81">
        <v>5.9048533132089407</v>
      </c>
      <c r="Q96" s="81">
        <v>4.971402864663041</v>
      </c>
      <c r="R96" s="81">
        <v>5.2558386470328129</v>
      </c>
      <c r="S96" s="81">
        <v>5.5360566299188001</v>
      </c>
      <c r="T96" s="81">
        <v>5.7367719272852442</v>
      </c>
      <c r="U96" s="81">
        <v>5.957773816663007</v>
      </c>
      <c r="V96" s="81">
        <v>5.9872192297782503</v>
      </c>
      <c r="W96" s="81">
        <v>5.8130103372257329</v>
      </c>
      <c r="X96" s="81">
        <v>5.9206939506227192</v>
      </c>
      <c r="Y96" s="81">
        <v>5.8471310464569211</v>
      </c>
      <c r="Z96" s="81">
        <v>5.7990505664033947</v>
      </c>
      <c r="AA96" s="81">
        <v>5.8512442936578388</v>
      </c>
      <c r="AB96" s="81">
        <v>5.9180754890246368</v>
      </c>
      <c r="AC96" s="81">
        <v>5.827330155627175</v>
      </c>
      <c r="AD96" s="81">
        <v>5.7654804703818332</v>
      </c>
      <c r="AE96" s="81">
        <v>5.7222613976691337</v>
      </c>
      <c r="AF96" s="81">
        <v>5.6778782135797625</v>
      </c>
      <c r="AG96" s="81">
        <v>5.5419025313834664</v>
      </c>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row>
    <row r="97" spans="1:62" x14ac:dyDescent="0.25">
      <c r="A97" s="77" t="s">
        <v>266</v>
      </c>
      <c r="B97" s="77" t="s">
        <v>267</v>
      </c>
      <c r="C97" s="78" t="s">
        <v>292</v>
      </c>
      <c r="D97" s="78" t="s">
        <v>287</v>
      </c>
      <c r="E97" s="77" t="s">
        <v>221</v>
      </c>
      <c r="F97" s="81">
        <v>10.541406450933867</v>
      </c>
      <c r="G97" s="81">
        <v>7.0987649674941062</v>
      </c>
      <c r="H97" s="81">
        <v>8.2997034944517623</v>
      </c>
      <c r="I97" s="81">
        <v>6.0709223002604711</v>
      </c>
      <c r="J97" s="81">
        <v>6.2417408114743802</v>
      </c>
      <c r="K97" s="81">
        <v>6.3994156977316674</v>
      </c>
      <c r="L97" s="81">
        <v>5.7437385323331052</v>
      </c>
      <c r="M97" s="81">
        <v>5.4954593890000574</v>
      </c>
      <c r="N97" s="81">
        <v>5.7404111693458812</v>
      </c>
      <c r="O97" s="81">
        <v>5.9254573231502343</v>
      </c>
      <c r="P97" s="81">
        <v>5.9048533132089407</v>
      </c>
      <c r="Q97" s="81">
        <v>4.971402864663041</v>
      </c>
      <c r="R97" s="81">
        <v>5.2558386470328129</v>
      </c>
      <c r="S97" s="81">
        <v>5.5360566299188001</v>
      </c>
      <c r="T97" s="81">
        <v>5.7367719272852442</v>
      </c>
      <c r="U97" s="81">
        <v>5.957773816663007</v>
      </c>
      <c r="V97" s="81">
        <v>5.9872192297782503</v>
      </c>
      <c r="W97" s="81">
        <v>5.8130103372257329</v>
      </c>
      <c r="X97" s="81">
        <v>5.9206939506227192</v>
      </c>
      <c r="Y97" s="81">
        <v>5.8471310464569211</v>
      </c>
      <c r="Z97" s="81">
        <v>5.7990505664033947</v>
      </c>
      <c r="AA97" s="81">
        <v>5.8512442936578388</v>
      </c>
      <c r="AB97" s="81">
        <v>5.9180754890246368</v>
      </c>
      <c r="AC97" s="81">
        <v>5.827330155627175</v>
      </c>
      <c r="AD97" s="81">
        <v>5.7654804703818332</v>
      </c>
      <c r="AE97" s="81">
        <v>5.7222613976691337</v>
      </c>
      <c r="AF97" s="81">
        <v>5.6778782135797625</v>
      </c>
      <c r="AG97" s="81">
        <v>5.5419025313834664</v>
      </c>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row>
    <row r="98" spans="1:62" x14ac:dyDescent="0.25">
      <c r="A98" s="77" t="s">
        <v>266</v>
      </c>
      <c r="B98" s="77" t="s">
        <v>267</v>
      </c>
      <c r="C98" s="78" t="s">
        <v>293</v>
      </c>
      <c r="D98" s="78" t="s">
        <v>287</v>
      </c>
      <c r="E98" s="77" t="s">
        <v>223</v>
      </c>
      <c r="F98" s="81">
        <v>13.095919057141765</v>
      </c>
      <c r="G98" s="81">
        <v>11.644465341415771</v>
      </c>
      <c r="H98" s="81">
        <v>8.3882329062164693</v>
      </c>
      <c r="I98" s="81">
        <v>6.3998040443699571</v>
      </c>
      <c r="J98" s="81">
        <v>6.4975049757277015</v>
      </c>
      <c r="K98" s="81">
        <v>7.0729383030486632</v>
      </c>
      <c r="L98" s="81">
        <v>6.707057784101278</v>
      </c>
      <c r="M98" s="81">
        <v>6.4466155090567856</v>
      </c>
      <c r="N98" s="81">
        <v>6.6398736116962418</v>
      </c>
      <c r="O98" s="81">
        <v>6.7397311919366469</v>
      </c>
      <c r="P98" s="81">
        <v>6.664355819730841</v>
      </c>
      <c r="Q98" s="81">
        <v>5.5128250855985739</v>
      </c>
      <c r="R98" s="81">
        <v>5.7841564502688261</v>
      </c>
      <c r="S98" s="81">
        <v>6.0978673385071209</v>
      </c>
      <c r="T98" s="81">
        <v>6.3230344730401793</v>
      </c>
      <c r="U98" s="81">
        <v>6.6096874914086223</v>
      </c>
      <c r="V98" s="81">
        <v>6.7082137425960413</v>
      </c>
      <c r="W98" s="81">
        <v>6.5925970677741104</v>
      </c>
      <c r="X98" s="81">
        <v>6.8150539594649109</v>
      </c>
      <c r="Y98" s="81">
        <v>6.5959700414825653</v>
      </c>
      <c r="Z98" s="81">
        <v>6.9798146232286049</v>
      </c>
      <c r="AA98" s="81">
        <v>7.616406763968893</v>
      </c>
      <c r="AB98" s="81">
        <v>7.6270483588833624</v>
      </c>
      <c r="AC98" s="81">
        <v>7.3523686656465737</v>
      </c>
      <c r="AD98" s="81">
        <v>7.3251174710947033</v>
      </c>
      <c r="AE98" s="81">
        <v>7.0910493344673995</v>
      </c>
      <c r="AF98" s="81">
        <v>6.8769600973019349</v>
      </c>
      <c r="AG98" s="81">
        <v>6.5968108661327785</v>
      </c>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row>
    <row r="99" spans="1:62" x14ac:dyDescent="0.25">
      <c r="A99" s="77" t="s">
        <v>266</v>
      </c>
      <c r="B99" s="77" t="s">
        <v>267</v>
      </c>
      <c r="C99" s="78" t="s">
        <v>294</v>
      </c>
      <c r="D99" s="78" t="s">
        <v>287</v>
      </c>
      <c r="E99" s="77" t="s">
        <v>225</v>
      </c>
      <c r="F99" s="81">
        <v>13.095919057141765</v>
      </c>
      <c r="G99" s="81">
        <v>11.644465341415771</v>
      </c>
      <c r="H99" s="81">
        <v>8.3882329062164693</v>
      </c>
      <c r="I99" s="81">
        <v>6.3998040443699571</v>
      </c>
      <c r="J99" s="81">
        <v>6.4975049757277015</v>
      </c>
      <c r="K99" s="81">
        <v>7.0729383030486632</v>
      </c>
      <c r="L99" s="81">
        <v>6.707057784101278</v>
      </c>
      <c r="M99" s="81">
        <v>6.4466155090567856</v>
      </c>
      <c r="N99" s="81">
        <v>6.6398736116962418</v>
      </c>
      <c r="O99" s="81">
        <v>6.7397311919366469</v>
      </c>
      <c r="P99" s="81">
        <v>6.664355819730841</v>
      </c>
      <c r="Q99" s="81">
        <v>5.5128250855985739</v>
      </c>
      <c r="R99" s="81">
        <v>5.7841564502688261</v>
      </c>
      <c r="S99" s="81">
        <v>6.0978673385071209</v>
      </c>
      <c r="T99" s="81">
        <v>6.3230344730401793</v>
      </c>
      <c r="U99" s="81">
        <v>6.6096874914086223</v>
      </c>
      <c r="V99" s="81">
        <v>6.7082137425960413</v>
      </c>
      <c r="W99" s="81">
        <v>6.5925970677741104</v>
      </c>
      <c r="X99" s="81">
        <v>6.8150539594649109</v>
      </c>
      <c r="Y99" s="81">
        <v>6.5959700414825653</v>
      </c>
      <c r="Z99" s="81">
        <v>6.9798146232286049</v>
      </c>
      <c r="AA99" s="81">
        <v>7.616406763968893</v>
      </c>
      <c r="AB99" s="81">
        <v>7.6270483588833624</v>
      </c>
      <c r="AC99" s="81">
        <v>7.3523686656465737</v>
      </c>
      <c r="AD99" s="81">
        <v>7.3251174710947033</v>
      </c>
      <c r="AE99" s="81">
        <v>7.0910493344673995</v>
      </c>
      <c r="AF99" s="81">
        <v>6.8769600973019349</v>
      </c>
      <c r="AG99" s="81">
        <v>6.5968108661327785</v>
      </c>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c r="BI99" s="83"/>
      <c r="BJ99" s="83"/>
    </row>
    <row r="100" spans="1:62" x14ac:dyDescent="0.25">
      <c r="A100" s="77" t="s">
        <v>266</v>
      </c>
      <c r="B100" s="77" t="s">
        <v>267</v>
      </c>
      <c r="C100" s="78" t="s">
        <v>295</v>
      </c>
      <c r="D100" s="78" t="s">
        <v>287</v>
      </c>
      <c r="E100" s="77" t="s">
        <v>228</v>
      </c>
      <c r="F100" s="81">
        <v>13.095919057141765</v>
      </c>
      <c r="G100" s="81">
        <v>11.644465341415771</v>
      </c>
      <c r="H100" s="81">
        <v>8.3882329062164693</v>
      </c>
      <c r="I100" s="81">
        <v>6.3998040443699571</v>
      </c>
      <c r="J100" s="81">
        <v>6.4975049757277015</v>
      </c>
      <c r="K100" s="81">
        <v>7.0729383030486632</v>
      </c>
      <c r="L100" s="81">
        <v>6.707057784101278</v>
      </c>
      <c r="M100" s="81">
        <v>6.4466155090567856</v>
      </c>
      <c r="N100" s="81">
        <v>6.6398736116962418</v>
      </c>
      <c r="O100" s="81">
        <v>6.7397311919366469</v>
      </c>
      <c r="P100" s="81">
        <v>6.664355819730841</v>
      </c>
      <c r="Q100" s="81">
        <v>5.5128250855985739</v>
      </c>
      <c r="R100" s="81">
        <v>5.7841564502688261</v>
      </c>
      <c r="S100" s="81">
        <v>6.0978673385071209</v>
      </c>
      <c r="T100" s="81">
        <v>6.3230344730401793</v>
      </c>
      <c r="U100" s="81">
        <v>6.6096874914086223</v>
      </c>
      <c r="V100" s="81">
        <v>6.7082137425960413</v>
      </c>
      <c r="W100" s="81">
        <v>6.5925970677741104</v>
      </c>
      <c r="X100" s="81">
        <v>6.8150539594649109</v>
      </c>
      <c r="Y100" s="81">
        <v>6.5959700414825653</v>
      </c>
      <c r="Z100" s="81">
        <v>6.9798146232286049</v>
      </c>
      <c r="AA100" s="81">
        <v>7.616406763968893</v>
      </c>
      <c r="AB100" s="81">
        <v>7.6270483588833624</v>
      </c>
      <c r="AC100" s="81">
        <v>7.3523686656465737</v>
      </c>
      <c r="AD100" s="81">
        <v>7.3251174710947033</v>
      </c>
      <c r="AE100" s="81">
        <v>7.0910493344673995</v>
      </c>
      <c r="AF100" s="81">
        <v>6.8769600973019349</v>
      </c>
      <c r="AG100" s="81">
        <v>6.5968108661327785</v>
      </c>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row>
    <row r="101" spans="1:62" x14ac:dyDescent="0.25">
      <c r="A101" s="77" t="s">
        <v>266</v>
      </c>
      <c r="B101" s="77" t="s">
        <v>267</v>
      </c>
      <c r="C101" s="78" t="s">
        <v>296</v>
      </c>
      <c r="D101" s="78" t="s">
        <v>287</v>
      </c>
      <c r="E101" s="77" t="s">
        <v>232</v>
      </c>
      <c r="F101" s="81">
        <v>13.645624301515621</v>
      </c>
      <c r="G101" s="81">
        <v>12.85872777006608</v>
      </c>
      <c r="H101" s="81">
        <v>13.953660024024401</v>
      </c>
      <c r="I101" s="81">
        <v>18.687582949290704</v>
      </c>
      <c r="J101" s="81">
        <v>15.844831787141285</v>
      </c>
      <c r="K101" s="81">
        <v>14.863404911597524</v>
      </c>
      <c r="L101" s="81">
        <v>13.957262389487083</v>
      </c>
      <c r="M101" s="81">
        <v>13.051785438053024</v>
      </c>
      <c r="N101" s="81">
        <v>12.701304897210658</v>
      </c>
      <c r="O101" s="81">
        <v>11.998257868191128</v>
      </c>
      <c r="P101" s="81">
        <v>11.680831607089624</v>
      </c>
      <c r="Q101" s="81">
        <v>9.4287642213836964</v>
      </c>
      <c r="R101" s="81">
        <v>9.3820501553480025</v>
      </c>
      <c r="S101" s="81">
        <v>9.1645594961773416</v>
      </c>
      <c r="T101" s="81">
        <v>9.1212739670386078</v>
      </c>
      <c r="U101" s="81">
        <v>9.0256691369519277</v>
      </c>
      <c r="V101" s="81">
        <v>9.0074164007592277</v>
      </c>
      <c r="W101" s="81">
        <v>8.7006700441715381</v>
      </c>
      <c r="X101" s="81">
        <v>8.9453115097487963</v>
      </c>
      <c r="Y101" s="81">
        <v>8.6047079364614252</v>
      </c>
      <c r="Z101" s="81">
        <v>8.2762471082308142</v>
      </c>
      <c r="AA101" s="81">
        <v>8.5944068074480882</v>
      </c>
      <c r="AB101" s="81">
        <v>8.5926417014038226</v>
      </c>
      <c r="AC101" s="81">
        <v>8.2821274131713203</v>
      </c>
      <c r="AD101" s="81">
        <v>8.2623031477990168</v>
      </c>
      <c r="AE101" s="81">
        <v>7.9708727843539684</v>
      </c>
      <c r="AF101" s="81">
        <v>7.7219314499217448</v>
      </c>
      <c r="AG101" s="81">
        <v>7.4306133405413526</v>
      </c>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row>
    <row r="102" spans="1:62" x14ac:dyDescent="0.25">
      <c r="A102" s="77" t="s">
        <v>266</v>
      </c>
      <c r="B102" s="77" t="s">
        <v>267</v>
      </c>
      <c r="C102" s="78" t="s">
        <v>297</v>
      </c>
      <c r="D102" s="78" t="s">
        <v>287</v>
      </c>
      <c r="E102" s="77" t="s">
        <v>239</v>
      </c>
      <c r="F102" s="81">
        <v>18.366622282608699</v>
      </c>
      <c r="G102" s="81">
        <v>12.485108561250602</v>
      </c>
      <c r="H102" s="81">
        <v>9.9554267574379924</v>
      </c>
      <c r="I102" s="81">
        <v>6.8334003870093101</v>
      </c>
      <c r="J102" s="81">
        <v>7.1312165235638121</v>
      </c>
      <c r="K102" s="81">
        <v>8.2211798553368354</v>
      </c>
      <c r="L102" s="81">
        <v>7.6767935082113539</v>
      </c>
      <c r="M102" s="81">
        <v>7.1198823043995727</v>
      </c>
      <c r="N102" s="81">
        <v>7.2027576839077145</v>
      </c>
      <c r="O102" s="81">
        <v>7.4011956196855806</v>
      </c>
      <c r="P102" s="81">
        <v>7.2516836402609028</v>
      </c>
      <c r="Q102" s="81">
        <v>6.0047665868372668</v>
      </c>
      <c r="R102" s="81">
        <v>6.0742020245261852</v>
      </c>
      <c r="S102" s="81">
        <v>6.2978696268399199</v>
      </c>
      <c r="T102" s="81">
        <v>6.565734207148588</v>
      </c>
      <c r="U102" s="81">
        <v>6.7483826524304291</v>
      </c>
      <c r="V102" s="81">
        <v>6.8077158178015527</v>
      </c>
      <c r="W102" s="81">
        <v>6.6163178334885879</v>
      </c>
      <c r="X102" s="81">
        <v>6.6588187913849497</v>
      </c>
      <c r="Y102" s="81">
        <v>6.5252609839988525</v>
      </c>
      <c r="Z102" s="81">
        <v>6.6325443451623549</v>
      </c>
      <c r="AA102" s="81">
        <v>6.7051404169485096</v>
      </c>
      <c r="AB102" s="81">
        <v>6.7405050046270887</v>
      </c>
      <c r="AC102" s="81">
        <v>6.5974233076536937</v>
      </c>
      <c r="AD102" s="81">
        <v>6.4786492517712917</v>
      </c>
      <c r="AE102" s="81">
        <v>6.3906376610929696</v>
      </c>
      <c r="AF102" s="81">
        <v>6.341365125594586</v>
      </c>
      <c r="AG102" s="81">
        <v>6.1878475015685632</v>
      </c>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row>
    <row r="103" spans="1:62" x14ac:dyDescent="0.25">
      <c r="A103" s="77" t="s">
        <v>266</v>
      </c>
      <c r="B103" s="77" t="s">
        <v>267</v>
      </c>
      <c r="C103" s="78" t="s">
        <v>335</v>
      </c>
      <c r="D103" s="78" t="s">
        <v>210</v>
      </c>
      <c r="E103" s="77" t="s">
        <v>206</v>
      </c>
      <c r="F103" s="81">
        <v>10.541406450933867</v>
      </c>
      <c r="G103" s="81">
        <v>7.0987649674941062</v>
      </c>
      <c r="H103" s="81">
        <v>8.2997034944517623</v>
      </c>
      <c r="I103" s="81">
        <v>6.0709223002604711</v>
      </c>
      <c r="J103" s="81">
        <v>6.2417408114743802</v>
      </c>
      <c r="K103" s="81">
        <v>6.3994156977316674</v>
      </c>
      <c r="L103" s="81">
        <v>5.7437385323331052</v>
      </c>
      <c r="M103" s="81">
        <v>5.4954593890000574</v>
      </c>
      <c r="N103" s="81">
        <v>5.7404111693458812</v>
      </c>
      <c r="O103" s="81">
        <v>5.9254573231502343</v>
      </c>
      <c r="P103" s="81">
        <v>5.9048533132089407</v>
      </c>
      <c r="Q103" s="81">
        <v>4.971402864663041</v>
      </c>
      <c r="R103" s="81">
        <v>5.2558386470328129</v>
      </c>
      <c r="S103" s="81">
        <v>5.5360566299188001</v>
      </c>
      <c r="T103" s="81">
        <v>5.7367719272852442</v>
      </c>
      <c r="U103" s="81">
        <v>5.957773816663007</v>
      </c>
      <c r="V103" s="81">
        <v>5.9872192297782503</v>
      </c>
      <c r="W103" s="81">
        <v>5.8130103372257329</v>
      </c>
      <c r="X103" s="81">
        <v>5.9206939506227192</v>
      </c>
      <c r="Y103" s="81">
        <v>5.8471310464569211</v>
      </c>
      <c r="Z103" s="81">
        <v>5.7990505664033947</v>
      </c>
      <c r="AA103" s="81">
        <v>5.8512442936578388</v>
      </c>
      <c r="AB103" s="81">
        <v>5.9180754890246368</v>
      </c>
      <c r="AC103" s="81">
        <v>5.827330155627175</v>
      </c>
      <c r="AD103" s="81">
        <v>5.7654804703818332</v>
      </c>
      <c r="AE103" s="81">
        <v>5.7222613976691337</v>
      </c>
      <c r="AF103" s="81">
        <v>5.6778782135797625</v>
      </c>
      <c r="AG103" s="81">
        <v>5.5419025313834664</v>
      </c>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row>
    <row r="104" spans="1:62" x14ac:dyDescent="0.25">
      <c r="A104" s="77" t="s">
        <v>266</v>
      </c>
      <c r="B104" s="77" t="s">
        <v>267</v>
      </c>
      <c r="C104" s="78" t="s">
        <v>336</v>
      </c>
      <c r="D104" s="78" t="s">
        <v>210</v>
      </c>
      <c r="E104" s="77" t="s">
        <v>208</v>
      </c>
      <c r="F104" s="81">
        <v>10.541406450933867</v>
      </c>
      <c r="G104" s="81">
        <v>7.0987649674941062</v>
      </c>
      <c r="H104" s="81">
        <v>8.2997034944517623</v>
      </c>
      <c r="I104" s="81">
        <v>6.0709223002604711</v>
      </c>
      <c r="J104" s="81">
        <v>6.2417408114743802</v>
      </c>
      <c r="K104" s="81">
        <v>6.3994156977316674</v>
      </c>
      <c r="L104" s="81">
        <v>5.7437385323331052</v>
      </c>
      <c r="M104" s="81">
        <v>5.4954593890000574</v>
      </c>
      <c r="N104" s="81">
        <v>5.7404111693458812</v>
      </c>
      <c r="O104" s="81">
        <v>5.9254573231502343</v>
      </c>
      <c r="P104" s="81">
        <v>5.9048533132089407</v>
      </c>
      <c r="Q104" s="81">
        <v>4.971402864663041</v>
      </c>
      <c r="R104" s="81">
        <v>5.2558386470328129</v>
      </c>
      <c r="S104" s="81">
        <v>5.5360566299188001</v>
      </c>
      <c r="T104" s="81">
        <v>5.7367719272852442</v>
      </c>
      <c r="U104" s="81">
        <v>5.957773816663007</v>
      </c>
      <c r="V104" s="81">
        <v>5.9872192297782503</v>
      </c>
      <c r="W104" s="81">
        <v>5.8130103372257329</v>
      </c>
      <c r="X104" s="81">
        <v>5.9206939506227192</v>
      </c>
      <c r="Y104" s="81">
        <v>5.8471310464569211</v>
      </c>
      <c r="Z104" s="81">
        <v>5.7990505664033947</v>
      </c>
      <c r="AA104" s="81">
        <v>5.8512442936578388</v>
      </c>
      <c r="AB104" s="81">
        <v>5.9180754890246368</v>
      </c>
      <c r="AC104" s="81">
        <v>5.827330155627175</v>
      </c>
      <c r="AD104" s="81">
        <v>5.7654804703818332</v>
      </c>
      <c r="AE104" s="81">
        <v>5.7222613976691337</v>
      </c>
      <c r="AF104" s="81">
        <v>5.6778782135797625</v>
      </c>
      <c r="AG104" s="81">
        <v>5.5419025313834664</v>
      </c>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row>
    <row r="105" spans="1:62" x14ac:dyDescent="0.25">
      <c r="A105" s="77" t="s">
        <v>266</v>
      </c>
      <c r="B105" s="77" t="s">
        <v>267</v>
      </c>
      <c r="C105" s="78" t="s">
        <v>337</v>
      </c>
      <c r="D105" s="78" t="s">
        <v>210</v>
      </c>
      <c r="E105" s="77" t="s">
        <v>212</v>
      </c>
      <c r="F105" s="81">
        <v>10.541406450933867</v>
      </c>
      <c r="G105" s="81">
        <v>7.0987649674941062</v>
      </c>
      <c r="H105" s="81">
        <v>8.2997034944517623</v>
      </c>
      <c r="I105" s="81">
        <v>6.0709223002604711</v>
      </c>
      <c r="J105" s="81">
        <v>6.2417408114743802</v>
      </c>
      <c r="K105" s="81">
        <v>6.3994156977316674</v>
      </c>
      <c r="L105" s="81">
        <v>5.7437385323331052</v>
      </c>
      <c r="M105" s="81">
        <v>5.4954593890000574</v>
      </c>
      <c r="N105" s="81">
        <v>5.7404111693458812</v>
      </c>
      <c r="O105" s="81">
        <v>5.9254573231502343</v>
      </c>
      <c r="P105" s="81">
        <v>5.9048533132089407</v>
      </c>
      <c r="Q105" s="81">
        <v>4.971402864663041</v>
      </c>
      <c r="R105" s="81">
        <v>5.2558386470328129</v>
      </c>
      <c r="S105" s="81">
        <v>5.5360566299188001</v>
      </c>
      <c r="T105" s="81">
        <v>5.7367719272852442</v>
      </c>
      <c r="U105" s="81">
        <v>5.957773816663007</v>
      </c>
      <c r="V105" s="81">
        <v>5.9872192297782503</v>
      </c>
      <c r="W105" s="81">
        <v>5.8130103372257329</v>
      </c>
      <c r="X105" s="81">
        <v>5.9206939506227192</v>
      </c>
      <c r="Y105" s="81">
        <v>5.8471310464569211</v>
      </c>
      <c r="Z105" s="81">
        <v>5.7990505664033947</v>
      </c>
      <c r="AA105" s="81">
        <v>5.8512442936578388</v>
      </c>
      <c r="AB105" s="81">
        <v>5.9180754890246368</v>
      </c>
      <c r="AC105" s="81">
        <v>5.827330155627175</v>
      </c>
      <c r="AD105" s="81">
        <v>5.7654804703818332</v>
      </c>
      <c r="AE105" s="81">
        <v>5.7222613976691337</v>
      </c>
      <c r="AF105" s="81">
        <v>5.6778782135797625</v>
      </c>
      <c r="AG105" s="81">
        <v>5.5419025313834664</v>
      </c>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row>
    <row r="106" spans="1:62" x14ac:dyDescent="0.25">
      <c r="A106" s="77" t="s">
        <v>266</v>
      </c>
      <c r="B106" s="77" t="s">
        <v>267</v>
      </c>
      <c r="C106" s="78" t="s">
        <v>338</v>
      </c>
      <c r="D106" s="78" t="s">
        <v>210</v>
      </c>
      <c r="E106" s="77" t="s">
        <v>215</v>
      </c>
      <c r="F106" s="81">
        <v>10.541406450933867</v>
      </c>
      <c r="G106" s="81">
        <v>7.0987649674941062</v>
      </c>
      <c r="H106" s="81">
        <v>8.2997034944517623</v>
      </c>
      <c r="I106" s="81">
        <v>6.0709223002604711</v>
      </c>
      <c r="J106" s="81">
        <v>6.2417408114743802</v>
      </c>
      <c r="K106" s="81">
        <v>6.3994156977316674</v>
      </c>
      <c r="L106" s="81">
        <v>5.7437385323331052</v>
      </c>
      <c r="M106" s="81">
        <v>5.4954593890000574</v>
      </c>
      <c r="N106" s="81">
        <v>5.7404111693458812</v>
      </c>
      <c r="O106" s="81">
        <v>5.9254573231502343</v>
      </c>
      <c r="P106" s="81">
        <v>5.9048533132089407</v>
      </c>
      <c r="Q106" s="81">
        <v>4.971402864663041</v>
      </c>
      <c r="R106" s="81">
        <v>5.2558386470328129</v>
      </c>
      <c r="S106" s="81">
        <v>5.5360566299188001</v>
      </c>
      <c r="T106" s="81">
        <v>5.7367719272852442</v>
      </c>
      <c r="U106" s="81">
        <v>5.957773816663007</v>
      </c>
      <c r="V106" s="81">
        <v>5.9872192297782503</v>
      </c>
      <c r="W106" s="81">
        <v>5.8130103372257329</v>
      </c>
      <c r="X106" s="81">
        <v>5.9206939506227192</v>
      </c>
      <c r="Y106" s="81">
        <v>5.8471310464569211</v>
      </c>
      <c r="Z106" s="81">
        <v>5.7990505664033947</v>
      </c>
      <c r="AA106" s="81">
        <v>5.8512442936578388</v>
      </c>
      <c r="AB106" s="81">
        <v>5.9180754890246368</v>
      </c>
      <c r="AC106" s="81">
        <v>5.827330155627175</v>
      </c>
      <c r="AD106" s="81">
        <v>5.7654804703818332</v>
      </c>
      <c r="AE106" s="81">
        <v>5.7222613976691337</v>
      </c>
      <c r="AF106" s="81">
        <v>5.6778782135797625</v>
      </c>
      <c r="AG106" s="81">
        <v>5.5419025313834664</v>
      </c>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row>
    <row r="107" spans="1:62" x14ac:dyDescent="0.25">
      <c r="A107" s="77" t="s">
        <v>266</v>
      </c>
      <c r="B107" s="77" t="s">
        <v>267</v>
      </c>
      <c r="C107" s="78" t="s">
        <v>339</v>
      </c>
      <c r="D107" s="78" t="s">
        <v>210</v>
      </c>
      <c r="E107" s="77" t="s">
        <v>218</v>
      </c>
      <c r="F107" s="81">
        <v>10.541406450933867</v>
      </c>
      <c r="G107" s="81">
        <v>7.0987649674941062</v>
      </c>
      <c r="H107" s="81">
        <v>8.2997034944517623</v>
      </c>
      <c r="I107" s="81">
        <v>6.0709223002604711</v>
      </c>
      <c r="J107" s="81">
        <v>6.2417408114743802</v>
      </c>
      <c r="K107" s="81">
        <v>6.3994156977316674</v>
      </c>
      <c r="L107" s="81">
        <v>5.7437385323331052</v>
      </c>
      <c r="M107" s="81">
        <v>5.4954593890000574</v>
      </c>
      <c r="N107" s="81">
        <v>5.7404111693458812</v>
      </c>
      <c r="O107" s="81">
        <v>5.9254573231502343</v>
      </c>
      <c r="P107" s="81">
        <v>5.9048533132089407</v>
      </c>
      <c r="Q107" s="81">
        <v>4.971402864663041</v>
      </c>
      <c r="R107" s="81">
        <v>5.2558386470328129</v>
      </c>
      <c r="S107" s="81">
        <v>5.5360566299188001</v>
      </c>
      <c r="T107" s="81">
        <v>5.7367719272852442</v>
      </c>
      <c r="U107" s="81">
        <v>5.957773816663007</v>
      </c>
      <c r="V107" s="81">
        <v>5.9872192297782503</v>
      </c>
      <c r="W107" s="81">
        <v>5.8130103372257329</v>
      </c>
      <c r="X107" s="81">
        <v>5.9206939506227192</v>
      </c>
      <c r="Y107" s="81">
        <v>5.8471310464569211</v>
      </c>
      <c r="Z107" s="81">
        <v>5.7990505664033947</v>
      </c>
      <c r="AA107" s="81">
        <v>5.8512442936578388</v>
      </c>
      <c r="AB107" s="81">
        <v>5.9180754890246368</v>
      </c>
      <c r="AC107" s="81">
        <v>5.827330155627175</v>
      </c>
      <c r="AD107" s="81">
        <v>5.7654804703818332</v>
      </c>
      <c r="AE107" s="81">
        <v>5.7222613976691337</v>
      </c>
      <c r="AF107" s="81">
        <v>5.6778782135797625</v>
      </c>
      <c r="AG107" s="81">
        <v>5.5419025313834664</v>
      </c>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row>
    <row r="108" spans="1:62" x14ac:dyDescent="0.25">
      <c r="A108" s="77" t="s">
        <v>266</v>
      </c>
      <c r="B108" s="77" t="s">
        <v>267</v>
      </c>
      <c r="C108" s="78" t="s">
        <v>340</v>
      </c>
      <c r="D108" s="78" t="s">
        <v>210</v>
      </c>
      <c r="E108" s="77" t="s">
        <v>221</v>
      </c>
      <c r="F108" s="81">
        <v>10.541406450933867</v>
      </c>
      <c r="G108" s="81">
        <v>7.0987649674941062</v>
      </c>
      <c r="H108" s="81">
        <v>8.2997034944517623</v>
      </c>
      <c r="I108" s="81">
        <v>6.0709223002604711</v>
      </c>
      <c r="J108" s="81">
        <v>6.2417408114743802</v>
      </c>
      <c r="K108" s="81">
        <v>6.3994156977316674</v>
      </c>
      <c r="L108" s="81">
        <v>5.7437385323331052</v>
      </c>
      <c r="M108" s="81">
        <v>5.4954593890000574</v>
      </c>
      <c r="N108" s="81">
        <v>5.7404111693458812</v>
      </c>
      <c r="O108" s="81">
        <v>5.9254573231502343</v>
      </c>
      <c r="P108" s="81">
        <v>5.9048533132089407</v>
      </c>
      <c r="Q108" s="81">
        <v>4.971402864663041</v>
      </c>
      <c r="R108" s="81">
        <v>5.2558386470328129</v>
      </c>
      <c r="S108" s="81">
        <v>5.5360566299188001</v>
      </c>
      <c r="T108" s="81">
        <v>5.7367719272852442</v>
      </c>
      <c r="U108" s="81">
        <v>5.957773816663007</v>
      </c>
      <c r="V108" s="81">
        <v>5.9872192297782503</v>
      </c>
      <c r="W108" s="81">
        <v>5.8130103372257329</v>
      </c>
      <c r="X108" s="81">
        <v>5.9206939506227192</v>
      </c>
      <c r="Y108" s="81">
        <v>5.8471310464569211</v>
      </c>
      <c r="Z108" s="81">
        <v>5.7990505664033947</v>
      </c>
      <c r="AA108" s="81">
        <v>5.8512442936578388</v>
      </c>
      <c r="AB108" s="81">
        <v>5.9180754890246368</v>
      </c>
      <c r="AC108" s="81">
        <v>5.827330155627175</v>
      </c>
      <c r="AD108" s="81">
        <v>5.7654804703818332</v>
      </c>
      <c r="AE108" s="81">
        <v>5.7222613976691337</v>
      </c>
      <c r="AF108" s="81">
        <v>5.6778782135797625</v>
      </c>
      <c r="AG108" s="81">
        <v>5.5419025313834664</v>
      </c>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c r="BI108" s="83"/>
      <c r="BJ108" s="83"/>
    </row>
    <row r="109" spans="1:62" x14ac:dyDescent="0.25">
      <c r="A109" s="77" t="s">
        <v>266</v>
      </c>
      <c r="B109" s="77" t="s">
        <v>267</v>
      </c>
      <c r="C109" s="78" t="s">
        <v>341</v>
      </c>
      <c r="D109" s="78" t="s">
        <v>210</v>
      </c>
      <c r="E109" s="77" t="s">
        <v>223</v>
      </c>
      <c r="F109" s="81">
        <v>13.095919057141765</v>
      </c>
      <c r="G109" s="81">
        <v>11.644465341415771</v>
      </c>
      <c r="H109" s="81">
        <v>8.3882329062164693</v>
      </c>
      <c r="I109" s="81">
        <v>6.3998040443699571</v>
      </c>
      <c r="J109" s="81">
        <v>6.4975049757277015</v>
      </c>
      <c r="K109" s="81">
        <v>7.0729383030486632</v>
      </c>
      <c r="L109" s="81">
        <v>6.707057784101278</v>
      </c>
      <c r="M109" s="81">
        <v>6.4466155090567856</v>
      </c>
      <c r="N109" s="81">
        <v>6.6398736116962418</v>
      </c>
      <c r="O109" s="81">
        <v>6.7397311919366469</v>
      </c>
      <c r="P109" s="81">
        <v>6.664355819730841</v>
      </c>
      <c r="Q109" s="81">
        <v>5.5128250855985739</v>
      </c>
      <c r="R109" s="81">
        <v>5.7841564502688261</v>
      </c>
      <c r="S109" s="81">
        <v>6.0978673385071209</v>
      </c>
      <c r="T109" s="81">
        <v>6.3230344730401793</v>
      </c>
      <c r="U109" s="81">
        <v>6.6096874914086223</v>
      </c>
      <c r="V109" s="81">
        <v>6.7082137425960413</v>
      </c>
      <c r="W109" s="81">
        <v>6.5925970677741104</v>
      </c>
      <c r="X109" s="81">
        <v>6.8150539594649109</v>
      </c>
      <c r="Y109" s="81">
        <v>6.5959700414825653</v>
      </c>
      <c r="Z109" s="81">
        <v>6.9798146232286049</v>
      </c>
      <c r="AA109" s="81">
        <v>7.616406763968893</v>
      </c>
      <c r="AB109" s="81">
        <v>7.6270483588833624</v>
      </c>
      <c r="AC109" s="81">
        <v>7.3523686656465737</v>
      </c>
      <c r="AD109" s="81">
        <v>7.3251174710947033</v>
      </c>
      <c r="AE109" s="81">
        <v>7.0910493344673995</v>
      </c>
      <c r="AF109" s="81">
        <v>6.8769600973019349</v>
      </c>
      <c r="AG109" s="81">
        <v>6.5968108661327785</v>
      </c>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row>
    <row r="110" spans="1:62" x14ac:dyDescent="0.25">
      <c r="A110" s="77" t="s">
        <v>266</v>
      </c>
      <c r="B110" s="77" t="s">
        <v>267</v>
      </c>
      <c r="C110" s="78" t="s">
        <v>342</v>
      </c>
      <c r="D110" s="78" t="s">
        <v>210</v>
      </c>
      <c r="E110" s="77" t="s">
        <v>225</v>
      </c>
      <c r="F110" s="81">
        <v>13.095919057141765</v>
      </c>
      <c r="G110" s="81">
        <v>11.644465341415771</v>
      </c>
      <c r="H110" s="81">
        <v>8.3882329062164693</v>
      </c>
      <c r="I110" s="81">
        <v>6.3998040443699571</v>
      </c>
      <c r="J110" s="81">
        <v>6.4975049757277015</v>
      </c>
      <c r="K110" s="81">
        <v>7.0729383030486632</v>
      </c>
      <c r="L110" s="81">
        <v>6.707057784101278</v>
      </c>
      <c r="M110" s="81">
        <v>6.4466155090567856</v>
      </c>
      <c r="N110" s="81">
        <v>6.6398736116962418</v>
      </c>
      <c r="O110" s="81">
        <v>6.7397311919366469</v>
      </c>
      <c r="P110" s="81">
        <v>6.664355819730841</v>
      </c>
      <c r="Q110" s="81">
        <v>5.5128250855985739</v>
      </c>
      <c r="R110" s="81">
        <v>5.7841564502688261</v>
      </c>
      <c r="S110" s="81">
        <v>6.0978673385071209</v>
      </c>
      <c r="T110" s="81">
        <v>6.3230344730401793</v>
      </c>
      <c r="U110" s="81">
        <v>6.6096874914086223</v>
      </c>
      <c r="V110" s="81">
        <v>6.7082137425960413</v>
      </c>
      <c r="W110" s="81">
        <v>6.5925970677741104</v>
      </c>
      <c r="X110" s="81">
        <v>6.8150539594649109</v>
      </c>
      <c r="Y110" s="81">
        <v>6.5959700414825653</v>
      </c>
      <c r="Z110" s="81">
        <v>6.9798146232286049</v>
      </c>
      <c r="AA110" s="81">
        <v>7.616406763968893</v>
      </c>
      <c r="AB110" s="81">
        <v>7.6270483588833624</v>
      </c>
      <c r="AC110" s="81">
        <v>7.3523686656465737</v>
      </c>
      <c r="AD110" s="81">
        <v>7.3251174710947033</v>
      </c>
      <c r="AE110" s="81">
        <v>7.0910493344673995</v>
      </c>
      <c r="AF110" s="81">
        <v>6.8769600973019349</v>
      </c>
      <c r="AG110" s="81">
        <v>6.5968108661327785</v>
      </c>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row>
    <row r="111" spans="1:62" x14ac:dyDescent="0.25">
      <c r="A111" s="77" t="s">
        <v>266</v>
      </c>
      <c r="B111" s="77" t="s">
        <v>267</v>
      </c>
      <c r="C111" s="78" t="s">
        <v>343</v>
      </c>
      <c r="D111" s="78" t="s">
        <v>210</v>
      </c>
      <c r="E111" s="77" t="s">
        <v>228</v>
      </c>
      <c r="F111" s="81">
        <v>13.095919057141765</v>
      </c>
      <c r="G111" s="81">
        <v>11.644465341415771</v>
      </c>
      <c r="H111" s="81">
        <v>8.3882329062164693</v>
      </c>
      <c r="I111" s="81">
        <v>6.3998040443699571</v>
      </c>
      <c r="J111" s="81">
        <v>6.4975049757277015</v>
      </c>
      <c r="K111" s="81">
        <v>7.0729383030486632</v>
      </c>
      <c r="L111" s="81">
        <v>6.707057784101278</v>
      </c>
      <c r="M111" s="81">
        <v>6.4466155090567856</v>
      </c>
      <c r="N111" s="81">
        <v>6.6398736116962418</v>
      </c>
      <c r="O111" s="81">
        <v>6.7397311919366469</v>
      </c>
      <c r="P111" s="81">
        <v>6.664355819730841</v>
      </c>
      <c r="Q111" s="81">
        <v>5.5128250855985739</v>
      </c>
      <c r="R111" s="81">
        <v>5.7841564502688261</v>
      </c>
      <c r="S111" s="81">
        <v>6.0978673385071209</v>
      </c>
      <c r="T111" s="81">
        <v>6.3230344730401793</v>
      </c>
      <c r="U111" s="81">
        <v>6.6096874914086223</v>
      </c>
      <c r="V111" s="81">
        <v>6.7082137425960413</v>
      </c>
      <c r="W111" s="81">
        <v>6.5925970677741104</v>
      </c>
      <c r="X111" s="81">
        <v>6.8150539594649109</v>
      </c>
      <c r="Y111" s="81">
        <v>6.5959700414825653</v>
      </c>
      <c r="Z111" s="81">
        <v>6.9798146232286049</v>
      </c>
      <c r="AA111" s="81">
        <v>7.616406763968893</v>
      </c>
      <c r="AB111" s="81">
        <v>7.6270483588833624</v>
      </c>
      <c r="AC111" s="81">
        <v>7.3523686656465737</v>
      </c>
      <c r="AD111" s="81">
        <v>7.3251174710947033</v>
      </c>
      <c r="AE111" s="81">
        <v>7.0910493344673995</v>
      </c>
      <c r="AF111" s="81">
        <v>6.8769600973019349</v>
      </c>
      <c r="AG111" s="81">
        <v>6.5968108661327785</v>
      </c>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c r="BI111" s="83"/>
      <c r="BJ111" s="83"/>
    </row>
    <row r="112" spans="1:62" x14ac:dyDescent="0.25">
      <c r="A112" s="77" t="s">
        <v>266</v>
      </c>
      <c r="B112" s="77" t="s">
        <v>267</v>
      </c>
      <c r="C112" s="78" t="s">
        <v>344</v>
      </c>
      <c r="D112" s="78" t="s">
        <v>210</v>
      </c>
      <c r="E112" s="77" t="s">
        <v>232</v>
      </c>
      <c r="F112" s="81">
        <v>13.645624301515621</v>
      </c>
      <c r="G112" s="81">
        <v>12.85872777006608</v>
      </c>
      <c r="H112" s="81">
        <v>13.953660024024401</v>
      </c>
      <c r="I112" s="81">
        <v>18.687582949290704</v>
      </c>
      <c r="J112" s="81">
        <v>15.844831787141285</v>
      </c>
      <c r="K112" s="81">
        <v>14.863404911597524</v>
      </c>
      <c r="L112" s="81">
        <v>13.957262389487083</v>
      </c>
      <c r="M112" s="81">
        <v>13.051785438053024</v>
      </c>
      <c r="N112" s="81">
        <v>12.701304897210658</v>
      </c>
      <c r="O112" s="81">
        <v>11.998257868191128</v>
      </c>
      <c r="P112" s="81">
        <v>11.680831607089624</v>
      </c>
      <c r="Q112" s="81">
        <v>9.4287642213836964</v>
      </c>
      <c r="R112" s="81">
        <v>9.3820501553480025</v>
      </c>
      <c r="S112" s="81">
        <v>9.1645594961773416</v>
      </c>
      <c r="T112" s="81">
        <v>9.1212739670386078</v>
      </c>
      <c r="U112" s="81">
        <v>9.0256691369519277</v>
      </c>
      <c r="V112" s="81">
        <v>9.0074164007592277</v>
      </c>
      <c r="W112" s="81">
        <v>8.7006700441715381</v>
      </c>
      <c r="X112" s="81">
        <v>8.9453115097487963</v>
      </c>
      <c r="Y112" s="81">
        <v>8.6047079364614252</v>
      </c>
      <c r="Z112" s="81">
        <v>8.2762471082308142</v>
      </c>
      <c r="AA112" s="81">
        <v>8.5944068074480882</v>
      </c>
      <c r="AB112" s="81">
        <v>8.5926417014038226</v>
      </c>
      <c r="AC112" s="81">
        <v>8.2821274131713203</v>
      </c>
      <c r="AD112" s="81">
        <v>8.2623031477990168</v>
      </c>
      <c r="AE112" s="81">
        <v>7.9708727843539684</v>
      </c>
      <c r="AF112" s="81">
        <v>7.7219314499217448</v>
      </c>
      <c r="AG112" s="81">
        <v>7.4306133405413526</v>
      </c>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c r="BI112" s="83"/>
      <c r="BJ112" s="83"/>
    </row>
    <row r="113" spans="1:62" x14ac:dyDescent="0.25">
      <c r="A113" s="77" t="s">
        <v>266</v>
      </c>
      <c r="B113" s="77" t="s">
        <v>267</v>
      </c>
      <c r="C113" s="78" t="s">
        <v>345</v>
      </c>
      <c r="D113" s="78" t="s">
        <v>210</v>
      </c>
      <c r="E113" s="77" t="s">
        <v>239</v>
      </c>
      <c r="F113" s="81">
        <v>18.366622282608699</v>
      </c>
      <c r="G113" s="81">
        <v>12.485108561250602</v>
      </c>
      <c r="H113" s="81">
        <v>9.9554267574379924</v>
      </c>
      <c r="I113" s="81">
        <v>6.8334003870093101</v>
      </c>
      <c r="J113" s="81">
        <v>7.1312165235638121</v>
      </c>
      <c r="K113" s="81">
        <v>8.2211798553368354</v>
      </c>
      <c r="L113" s="81">
        <v>7.6767935082113539</v>
      </c>
      <c r="M113" s="81">
        <v>7.1198823043995727</v>
      </c>
      <c r="N113" s="81">
        <v>7.2027576839077145</v>
      </c>
      <c r="O113" s="81">
        <v>7.4011956196855806</v>
      </c>
      <c r="P113" s="81">
        <v>7.2516836402609028</v>
      </c>
      <c r="Q113" s="81">
        <v>6.0047665868372668</v>
      </c>
      <c r="R113" s="81">
        <v>6.0742020245261852</v>
      </c>
      <c r="S113" s="81">
        <v>6.2978696268399199</v>
      </c>
      <c r="T113" s="81">
        <v>6.565734207148588</v>
      </c>
      <c r="U113" s="81">
        <v>6.7483826524304291</v>
      </c>
      <c r="V113" s="81">
        <v>6.8077158178015527</v>
      </c>
      <c r="W113" s="81">
        <v>6.6163178334885879</v>
      </c>
      <c r="X113" s="81">
        <v>6.6588187913849497</v>
      </c>
      <c r="Y113" s="81">
        <v>6.5252609839988525</v>
      </c>
      <c r="Z113" s="81">
        <v>6.6325443451623549</v>
      </c>
      <c r="AA113" s="81">
        <v>6.7051404169485096</v>
      </c>
      <c r="AB113" s="81">
        <v>6.7405050046270887</v>
      </c>
      <c r="AC113" s="81">
        <v>6.5974233076536937</v>
      </c>
      <c r="AD113" s="81">
        <v>6.4786492517712917</v>
      </c>
      <c r="AE113" s="81">
        <v>6.3906376610929696</v>
      </c>
      <c r="AF113" s="81">
        <v>6.341365125594586</v>
      </c>
      <c r="AG113" s="81">
        <v>6.1878475015685632</v>
      </c>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row>
    <row r="114" spans="1:62" x14ac:dyDescent="0.25">
      <c r="A114" s="77" t="s">
        <v>266</v>
      </c>
      <c r="B114" s="77" t="s">
        <v>267</v>
      </c>
      <c r="C114" s="78" t="s">
        <v>390</v>
      </c>
      <c r="D114" s="78" t="s">
        <v>219</v>
      </c>
      <c r="E114" s="77" t="s">
        <v>206</v>
      </c>
      <c r="F114" s="81">
        <v>3.8663977005350056</v>
      </c>
      <c r="G114" s="81">
        <v>2.6480420888931118</v>
      </c>
      <c r="H114" s="81">
        <v>7.9110773879429708</v>
      </c>
      <c r="I114" s="81">
        <v>7.3990272637876382</v>
      </c>
      <c r="J114" s="81">
        <v>8.2676786028529587</v>
      </c>
      <c r="K114" s="81">
        <v>9.4454798488670377</v>
      </c>
      <c r="L114" s="81">
        <v>9.3116342721175638</v>
      </c>
      <c r="M114" s="81">
        <v>12.023351145684751</v>
      </c>
      <c r="N114" s="81">
        <v>12.327014484603447</v>
      </c>
      <c r="O114" s="81">
        <v>12.603670712043156</v>
      </c>
      <c r="P114" s="81">
        <v>12.521952774901715</v>
      </c>
      <c r="Q114" s="81">
        <v>12.870346230327437</v>
      </c>
      <c r="R114" s="81">
        <v>13.577966393442884</v>
      </c>
      <c r="S114" s="81">
        <v>14.795342346768647</v>
      </c>
      <c r="T114" s="81">
        <v>15.880619336202026</v>
      </c>
      <c r="U114" s="81">
        <v>17.133664096878292</v>
      </c>
      <c r="V114" s="81">
        <v>17.846257857217253</v>
      </c>
      <c r="W114" s="81">
        <v>18.02371456085999</v>
      </c>
      <c r="X114" s="81">
        <v>18.271718497910921</v>
      </c>
      <c r="Y114" s="81">
        <v>17.807164332203509</v>
      </c>
      <c r="Z114" s="81">
        <v>17.65040837270509</v>
      </c>
      <c r="AA114" s="81">
        <v>18.07836955615349</v>
      </c>
      <c r="AB114" s="81">
        <v>18.187989314000436</v>
      </c>
      <c r="AC114" s="81">
        <v>18.33130174928046</v>
      </c>
      <c r="AD114" s="81">
        <v>18.32221643297547</v>
      </c>
      <c r="AE114" s="81">
        <v>18.467254542618349</v>
      </c>
      <c r="AF114" s="81">
        <v>18.676687689646261</v>
      </c>
      <c r="AG114" s="81">
        <v>18.687643022003297</v>
      </c>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row>
    <row r="115" spans="1:62" x14ac:dyDescent="0.25">
      <c r="A115" s="77" t="s">
        <v>266</v>
      </c>
      <c r="B115" s="77" t="s">
        <v>267</v>
      </c>
      <c r="C115" s="78" t="s">
        <v>391</v>
      </c>
      <c r="D115" s="78" t="s">
        <v>219</v>
      </c>
      <c r="E115" s="77" t="s">
        <v>208</v>
      </c>
      <c r="F115" s="81">
        <v>3.8663977005350056</v>
      </c>
      <c r="G115" s="81">
        <v>2.6480420888931118</v>
      </c>
      <c r="H115" s="81">
        <v>7.9110773879429708</v>
      </c>
      <c r="I115" s="81">
        <v>7.3990272637876382</v>
      </c>
      <c r="J115" s="81">
        <v>8.2676786028529587</v>
      </c>
      <c r="K115" s="81">
        <v>9.4454798488670377</v>
      </c>
      <c r="L115" s="81">
        <v>9.3116342721175638</v>
      </c>
      <c r="M115" s="81">
        <v>12.023351145684751</v>
      </c>
      <c r="N115" s="81">
        <v>12.327014484603447</v>
      </c>
      <c r="O115" s="81">
        <v>12.603670712043156</v>
      </c>
      <c r="P115" s="81">
        <v>12.521952774901715</v>
      </c>
      <c r="Q115" s="81">
        <v>12.870346230327437</v>
      </c>
      <c r="R115" s="81">
        <v>13.577966393442884</v>
      </c>
      <c r="S115" s="81">
        <v>14.795342346768647</v>
      </c>
      <c r="T115" s="81">
        <v>15.880619336202026</v>
      </c>
      <c r="U115" s="81">
        <v>17.133664096878292</v>
      </c>
      <c r="V115" s="81">
        <v>17.846257857217253</v>
      </c>
      <c r="W115" s="81">
        <v>18.02371456085999</v>
      </c>
      <c r="X115" s="81">
        <v>18.271718497910921</v>
      </c>
      <c r="Y115" s="81">
        <v>17.807164332203509</v>
      </c>
      <c r="Z115" s="81">
        <v>17.65040837270509</v>
      </c>
      <c r="AA115" s="81">
        <v>18.07836955615349</v>
      </c>
      <c r="AB115" s="81">
        <v>18.187989314000436</v>
      </c>
      <c r="AC115" s="81">
        <v>18.33130174928046</v>
      </c>
      <c r="AD115" s="81">
        <v>18.32221643297547</v>
      </c>
      <c r="AE115" s="81">
        <v>18.467254542618349</v>
      </c>
      <c r="AF115" s="81">
        <v>18.676687689646261</v>
      </c>
      <c r="AG115" s="81">
        <v>18.687643022003297</v>
      </c>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c r="BI115" s="83"/>
      <c r="BJ115" s="83"/>
    </row>
    <row r="116" spans="1:62" x14ac:dyDescent="0.25">
      <c r="A116" s="77" t="s">
        <v>266</v>
      </c>
      <c r="B116" s="77" t="s">
        <v>267</v>
      </c>
      <c r="C116" s="78" t="s">
        <v>392</v>
      </c>
      <c r="D116" s="78" t="s">
        <v>219</v>
      </c>
      <c r="E116" s="77" t="s">
        <v>212</v>
      </c>
      <c r="F116" s="81">
        <v>3.8663977005350056</v>
      </c>
      <c r="G116" s="81">
        <v>2.6480420888931118</v>
      </c>
      <c r="H116" s="81">
        <v>7.9110773879429708</v>
      </c>
      <c r="I116" s="81">
        <v>7.3990272637876382</v>
      </c>
      <c r="J116" s="81">
        <v>8.2676786028529587</v>
      </c>
      <c r="K116" s="81">
        <v>9.4454798488670377</v>
      </c>
      <c r="L116" s="81">
        <v>9.3116342721175638</v>
      </c>
      <c r="M116" s="81">
        <v>12.023351145684751</v>
      </c>
      <c r="N116" s="81">
        <v>12.327014484603447</v>
      </c>
      <c r="O116" s="81">
        <v>12.603670712043156</v>
      </c>
      <c r="P116" s="81">
        <v>12.521952774901715</v>
      </c>
      <c r="Q116" s="81">
        <v>12.870346230327437</v>
      </c>
      <c r="R116" s="81">
        <v>13.577966393442884</v>
      </c>
      <c r="S116" s="81">
        <v>14.795342346768647</v>
      </c>
      <c r="T116" s="81">
        <v>15.880619336202026</v>
      </c>
      <c r="U116" s="81">
        <v>17.133664096878292</v>
      </c>
      <c r="V116" s="81">
        <v>17.846257857217253</v>
      </c>
      <c r="W116" s="81">
        <v>18.02371456085999</v>
      </c>
      <c r="X116" s="81">
        <v>18.271718497910921</v>
      </c>
      <c r="Y116" s="81">
        <v>17.807164332203509</v>
      </c>
      <c r="Z116" s="81">
        <v>17.65040837270509</v>
      </c>
      <c r="AA116" s="81">
        <v>18.07836955615349</v>
      </c>
      <c r="AB116" s="81">
        <v>18.187989314000436</v>
      </c>
      <c r="AC116" s="81">
        <v>18.33130174928046</v>
      </c>
      <c r="AD116" s="81">
        <v>18.32221643297547</v>
      </c>
      <c r="AE116" s="81">
        <v>18.467254542618349</v>
      </c>
      <c r="AF116" s="81">
        <v>18.676687689646261</v>
      </c>
      <c r="AG116" s="81">
        <v>18.687643022003297</v>
      </c>
    </row>
    <row r="117" spans="1:62" x14ac:dyDescent="0.25">
      <c r="A117" s="77" t="s">
        <v>266</v>
      </c>
      <c r="B117" s="77" t="s">
        <v>267</v>
      </c>
      <c r="C117" s="78" t="s">
        <v>393</v>
      </c>
      <c r="D117" s="78" t="s">
        <v>219</v>
      </c>
      <c r="E117" s="77" t="s">
        <v>215</v>
      </c>
      <c r="F117" s="81">
        <v>3.8663977005350056</v>
      </c>
      <c r="G117" s="81">
        <v>2.6480420888931118</v>
      </c>
      <c r="H117" s="81">
        <v>7.9110773879429708</v>
      </c>
      <c r="I117" s="81">
        <v>7.3990272637876382</v>
      </c>
      <c r="J117" s="81">
        <v>8.2676786028529587</v>
      </c>
      <c r="K117" s="81">
        <v>9.4454798488670377</v>
      </c>
      <c r="L117" s="81">
        <v>9.3116342721175638</v>
      </c>
      <c r="M117" s="81">
        <v>12.023351145684751</v>
      </c>
      <c r="N117" s="81">
        <v>12.327014484603447</v>
      </c>
      <c r="O117" s="81">
        <v>12.603670712043156</v>
      </c>
      <c r="P117" s="81">
        <v>12.521952774901715</v>
      </c>
      <c r="Q117" s="81">
        <v>12.870346230327437</v>
      </c>
      <c r="R117" s="81">
        <v>13.577966393442884</v>
      </c>
      <c r="S117" s="81">
        <v>14.795342346768647</v>
      </c>
      <c r="T117" s="81">
        <v>15.880619336202026</v>
      </c>
      <c r="U117" s="81">
        <v>17.133664096878292</v>
      </c>
      <c r="V117" s="81">
        <v>17.846257857217253</v>
      </c>
      <c r="W117" s="81">
        <v>18.02371456085999</v>
      </c>
      <c r="X117" s="81">
        <v>18.271718497910921</v>
      </c>
      <c r="Y117" s="81">
        <v>17.807164332203509</v>
      </c>
      <c r="Z117" s="81">
        <v>17.65040837270509</v>
      </c>
      <c r="AA117" s="81">
        <v>18.07836955615349</v>
      </c>
      <c r="AB117" s="81">
        <v>18.187989314000436</v>
      </c>
      <c r="AC117" s="81">
        <v>18.33130174928046</v>
      </c>
      <c r="AD117" s="81">
        <v>18.32221643297547</v>
      </c>
      <c r="AE117" s="81">
        <v>18.467254542618349</v>
      </c>
      <c r="AF117" s="81">
        <v>18.676687689646261</v>
      </c>
      <c r="AG117" s="81">
        <v>18.687643022003297</v>
      </c>
    </row>
    <row r="118" spans="1:62" x14ac:dyDescent="0.25">
      <c r="A118" s="77" t="s">
        <v>266</v>
      </c>
      <c r="B118" s="77" t="s">
        <v>267</v>
      </c>
      <c r="C118" s="78" t="s">
        <v>394</v>
      </c>
      <c r="D118" s="78" t="s">
        <v>219</v>
      </c>
      <c r="E118" s="77" t="s">
        <v>218</v>
      </c>
      <c r="F118" s="81">
        <v>3.8663977005350056</v>
      </c>
      <c r="G118" s="81">
        <v>2.6480420888931118</v>
      </c>
      <c r="H118" s="81">
        <v>7.9110773879429708</v>
      </c>
      <c r="I118" s="81">
        <v>7.3990272637876382</v>
      </c>
      <c r="J118" s="81">
        <v>8.2676786028529587</v>
      </c>
      <c r="K118" s="81">
        <v>9.4454798488670377</v>
      </c>
      <c r="L118" s="81">
        <v>9.3116342721175638</v>
      </c>
      <c r="M118" s="81">
        <v>12.023351145684751</v>
      </c>
      <c r="N118" s="81">
        <v>12.327014484603447</v>
      </c>
      <c r="O118" s="81">
        <v>12.603670712043156</v>
      </c>
      <c r="P118" s="81">
        <v>12.521952774901715</v>
      </c>
      <c r="Q118" s="81">
        <v>12.870346230327437</v>
      </c>
      <c r="R118" s="81">
        <v>13.577966393442884</v>
      </c>
      <c r="S118" s="81">
        <v>14.795342346768647</v>
      </c>
      <c r="T118" s="81">
        <v>15.880619336202026</v>
      </c>
      <c r="U118" s="81">
        <v>17.133664096878292</v>
      </c>
      <c r="V118" s="81">
        <v>17.846257857217253</v>
      </c>
      <c r="W118" s="81">
        <v>18.02371456085999</v>
      </c>
      <c r="X118" s="81">
        <v>18.271718497910921</v>
      </c>
      <c r="Y118" s="81">
        <v>17.807164332203509</v>
      </c>
      <c r="Z118" s="81">
        <v>17.65040837270509</v>
      </c>
      <c r="AA118" s="81">
        <v>18.07836955615349</v>
      </c>
      <c r="AB118" s="81">
        <v>18.187989314000436</v>
      </c>
      <c r="AC118" s="81">
        <v>18.33130174928046</v>
      </c>
      <c r="AD118" s="81">
        <v>18.32221643297547</v>
      </c>
      <c r="AE118" s="81">
        <v>18.467254542618349</v>
      </c>
      <c r="AF118" s="81">
        <v>18.676687689646261</v>
      </c>
      <c r="AG118" s="81">
        <v>18.687643022003297</v>
      </c>
      <c r="AI118" s="84"/>
      <c r="AJ118" s="84"/>
      <c r="AK118" s="84"/>
      <c r="AL118" s="84"/>
      <c r="AM118" s="84"/>
      <c r="AN118" s="84"/>
      <c r="AO118" s="84"/>
      <c r="AP118" s="84"/>
      <c r="AQ118" s="84"/>
      <c r="AR118" s="84"/>
      <c r="AS118" s="84"/>
      <c r="AT118" s="84"/>
      <c r="AU118" s="84"/>
      <c r="AV118" s="84"/>
      <c r="AW118" s="84"/>
      <c r="AX118" s="84"/>
      <c r="AY118" s="84"/>
      <c r="AZ118" s="84"/>
      <c r="BA118" s="84"/>
      <c r="BB118" s="84"/>
      <c r="BC118" s="84"/>
      <c r="BD118" s="84"/>
      <c r="BE118" s="84"/>
      <c r="BF118" s="84"/>
      <c r="BG118" s="84"/>
      <c r="BH118" s="84"/>
      <c r="BI118" s="84"/>
      <c r="BJ118" s="84"/>
    </row>
    <row r="119" spans="1:62" x14ac:dyDescent="0.25">
      <c r="A119" s="77" t="s">
        <v>266</v>
      </c>
      <c r="B119" s="77" t="s">
        <v>267</v>
      </c>
      <c r="C119" s="78" t="s">
        <v>395</v>
      </c>
      <c r="D119" s="78" t="s">
        <v>219</v>
      </c>
      <c r="E119" s="77" t="s">
        <v>221</v>
      </c>
      <c r="F119" s="81">
        <v>3.8663977005350056</v>
      </c>
      <c r="G119" s="81">
        <v>2.6480420888931118</v>
      </c>
      <c r="H119" s="81">
        <v>7.9110773879429708</v>
      </c>
      <c r="I119" s="81">
        <v>7.3990272637876382</v>
      </c>
      <c r="J119" s="81">
        <v>8.2676786028529587</v>
      </c>
      <c r="K119" s="81">
        <v>9.4454798488670377</v>
      </c>
      <c r="L119" s="81">
        <v>9.3116342721175638</v>
      </c>
      <c r="M119" s="81">
        <v>12.023351145684751</v>
      </c>
      <c r="N119" s="81">
        <v>12.327014484603447</v>
      </c>
      <c r="O119" s="81">
        <v>12.603670712043156</v>
      </c>
      <c r="P119" s="81">
        <v>12.521952774901715</v>
      </c>
      <c r="Q119" s="81">
        <v>12.870346230327437</v>
      </c>
      <c r="R119" s="81">
        <v>13.577966393442884</v>
      </c>
      <c r="S119" s="81">
        <v>14.795342346768647</v>
      </c>
      <c r="T119" s="81">
        <v>15.880619336202026</v>
      </c>
      <c r="U119" s="81">
        <v>17.133664096878292</v>
      </c>
      <c r="V119" s="81">
        <v>17.846257857217253</v>
      </c>
      <c r="W119" s="81">
        <v>18.02371456085999</v>
      </c>
      <c r="X119" s="81">
        <v>18.271718497910921</v>
      </c>
      <c r="Y119" s="81">
        <v>17.807164332203509</v>
      </c>
      <c r="Z119" s="81">
        <v>17.65040837270509</v>
      </c>
      <c r="AA119" s="81">
        <v>18.07836955615349</v>
      </c>
      <c r="AB119" s="81">
        <v>18.187989314000436</v>
      </c>
      <c r="AC119" s="81">
        <v>18.33130174928046</v>
      </c>
      <c r="AD119" s="81">
        <v>18.32221643297547</v>
      </c>
      <c r="AE119" s="81">
        <v>18.467254542618349</v>
      </c>
      <c r="AF119" s="81">
        <v>18.676687689646261</v>
      </c>
      <c r="AG119" s="81">
        <v>18.687643022003297</v>
      </c>
      <c r="AI119" s="84"/>
      <c r="AJ119" s="84"/>
      <c r="AK119" s="84"/>
      <c r="AL119" s="84"/>
      <c r="AM119" s="84"/>
      <c r="AN119" s="84"/>
      <c r="AO119" s="84"/>
      <c r="AP119" s="84"/>
      <c r="AQ119" s="84"/>
      <c r="AR119" s="84"/>
      <c r="AS119" s="84"/>
      <c r="AT119" s="84"/>
      <c r="AU119" s="84"/>
      <c r="AV119" s="84"/>
      <c r="AW119" s="84"/>
      <c r="AX119" s="84"/>
      <c r="AY119" s="84"/>
      <c r="AZ119" s="84"/>
      <c r="BA119" s="84"/>
      <c r="BB119" s="84"/>
      <c r="BC119" s="84"/>
      <c r="BD119" s="84"/>
      <c r="BE119" s="84"/>
      <c r="BF119" s="84"/>
      <c r="BG119" s="84"/>
      <c r="BH119" s="84"/>
      <c r="BI119" s="84"/>
      <c r="BJ119" s="84"/>
    </row>
    <row r="120" spans="1:62" x14ac:dyDescent="0.25">
      <c r="A120" s="77" t="s">
        <v>266</v>
      </c>
      <c r="B120" s="77" t="s">
        <v>267</v>
      </c>
      <c r="C120" s="78" t="s">
        <v>396</v>
      </c>
      <c r="D120" s="78" t="s">
        <v>219</v>
      </c>
      <c r="E120" s="77" t="s">
        <v>223</v>
      </c>
      <c r="F120" s="81">
        <v>4.8033468365542245</v>
      </c>
      <c r="G120" s="81">
        <v>4.3437181633597532</v>
      </c>
      <c r="H120" s="81">
        <v>8.1324009173547367</v>
      </c>
      <c r="I120" s="81">
        <v>7.7998568034975619</v>
      </c>
      <c r="J120" s="81">
        <v>8.6064584356019349</v>
      </c>
      <c r="K120" s="81">
        <v>10.439593139324648</v>
      </c>
      <c r="L120" s="81">
        <v>10.873348216660844</v>
      </c>
      <c r="M120" s="81">
        <v>14.104357157429661</v>
      </c>
      <c r="N120" s="81">
        <v>14.258528835773717</v>
      </c>
      <c r="O120" s="81">
        <v>14.33566187355391</v>
      </c>
      <c r="P120" s="81">
        <v>14.13256933294765</v>
      </c>
      <c r="Q120" s="81">
        <v>14.272021296688298</v>
      </c>
      <c r="R120" s="81">
        <v>14.942825906671272</v>
      </c>
      <c r="S120" s="81">
        <v>16.296804908174344</v>
      </c>
      <c r="T120" s="81">
        <v>17.503520235560703</v>
      </c>
      <c r="U120" s="81">
        <v>19.008470067526765</v>
      </c>
      <c r="V120" s="81">
        <v>19.995344686272883</v>
      </c>
      <c r="W120" s="81">
        <v>20.440887056985964</v>
      </c>
      <c r="X120" s="81">
        <v>21.03178251298046</v>
      </c>
      <c r="Y120" s="81">
        <v>20.087718494037109</v>
      </c>
      <c r="Z120" s="81">
        <v>21.244266980443118</v>
      </c>
      <c r="AA120" s="81">
        <v>23.53212569132711</v>
      </c>
      <c r="AB120" s="81">
        <v>23.44016636928669</v>
      </c>
      <c r="AC120" s="81">
        <v>23.128685861701641</v>
      </c>
      <c r="AD120" s="81">
        <v>23.278612839265858</v>
      </c>
      <c r="AE120" s="81">
        <v>22.884696090118332</v>
      </c>
      <c r="AF120" s="81">
        <v>22.620921259684799</v>
      </c>
      <c r="AG120" s="81">
        <v>22.244860109292958</v>
      </c>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c r="BJ120" s="84"/>
    </row>
    <row r="121" spans="1:62" x14ac:dyDescent="0.25">
      <c r="A121" s="77" t="s">
        <v>266</v>
      </c>
      <c r="B121" s="77" t="s">
        <v>267</v>
      </c>
      <c r="C121" s="78" t="s">
        <v>397</v>
      </c>
      <c r="D121" s="78" t="s">
        <v>219</v>
      </c>
      <c r="E121" s="77" t="s">
        <v>225</v>
      </c>
      <c r="F121" s="81">
        <v>4.8033468365542245</v>
      </c>
      <c r="G121" s="81">
        <v>4.3437181633597532</v>
      </c>
      <c r="H121" s="81">
        <v>8.1324009173547367</v>
      </c>
      <c r="I121" s="81">
        <v>7.7998568034975619</v>
      </c>
      <c r="J121" s="81">
        <v>8.6064584356019349</v>
      </c>
      <c r="K121" s="81">
        <v>10.439593139324648</v>
      </c>
      <c r="L121" s="81">
        <v>10.873348216660844</v>
      </c>
      <c r="M121" s="81">
        <v>14.104357157429661</v>
      </c>
      <c r="N121" s="81">
        <v>14.258528835773717</v>
      </c>
      <c r="O121" s="81">
        <v>14.33566187355391</v>
      </c>
      <c r="P121" s="81">
        <v>14.13256933294765</v>
      </c>
      <c r="Q121" s="81">
        <v>14.272021296688298</v>
      </c>
      <c r="R121" s="81">
        <v>14.942825906671272</v>
      </c>
      <c r="S121" s="81">
        <v>16.296804908174344</v>
      </c>
      <c r="T121" s="81">
        <v>17.503520235560703</v>
      </c>
      <c r="U121" s="81">
        <v>19.008470067526765</v>
      </c>
      <c r="V121" s="81">
        <v>19.995344686272883</v>
      </c>
      <c r="W121" s="81">
        <v>20.440887056985964</v>
      </c>
      <c r="X121" s="81">
        <v>21.03178251298046</v>
      </c>
      <c r="Y121" s="81">
        <v>20.087718494037109</v>
      </c>
      <c r="Z121" s="81">
        <v>21.244266980443118</v>
      </c>
      <c r="AA121" s="81">
        <v>23.53212569132711</v>
      </c>
      <c r="AB121" s="81">
        <v>23.44016636928669</v>
      </c>
      <c r="AC121" s="81">
        <v>23.128685861701641</v>
      </c>
      <c r="AD121" s="81">
        <v>23.278612839265858</v>
      </c>
      <c r="AE121" s="81">
        <v>22.884696090118332</v>
      </c>
      <c r="AF121" s="81">
        <v>22.620921259684799</v>
      </c>
      <c r="AG121" s="81">
        <v>22.244860109292958</v>
      </c>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c r="BJ121" s="84"/>
    </row>
    <row r="122" spans="1:62" x14ac:dyDescent="0.25">
      <c r="A122" s="77" t="s">
        <v>266</v>
      </c>
      <c r="B122" s="77" t="s">
        <v>267</v>
      </c>
      <c r="C122" s="78" t="s">
        <v>398</v>
      </c>
      <c r="D122" s="78" t="s">
        <v>219</v>
      </c>
      <c r="E122" s="77" t="s">
        <v>228</v>
      </c>
      <c r="F122" s="81">
        <v>4.8033468365542245</v>
      </c>
      <c r="G122" s="81">
        <v>4.3437181633597532</v>
      </c>
      <c r="H122" s="81">
        <v>15.946175427158657</v>
      </c>
      <c r="I122" s="81">
        <v>7.7998568034975619</v>
      </c>
      <c r="J122" s="81">
        <v>8.6064584356019349</v>
      </c>
      <c r="K122" s="81">
        <v>10.439593139324648</v>
      </c>
      <c r="L122" s="81">
        <v>10.873348216660844</v>
      </c>
      <c r="M122" s="81">
        <v>14.104357157429661</v>
      </c>
      <c r="N122" s="81">
        <v>14.258528835773717</v>
      </c>
      <c r="O122" s="81">
        <v>14.33566187355391</v>
      </c>
      <c r="P122" s="81">
        <v>14.13256933294765</v>
      </c>
      <c r="Q122" s="81">
        <v>14.272021296688298</v>
      </c>
      <c r="R122" s="81">
        <v>14.942825906671272</v>
      </c>
      <c r="S122" s="81">
        <v>16.296804908174344</v>
      </c>
      <c r="T122" s="81">
        <v>17.503520235560703</v>
      </c>
      <c r="U122" s="81">
        <v>19.008470067526765</v>
      </c>
      <c r="V122" s="81">
        <v>19.995344686272883</v>
      </c>
      <c r="W122" s="81">
        <v>20.440887056985964</v>
      </c>
      <c r="X122" s="81">
        <v>21.03178251298046</v>
      </c>
      <c r="Y122" s="81">
        <v>20.087718494037109</v>
      </c>
      <c r="Z122" s="81">
        <v>21.244266980443118</v>
      </c>
      <c r="AA122" s="81">
        <v>23.53212569132711</v>
      </c>
      <c r="AB122" s="81">
        <v>23.44016636928669</v>
      </c>
      <c r="AC122" s="81">
        <v>23.128685861701641</v>
      </c>
      <c r="AD122" s="81">
        <v>23.278612839265858</v>
      </c>
      <c r="AE122" s="81">
        <v>22.884696090118332</v>
      </c>
      <c r="AF122" s="81">
        <v>22.620921259684799</v>
      </c>
      <c r="AG122" s="81">
        <v>22.244860109292958</v>
      </c>
      <c r="AI122" s="84"/>
      <c r="AJ122" s="84"/>
      <c r="AK122" s="84"/>
      <c r="AL122" s="84"/>
      <c r="AM122" s="84"/>
      <c r="AN122" s="84"/>
      <c r="AO122" s="84"/>
      <c r="AP122" s="84"/>
      <c r="AQ122" s="84"/>
      <c r="AR122" s="84"/>
      <c r="AS122" s="84"/>
      <c r="AT122" s="84"/>
      <c r="AU122" s="84"/>
      <c r="AV122" s="84"/>
      <c r="AW122" s="84"/>
      <c r="AX122" s="84"/>
      <c r="AY122" s="84"/>
      <c r="AZ122" s="84"/>
      <c r="BA122" s="84"/>
      <c r="BB122" s="84"/>
      <c r="BC122" s="84"/>
      <c r="BD122" s="84"/>
      <c r="BE122" s="84"/>
      <c r="BF122" s="84"/>
      <c r="BG122" s="84"/>
      <c r="BH122" s="84"/>
      <c r="BI122" s="84"/>
      <c r="BJ122" s="84"/>
    </row>
    <row r="123" spans="1:62" x14ac:dyDescent="0.25">
      <c r="A123" s="77" t="s">
        <v>266</v>
      </c>
      <c r="B123" s="77" t="s">
        <v>267</v>
      </c>
      <c r="C123" s="78" t="s">
        <v>399</v>
      </c>
      <c r="D123" s="78" t="s">
        <v>219</v>
      </c>
      <c r="E123" s="77" t="s">
        <v>232</v>
      </c>
      <c r="F123" s="81">
        <v>5.0049688025330443</v>
      </c>
      <c r="G123" s="81">
        <v>4.7966727311967334</v>
      </c>
      <c r="H123" s="81">
        <v>9.2647492517590564</v>
      </c>
      <c r="I123" s="81">
        <v>22.775770945077404</v>
      </c>
      <c r="J123" s="81">
        <v>20.987730937422327</v>
      </c>
      <c r="K123" s="81">
        <v>21.938251585657895</v>
      </c>
      <c r="L123" s="81">
        <v>22.627235219583312</v>
      </c>
      <c r="M123" s="81">
        <v>28.555610785507113</v>
      </c>
      <c r="N123" s="81">
        <v>27.274905023767051</v>
      </c>
      <c r="O123" s="81">
        <v>25.520746001840337</v>
      </c>
      <c r="P123" s="81">
        <v>24.770610546474046</v>
      </c>
      <c r="Q123" s="81">
        <v>24.409902668702149</v>
      </c>
      <c r="R123" s="81">
        <v>24.237646980054912</v>
      </c>
      <c r="S123" s="81">
        <v>24.492667663564372</v>
      </c>
      <c r="T123" s="81">
        <v>25.249649379088371</v>
      </c>
      <c r="U123" s="81">
        <v>25.956470990822591</v>
      </c>
      <c r="V123" s="81">
        <v>26.848636995914813</v>
      </c>
      <c r="W123" s="81">
        <v>26.977139944191922</v>
      </c>
      <c r="X123" s="81">
        <v>27.605921728999665</v>
      </c>
      <c r="Y123" s="81">
        <v>26.205235873417202</v>
      </c>
      <c r="Z123" s="81">
        <v>25.190182355021712</v>
      </c>
      <c r="AA123" s="81">
        <v>26.553815664366709</v>
      </c>
      <c r="AB123" s="81">
        <v>26.407719153633909</v>
      </c>
      <c r="AC123" s="81">
        <v>26.053470917590555</v>
      </c>
      <c r="AD123" s="81">
        <v>26.256910813679738</v>
      </c>
      <c r="AE123" s="81">
        <v>25.724119610378732</v>
      </c>
      <c r="AF123" s="81">
        <v>25.400351438696767</v>
      </c>
      <c r="AG123" s="81">
        <v>25.05649436384212</v>
      </c>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c r="BJ123" s="84"/>
    </row>
    <row r="124" spans="1:62" x14ac:dyDescent="0.25">
      <c r="A124" s="77" t="s">
        <v>266</v>
      </c>
      <c r="B124" s="77" t="s">
        <v>267</v>
      </c>
      <c r="C124" s="78" t="s">
        <v>400</v>
      </c>
      <c r="D124" s="78" t="s">
        <v>219</v>
      </c>
      <c r="E124" s="77" t="s">
        <v>239</v>
      </c>
      <c r="F124" s="81">
        <v>6.7365456868217271</v>
      </c>
      <c r="G124" s="81">
        <v>4.6573020949392019</v>
      </c>
      <c r="H124" s="81">
        <v>8.9236417305477342</v>
      </c>
      <c r="I124" s="81">
        <v>8.3283088247875607</v>
      </c>
      <c r="J124" s="81">
        <v>9.4458594236714539</v>
      </c>
      <c r="K124" s="81">
        <v>12.134387313676235</v>
      </c>
      <c r="L124" s="81">
        <v>12.445464418101547</v>
      </c>
      <c r="M124" s="81">
        <v>15.577377431465228</v>
      </c>
      <c r="N124" s="81">
        <v>15.467271538449154</v>
      </c>
      <c r="O124" s="81">
        <v>15.74262160348162</v>
      </c>
      <c r="P124" s="81">
        <v>15.378068728438418</v>
      </c>
      <c r="Q124" s="81">
        <v>15.545596908717917</v>
      </c>
      <c r="R124" s="81">
        <v>15.692131455093424</v>
      </c>
      <c r="S124" s="81">
        <v>16.831319369249194</v>
      </c>
      <c r="T124" s="81">
        <v>18.175365332285157</v>
      </c>
      <c r="U124" s="81">
        <v>19.407336552549037</v>
      </c>
      <c r="V124" s="81">
        <v>20.291933072850394</v>
      </c>
      <c r="W124" s="81">
        <v>20.514435233507324</v>
      </c>
      <c r="X124" s="81">
        <v>20.549628725867276</v>
      </c>
      <c r="Y124" s="81">
        <v>19.872377364107983</v>
      </c>
      <c r="Z124" s="81">
        <v>20.187290126493441</v>
      </c>
      <c r="AA124" s="81">
        <v>20.716620311834259</v>
      </c>
      <c r="AB124" s="81">
        <v>20.715557485281273</v>
      </c>
      <c r="AC124" s="81">
        <v>20.753819363323778</v>
      </c>
      <c r="AD124" s="81">
        <v>20.588607383909288</v>
      </c>
      <c r="AE124" s="81">
        <v>20.62428193600514</v>
      </c>
      <c r="AF124" s="81">
        <v>20.859146942159178</v>
      </c>
      <c r="AG124" s="81">
        <v>20.865809986564511</v>
      </c>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c r="BJ124" s="84"/>
    </row>
    <row r="125" spans="1:62" x14ac:dyDescent="0.25">
      <c r="AI125" s="84"/>
      <c r="AJ125" s="84"/>
      <c r="AK125" s="84"/>
      <c r="AL125" s="84"/>
      <c r="AM125" s="84"/>
      <c r="AN125" s="84"/>
      <c r="AO125" s="84"/>
      <c r="AP125" s="84"/>
      <c r="AQ125" s="84"/>
      <c r="AR125" s="84"/>
      <c r="AS125" s="84"/>
      <c r="AT125" s="84"/>
      <c r="AU125" s="84"/>
      <c r="AV125" s="84"/>
      <c r="AW125" s="84"/>
      <c r="AX125" s="84"/>
      <c r="AY125" s="84"/>
      <c r="AZ125" s="84"/>
      <c r="BA125" s="84"/>
      <c r="BB125" s="84"/>
      <c r="BC125" s="84"/>
      <c r="BD125" s="84"/>
      <c r="BE125" s="84"/>
      <c r="BF125" s="84"/>
      <c r="BG125" s="84"/>
      <c r="BH125" s="84"/>
      <c r="BI125" s="84"/>
      <c r="BJ125" s="84"/>
    </row>
    <row r="126" spans="1:62" x14ac:dyDescent="0.25">
      <c r="A126" s="77" t="s">
        <v>259</v>
      </c>
      <c r="B126" s="77" t="s">
        <v>260</v>
      </c>
      <c r="C126" s="77" t="s">
        <v>268</v>
      </c>
      <c r="D126" s="77" t="s">
        <v>269</v>
      </c>
      <c r="E126" s="77" t="s">
        <v>262</v>
      </c>
      <c r="F126" s="79">
        <v>2023</v>
      </c>
      <c r="G126" s="79">
        <v>2024</v>
      </c>
      <c r="H126" s="79">
        <v>2025</v>
      </c>
      <c r="I126" s="79">
        <v>2026</v>
      </c>
      <c r="J126" s="79">
        <v>2027</v>
      </c>
      <c r="K126" s="79">
        <v>2028</v>
      </c>
      <c r="L126" s="79">
        <v>2029</v>
      </c>
      <c r="M126" s="79">
        <v>2030</v>
      </c>
      <c r="N126" s="79">
        <v>2031</v>
      </c>
      <c r="O126" s="79">
        <v>2032</v>
      </c>
      <c r="P126" s="79">
        <v>2033</v>
      </c>
      <c r="Q126" s="79">
        <v>2034</v>
      </c>
      <c r="R126" s="79">
        <v>2035</v>
      </c>
      <c r="S126" s="79">
        <v>2036</v>
      </c>
      <c r="T126" s="79">
        <v>2037</v>
      </c>
      <c r="U126" s="79">
        <v>2038</v>
      </c>
      <c r="V126" s="79">
        <v>2039</v>
      </c>
      <c r="W126" s="79">
        <v>2040</v>
      </c>
      <c r="X126" s="79">
        <v>2041</v>
      </c>
      <c r="Y126" s="79">
        <v>2042</v>
      </c>
      <c r="Z126" s="79">
        <v>2043</v>
      </c>
      <c r="AA126" s="79">
        <v>2044</v>
      </c>
      <c r="AB126" s="79">
        <v>2045</v>
      </c>
      <c r="AC126" s="79">
        <v>2046</v>
      </c>
      <c r="AD126" s="79">
        <v>2047</v>
      </c>
      <c r="AE126" s="79">
        <v>2048</v>
      </c>
      <c r="AF126" s="79">
        <v>2049</v>
      </c>
      <c r="AG126" s="79">
        <v>2050</v>
      </c>
      <c r="AI126" s="84"/>
      <c r="AJ126" s="84"/>
      <c r="AK126" s="84"/>
      <c r="AL126" s="84"/>
      <c r="AM126" s="84"/>
      <c r="AN126" s="84"/>
      <c r="AO126" s="84"/>
      <c r="AP126" s="84"/>
      <c r="AQ126" s="84"/>
      <c r="AR126" s="84"/>
      <c r="AS126" s="84"/>
      <c r="AT126" s="84"/>
      <c r="AU126" s="84"/>
      <c r="AV126" s="84"/>
      <c r="AW126" s="84"/>
      <c r="AX126" s="84"/>
      <c r="AY126" s="84"/>
      <c r="AZ126" s="84"/>
      <c r="BA126" s="84"/>
      <c r="BB126" s="84"/>
      <c r="BC126" s="84"/>
      <c r="BD126" s="84"/>
      <c r="BE126" s="84"/>
      <c r="BF126" s="84"/>
      <c r="BG126" s="84"/>
      <c r="BH126" s="84"/>
      <c r="BI126" s="84"/>
      <c r="BJ126" s="84"/>
    </row>
    <row r="127" spans="1:62" x14ac:dyDescent="0.25">
      <c r="A127" s="77" t="s">
        <v>264</v>
      </c>
      <c r="B127" s="77" t="s">
        <v>270</v>
      </c>
      <c r="C127" s="78" t="s">
        <v>309</v>
      </c>
      <c r="D127" s="77" t="s">
        <v>271</v>
      </c>
      <c r="E127" s="77" t="s">
        <v>286</v>
      </c>
      <c r="F127" s="85">
        <v>177.25801949393971</v>
      </c>
      <c r="G127" s="85">
        <v>178.91654279771959</v>
      </c>
      <c r="H127" s="85">
        <v>178.13241068621963</v>
      </c>
      <c r="I127" s="85">
        <v>181.59411478913947</v>
      </c>
      <c r="J127" s="85">
        <v>181.15691919299945</v>
      </c>
      <c r="K127" s="85">
        <v>177.25801949393971</v>
      </c>
      <c r="L127" s="85">
        <v>178.47934720157957</v>
      </c>
      <c r="M127" s="85">
        <v>178.91654279771959</v>
      </c>
      <c r="N127" s="85">
        <v>178.13241068621963</v>
      </c>
      <c r="O127" s="85">
        <v>181.15691919299945</v>
      </c>
      <c r="P127" s="85">
        <v>177.25801949393971</v>
      </c>
      <c r="Q127" s="85">
        <v>177.25801949393971</v>
      </c>
      <c r="R127" s="85">
        <v>178.47934720157957</v>
      </c>
      <c r="S127" s="85">
        <v>178.13241068621963</v>
      </c>
      <c r="T127" s="85">
        <v>181.59411478913947</v>
      </c>
      <c r="U127" s="85">
        <v>181.15691919299945</v>
      </c>
      <c r="V127" s="85">
        <v>177.25801949393971</v>
      </c>
      <c r="W127" s="85">
        <v>178.47934720157957</v>
      </c>
      <c r="X127" s="85">
        <v>178.91654279771959</v>
      </c>
      <c r="Y127" s="85">
        <v>178.13241068621963</v>
      </c>
      <c r="Z127" s="85">
        <v>181.59411478913947</v>
      </c>
      <c r="AA127" s="85">
        <v>177.25801949393971</v>
      </c>
      <c r="AB127" s="85">
        <v>177.25801949393971</v>
      </c>
      <c r="AC127" s="85">
        <v>178.47934720157957</v>
      </c>
      <c r="AD127" s="85">
        <v>178.91654279771959</v>
      </c>
      <c r="AE127" s="85">
        <v>181.59411478913947</v>
      </c>
      <c r="AF127" s="85">
        <v>181.15691919299945</v>
      </c>
      <c r="AG127" s="85">
        <v>177.25801949393971</v>
      </c>
      <c r="AI127" s="84"/>
      <c r="AJ127" s="84"/>
      <c r="AK127" s="84"/>
      <c r="AL127" s="84"/>
      <c r="AM127" s="84"/>
      <c r="AN127" s="84"/>
      <c r="AO127" s="84"/>
      <c r="AP127" s="84"/>
      <c r="AQ127" s="84"/>
      <c r="AR127" s="84"/>
      <c r="AS127" s="84"/>
      <c r="AT127" s="84"/>
      <c r="AU127" s="84"/>
      <c r="AV127" s="84"/>
      <c r="AW127" s="84"/>
      <c r="AX127" s="84"/>
      <c r="AY127" s="84"/>
      <c r="AZ127" s="84"/>
      <c r="BA127" s="84"/>
      <c r="BB127" s="84"/>
      <c r="BC127" s="84"/>
      <c r="BD127" s="84"/>
      <c r="BE127" s="84"/>
      <c r="BF127" s="84"/>
      <c r="BG127" s="84"/>
      <c r="BH127" s="84"/>
      <c r="BI127" s="84"/>
      <c r="BJ127" s="84"/>
    </row>
    <row r="128" spans="1:62" x14ac:dyDescent="0.25">
      <c r="A128" s="77" t="s">
        <v>264</v>
      </c>
      <c r="B128" s="77" t="s">
        <v>270</v>
      </c>
      <c r="C128" s="78" t="s">
        <v>310</v>
      </c>
      <c r="D128" s="77" t="s">
        <v>271</v>
      </c>
      <c r="E128" s="77" t="s">
        <v>288</v>
      </c>
      <c r="F128" s="85">
        <v>173.62801494630017</v>
      </c>
      <c r="G128" s="85">
        <v>174.9323249505602</v>
      </c>
      <c r="H128" s="85">
        <v>174.34863414894019</v>
      </c>
      <c r="I128" s="85">
        <v>177.65686139316037</v>
      </c>
      <c r="J128" s="85">
        <v>177.29655179184027</v>
      </c>
      <c r="K128" s="85">
        <v>173.62801494630017</v>
      </c>
      <c r="L128" s="85">
        <v>174.57201534924019</v>
      </c>
      <c r="M128" s="85">
        <v>174.9323249505602</v>
      </c>
      <c r="N128" s="85">
        <v>174.34863414894019</v>
      </c>
      <c r="O128" s="85">
        <v>177.29655179184027</v>
      </c>
      <c r="P128" s="85">
        <v>173.62801494630017</v>
      </c>
      <c r="Q128" s="85">
        <v>173.62801494630017</v>
      </c>
      <c r="R128" s="85">
        <v>174.57201534924019</v>
      </c>
      <c r="S128" s="85">
        <v>174.34863414894019</v>
      </c>
      <c r="T128" s="85">
        <v>177.65686139316037</v>
      </c>
      <c r="U128" s="85">
        <v>177.29655179184027</v>
      </c>
      <c r="V128" s="85">
        <v>173.62801494630017</v>
      </c>
      <c r="W128" s="85">
        <v>174.57201534924019</v>
      </c>
      <c r="X128" s="85">
        <v>174.9323249505602</v>
      </c>
      <c r="Y128" s="85">
        <v>174.34863414894019</v>
      </c>
      <c r="Z128" s="85">
        <v>177.65686139316037</v>
      </c>
      <c r="AA128" s="85">
        <v>173.62801494630017</v>
      </c>
      <c r="AB128" s="85">
        <v>173.62801494630017</v>
      </c>
      <c r="AC128" s="85">
        <v>174.57201534924019</v>
      </c>
      <c r="AD128" s="85">
        <v>174.9323249505602</v>
      </c>
      <c r="AE128" s="85">
        <v>177.65686139316037</v>
      </c>
      <c r="AF128" s="85">
        <v>177.29655179184027</v>
      </c>
      <c r="AG128" s="85">
        <v>173.62801494630017</v>
      </c>
      <c r="AI128" s="84"/>
      <c r="AJ128" s="84"/>
      <c r="AK128" s="84"/>
      <c r="AL128" s="84"/>
      <c r="AM128" s="84"/>
      <c r="AN128" s="84"/>
      <c r="AO128" s="84"/>
      <c r="AP128" s="84"/>
      <c r="AQ128" s="84"/>
      <c r="AR128" s="84"/>
      <c r="AS128" s="84"/>
      <c r="AT128" s="84"/>
      <c r="AU128" s="84"/>
      <c r="AV128" s="84"/>
      <c r="AW128" s="84"/>
      <c r="AX128" s="84"/>
      <c r="AY128" s="84"/>
      <c r="AZ128" s="84"/>
      <c r="BA128" s="84"/>
      <c r="BB128" s="84"/>
      <c r="BC128" s="84"/>
      <c r="BD128" s="84"/>
      <c r="BE128" s="84"/>
      <c r="BF128" s="84"/>
      <c r="BG128" s="84"/>
      <c r="BH128" s="84"/>
      <c r="BI128" s="84"/>
      <c r="BJ128" s="84"/>
    </row>
    <row r="129" spans="1:62" x14ac:dyDescent="0.25">
      <c r="A129" s="77" t="s">
        <v>264</v>
      </c>
      <c r="B129" s="77" t="s">
        <v>270</v>
      </c>
      <c r="C129" s="78" t="s">
        <v>311</v>
      </c>
      <c r="D129" s="77" t="s">
        <v>271</v>
      </c>
      <c r="E129" s="77" t="s">
        <v>289</v>
      </c>
      <c r="F129" s="85">
        <v>153.03757672234005</v>
      </c>
      <c r="G129" s="85">
        <v>154.40944678216002</v>
      </c>
      <c r="H129" s="85">
        <v>154.08538463942003</v>
      </c>
      <c r="I129" s="85">
        <v>157.09160456464002</v>
      </c>
      <c r="J129" s="85">
        <v>156.5677006061</v>
      </c>
      <c r="K129" s="85">
        <v>153.03757672234005</v>
      </c>
      <c r="L129" s="85">
        <v>153.88554282362003</v>
      </c>
      <c r="M129" s="85">
        <v>154.40944678216002</v>
      </c>
      <c r="N129" s="85">
        <v>154.08538463942003</v>
      </c>
      <c r="O129" s="85">
        <v>156.5677006061</v>
      </c>
      <c r="P129" s="85">
        <v>153.03757672234005</v>
      </c>
      <c r="Q129" s="85">
        <v>153.03757672234005</v>
      </c>
      <c r="R129" s="85">
        <v>153.88554282362003</v>
      </c>
      <c r="S129" s="85">
        <v>154.08538463942003</v>
      </c>
      <c r="T129" s="85">
        <v>157.09160456464002</v>
      </c>
      <c r="U129" s="85">
        <v>156.5677006061</v>
      </c>
      <c r="V129" s="85">
        <v>153.03757672234005</v>
      </c>
      <c r="W129" s="85">
        <v>153.88554282362003</v>
      </c>
      <c r="X129" s="85">
        <v>154.40944678216002</v>
      </c>
      <c r="Y129" s="85">
        <v>154.08538463942003</v>
      </c>
      <c r="Z129" s="85">
        <v>157.09160456464002</v>
      </c>
      <c r="AA129" s="85">
        <v>153.03757672234005</v>
      </c>
      <c r="AB129" s="85">
        <v>153.03757672234005</v>
      </c>
      <c r="AC129" s="85">
        <v>153.88554282362003</v>
      </c>
      <c r="AD129" s="85">
        <v>154.40944678216002</v>
      </c>
      <c r="AE129" s="85">
        <v>157.09160456464002</v>
      </c>
      <c r="AF129" s="85">
        <v>156.5677006061</v>
      </c>
      <c r="AG129" s="85">
        <v>153.03757672234005</v>
      </c>
      <c r="AI129" s="84"/>
      <c r="AJ129" s="84"/>
      <c r="AK129" s="84"/>
      <c r="AL129" s="84"/>
      <c r="AM129" s="84"/>
      <c r="AN129" s="84"/>
      <c r="AO129" s="84"/>
      <c r="AP129" s="84"/>
      <c r="AQ129" s="84"/>
      <c r="AR129" s="84"/>
      <c r="AS129" s="84"/>
      <c r="AT129" s="84"/>
      <c r="AU129" s="84"/>
      <c r="AV129" s="84"/>
      <c r="AW129" s="84"/>
      <c r="AX129" s="84"/>
      <c r="AY129" s="84"/>
      <c r="AZ129" s="84"/>
      <c r="BA129" s="84"/>
      <c r="BB129" s="84"/>
      <c r="BC129" s="84"/>
      <c r="BD129" s="84"/>
      <c r="BE129" s="84"/>
      <c r="BF129" s="84"/>
      <c r="BG129" s="84"/>
      <c r="BH129" s="84"/>
      <c r="BI129" s="84"/>
      <c r="BJ129" s="84"/>
    </row>
    <row r="130" spans="1:62" x14ac:dyDescent="0.25">
      <c r="A130" s="77" t="s">
        <v>264</v>
      </c>
      <c r="B130" s="77" t="s">
        <v>270</v>
      </c>
      <c r="C130" s="78" t="s">
        <v>312</v>
      </c>
      <c r="D130" s="77" t="s">
        <v>271</v>
      </c>
      <c r="E130" s="77" t="s">
        <v>290</v>
      </c>
      <c r="F130" s="85">
        <v>159.08393600034034</v>
      </c>
      <c r="G130" s="85">
        <v>160.69248032160036</v>
      </c>
      <c r="H130" s="85">
        <v>160.17369572238039</v>
      </c>
      <c r="I130" s="85">
        <v>163.34838075438037</v>
      </c>
      <c r="J130" s="85">
        <v>162.80350089336036</v>
      </c>
      <c r="K130" s="85">
        <v>159.08393600034034</v>
      </c>
      <c r="L130" s="85">
        <v>160.14760046058035</v>
      </c>
      <c r="M130" s="85">
        <v>160.69248032160036</v>
      </c>
      <c r="N130" s="85">
        <v>160.17369572238039</v>
      </c>
      <c r="O130" s="85">
        <v>162.80350089336036</v>
      </c>
      <c r="P130" s="85">
        <v>159.08393600034034</v>
      </c>
      <c r="Q130" s="85">
        <v>159.08393600034034</v>
      </c>
      <c r="R130" s="85">
        <v>160.14760046058035</v>
      </c>
      <c r="S130" s="85">
        <v>160.17369572238039</v>
      </c>
      <c r="T130" s="85">
        <v>163.34838075438037</v>
      </c>
      <c r="U130" s="85">
        <v>162.80350089336036</v>
      </c>
      <c r="V130" s="85">
        <v>159.08393600034034</v>
      </c>
      <c r="W130" s="85">
        <v>160.14760046058035</v>
      </c>
      <c r="X130" s="85">
        <v>160.69248032160036</v>
      </c>
      <c r="Y130" s="85">
        <v>160.17369572238039</v>
      </c>
      <c r="Z130" s="85">
        <v>163.34838075438037</v>
      </c>
      <c r="AA130" s="85">
        <v>159.08393600034034</v>
      </c>
      <c r="AB130" s="85">
        <v>159.08393600034034</v>
      </c>
      <c r="AC130" s="85">
        <v>160.14760046058035</v>
      </c>
      <c r="AD130" s="85">
        <v>160.69248032160036</v>
      </c>
      <c r="AE130" s="85">
        <v>163.34838075438037</v>
      </c>
      <c r="AF130" s="85">
        <v>162.80350089336036</v>
      </c>
      <c r="AG130" s="85">
        <v>159.08393600034034</v>
      </c>
      <c r="AI130" s="84"/>
      <c r="AJ130" s="84"/>
      <c r="AK130" s="84"/>
      <c r="AL130" s="84"/>
      <c r="AM130" s="84"/>
      <c r="AN130" s="84"/>
      <c r="AO130" s="84"/>
      <c r="AP130" s="84"/>
      <c r="AQ130" s="84"/>
      <c r="AR130" s="84"/>
      <c r="AS130" s="84"/>
      <c r="AT130" s="84"/>
      <c r="AU130" s="84"/>
      <c r="AV130" s="84"/>
      <c r="AW130" s="84"/>
      <c r="AX130" s="84"/>
      <c r="AY130" s="84"/>
      <c r="AZ130" s="84"/>
      <c r="BA130" s="84"/>
      <c r="BB130" s="84"/>
      <c r="BC130" s="84"/>
      <c r="BD130" s="84"/>
      <c r="BE130" s="84"/>
      <c r="BF130" s="84"/>
      <c r="BG130" s="84"/>
      <c r="BH130" s="84"/>
      <c r="BI130" s="84"/>
      <c r="BJ130" s="84"/>
    </row>
    <row r="131" spans="1:62" x14ac:dyDescent="0.25">
      <c r="A131" s="77" t="s">
        <v>264</v>
      </c>
      <c r="B131" s="77" t="s">
        <v>270</v>
      </c>
      <c r="C131" s="78" t="s">
        <v>313</v>
      </c>
      <c r="D131" s="77" t="s">
        <v>271</v>
      </c>
      <c r="E131" s="77" t="s">
        <v>291</v>
      </c>
      <c r="F131" s="85">
        <v>153.03757672234005</v>
      </c>
      <c r="G131" s="85">
        <v>154.40944678216002</v>
      </c>
      <c r="H131" s="85">
        <v>154.08538463942003</v>
      </c>
      <c r="I131" s="85">
        <v>157.09160456464002</v>
      </c>
      <c r="J131" s="85">
        <v>156.5677006061</v>
      </c>
      <c r="K131" s="85">
        <v>153.03757672234005</v>
      </c>
      <c r="L131" s="85">
        <v>153.88554282362003</v>
      </c>
      <c r="M131" s="85">
        <v>154.40944678216002</v>
      </c>
      <c r="N131" s="85">
        <v>154.08538463942003</v>
      </c>
      <c r="O131" s="85">
        <v>156.5677006061</v>
      </c>
      <c r="P131" s="85">
        <v>153.03757672234005</v>
      </c>
      <c r="Q131" s="85">
        <v>153.03757672234005</v>
      </c>
      <c r="R131" s="85">
        <v>153.88554282362003</v>
      </c>
      <c r="S131" s="85">
        <v>154.08538463942003</v>
      </c>
      <c r="T131" s="85">
        <v>157.09160456464002</v>
      </c>
      <c r="U131" s="85">
        <v>156.5677006061</v>
      </c>
      <c r="V131" s="85">
        <v>153.03757672234005</v>
      </c>
      <c r="W131" s="85">
        <v>153.88554282362003</v>
      </c>
      <c r="X131" s="85">
        <v>154.40944678216002</v>
      </c>
      <c r="Y131" s="85">
        <v>154.08538463942003</v>
      </c>
      <c r="Z131" s="85">
        <v>157.09160456464002</v>
      </c>
      <c r="AA131" s="85">
        <v>153.03757672234005</v>
      </c>
      <c r="AB131" s="85">
        <v>153.03757672234005</v>
      </c>
      <c r="AC131" s="85">
        <v>153.88554282362003</v>
      </c>
      <c r="AD131" s="85">
        <v>154.40944678216002</v>
      </c>
      <c r="AE131" s="85">
        <v>157.09160456464002</v>
      </c>
      <c r="AF131" s="85">
        <v>156.5677006061</v>
      </c>
      <c r="AG131" s="85">
        <v>153.03757672234005</v>
      </c>
      <c r="AI131" s="84"/>
      <c r="AJ131" s="84"/>
      <c r="AK131" s="84"/>
      <c r="AL131" s="84"/>
      <c r="AM131" s="84"/>
      <c r="AN131" s="84"/>
      <c r="AO131" s="84"/>
      <c r="AP131" s="84"/>
      <c r="AQ131" s="84"/>
      <c r="AR131" s="84"/>
      <c r="AS131" s="84"/>
      <c r="AT131" s="84"/>
      <c r="AU131" s="84"/>
      <c r="AV131" s="84"/>
      <c r="AW131" s="84"/>
      <c r="AX131" s="84"/>
      <c r="AY131" s="84"/>
      <c r="AZ131" s="84"/>
      <c r="BA131" s="84"/>
      <c r="BB131" s="84"/>
      <c r="BC131" s="84"/>
      <c r="BD131" s="84"/>
      <c r="BE131" s="84"/>
      <c r="BF131" s="84"/>
      <c r="BG131" s="84"/>
      <c r="BH131" s="84"/>
      <c r="BI131" s="84"/>
      <c r="BJ131" s="84"/>
    </row>
    <row r="132" spans="1:62" x14ac:dyDescent="0.25">
      <c r="A132" s="77" t="s">
        <v>264</v>
      </c>
      <c r="B132" s="77" t="s">
        <v>270</v>
      </c>
      <c r="C132" s="78" t="s">
        <v>314</v>
      </c>
      <c r="D132" s="77" t="s">
        <v>271</v>
      </c>
      <c r="E132" s="77" t="s">
        <v>292</v>
      </c>
      <c r="F132" s="85">
        <v>156.62698748346025</v>
      </c>
      <c r="G132" s="85">
        <v>158.09743868094014</v>
      </c>
      <c r="H132" s="85">
        <v>157.51893690702016</v>
      </c>
      <c r="I132" s="85">
        <v>160.60230584862012</v>
      </c>
      <c r="J132" s="85">
        <v>160.15633113684015</v>
      </c>
      <c r="K132" s="85">
        <v>156.62698748346025</v>
      </c>
      <c r="L132" s="85">
        <v>157.6514639691602</v>
      </c>
      <c r="M132" s="85">
        <v>158.09743868094014</v>
      </c>
      <c r="N132" s="85">
        <v>157.51893690702016</v>
      </c>
      <c r="O132" s="85">
        <v>160.15633113684015</v>
      </c>
      <c r="P132" s="85">
        <v>156.62698748346025</v>
      </c>
      <c r="Q132" s="85">
        <v>156.62698748346025</v>
      </c>
      <c r="R132" s="85">
        <v>157.6514639691602</v>
      </c>
      <c r="S132" s="85">
        <v>157.51893690702016</v>
      </c>
      <c r="T132" s="85">
        <v>160.60230584862012</v>
      </c>
      <c r="U132" s="85">
        <v>160.15633113684015</v>
      </c>
      <c r="V132" s="85">
        <v>156.62698748346025</v>
      </c>
      <c r="W132" s="85">
        <v>157.6514639691602</v>
      </c>
      <c r="X132" s="85">
        <v>158.09743868094014</v>
      </c>
      <c r="Y132" s="85">
        <v>157.51893690702016</v>
      </c>
      <c r="Z132" s="85">
        <v>160.60230584862012</v>
      </c>
      <c r="AA132" s="85">
        <v>156.62698748346025</v>
      </c>
      <c r="AB132" s="85">
        <v>156.62698748346025</v>
      </c>
      <c r="AC132" s="85">
        <v>157.6514639691602</v>
      </c>
      <c r="AD132" s="85">
        <v>158.09743868094014</v>
      </c>
      <c r="AE132" s="85">
        <v>160.60230584862012</v>
      </c>
      <c r="AF132" s="85">
        <v>160.15633113684015</v>
      </c>
      <c r="AG132" s="85">
        <v>156.62698748346025</v>
      </c>
      <c r="AI132" s="84"/>
      <c r="AJ132" s="84"/>
      <c r="AK132" s="84"/>
      <c r="AL132" s="84"/>
      <c r="AM132" s="84"/>
      <c r="AN132" s="84"/>
      <c r="AO132" s="84"/>
      <c r="AP132" s="84"/>
      <c r="AQ132" s="84"/>
      <c r="AR132" s="84"/>
      <c r="AS132" s="84"/>
      <c r="AT132" s="84"/>
      <c r="AU132" s="84"/>
      <c r="AV132" s="84"/>
      <c r="AW132" s="84"/>
      <c r="AX132" s="84"/>
      <c r="AY132" s="84"/>
      <c r="AZ132" s="84"/>
      <c r="BA132" s="84"/>
      <c r="BB132" s="84"/>
      <c r="BC132" s="84"/>
      <c r="BD132" s="84"/>
      <c r="BE132" s="84"/>
      <c r="BF132" s="84"/>
      <c r="BG132" s="84"/>
      <c r="BH132" s="84"/>
      <c r="BI132" s="84"/>
      <c r="BJ132" s="84"/>
    </row>
    <row r="133" spans="1:62" x14ac:dyDescent="0.25">
      <c r="A133" s="77" t="s">
        <v>264</v>
      </c>
      <c r="B133" s="77" t="s">
        <v>270</v>
      </c>
      <c r="C133" s="78" t="s">
        <v>315</v>
      </c>
      <c r="D133" s="77" t="s">
        <v>271</v>
      </c>
      <c r="E133" s="77" t="s">
        <v>293</v>
      </c>
      <c r="F133" s="85">
        <v>154.13951102334005</v>
      </c>
      <c r="G133" s="85">
        <v>155.64950564127005</v>
      </c>
      <c r="H133" s="85">
        <v>155.06141005698007</v>
      </c>
      <c r="I133" s="85">
        <v>158.10326427228009</v>
      </c>
      <c r="J133" s="85">
        <v>157.64231475546009</v>
      </c>
      <c r="K133" s="85">
        <v>154.13951102334005</v>
      </c>
      <c r="L133" s="85">
        <v>155.18855612445003</v>
      </c>
      <c r="M133" s="85">
        <v>155.64950564127005</v>
      </c>
      <c r="N133" s="85">
        <v>155.06141005698007</v>
      </c>
      <c r="O133" s="85">
        <v>157.64231475546009</v>
      </c>
      <c r="P133" s="85">
        <v>154.13951102334005</v>
      </c>
      <c r="Q133" s="85">
        <v>154.13951102334005</v>
      </c>
      <c r="R133" s="85">
        <v>155.18855612445003</v>
      </c>
      <c r="S133" s="85">
        <v>155.06141005698007</v>
      </c>
      <c r="T133" s="85">
        <v>158.10326427228009</v>
      </c>
      <c r="U133" s="85">
        <v>157.64231475546009</v>
      </c>
      <c r="V133" s="85">
        <v>154.13951102334005</v>
      </c>
      <c r="W133" s="85">
        <v>155.18855612445003</v>
      </c>
      <c r="X133" s="85">
        <v>155.64950564127005</v>
      </c>
      <c r="Y133" s="85">
        <v>155.06141005698007</v>
      </c>
      <c r="Z133" s="85">
        <v>158.10326427228009</v>
      </c>
      <c r="AA133" s="85">
        <v>154.13951102334005</v>
      </c>
      <c r="AB133" s="85">
        <v>154.13951102334005</v>
      </c>
      <c r="AC133" s="85">
        <v>155.18855612445003</v>
      </c>
      <c r="AD133" s="85">
        <v>155.64950564127005</v>
      </c>
      <c r="AE133" s="85">
        <v>158.10326427228009</v>
      </c>
      <c r="AF133" s="85">
        <v>157.64231475546009</v>
      </c>
      <c r="AG133" s="85">
        <v>154.13951102334005</v>
      </c>
      <c r="AI133" s="84"/>
      <c r="AJ133" s="84"/>
      <c r="AK133" s="84"/>
      <c r="AL133" s="84"/>
      <c r="AM133" s="84"/>
      <c r="AN133" s="84"/>
      <c r="AO133" s="84"/>
      <c r="AP133" s="84"/>
      <c r="AQ133" s="84"/>
      <c r="AR133" s="84"/>
      <c r="AS133" s="84"/>
      <c r="AT133" s="84"/>
      <c r="AU133" s="84"/>
      <c r="AV133" s="84"/>
      <c r="AW133" s="84"/>
      <c r="AX133" s="84"/>
      <c r="AY133" s="84"/>
      <c r="AZ133" s="84"/>
      <c r="BA133" s="84"/>
      <c r="BB133" s="84"/>
      <c r="BC133" s="84"/>
      <c r="BD133" s="84"/>
      <c r="BE133" s="84"/>
      <c r="BF133" s="84"/>
      <c r="BG133" s="84"/>
      <c r="BH133" s="84"/>
      <c r="BI133" s="84"/>
      <c r="BJ133" s="84"/>
    </row>
    <row r="134" spans="1:62" x14ac:dyDescent="0.25">
      <c r="A134" s="77" t="s">
        <v>264</v>
      </c>
      <c r="B134" s="77" t="s">
        <v>270</v>
      </c>
      <c r="C134" s="78" t="s">
        <v>316</v>
      </c>
      <c r="D134" s="77" t="s">
        <v>209</v>
      </c>
      <c r="E134" s="77" t="s">
        <v>294</v>
      </c>
      <c r="F134" s="85">
        <v>157.92845961846001</v>
      </c>
      <c r="G134" s="85">
        <v>158.8364419013399</v>
      </c>
      <c r="H134" s="85">
        <v>158.29631375429997</v>
      </c>
      <c r="I134" s="85">
        <v>161.23445426693991</v>
      </c>
      <c r="J134" s="85">
        <v>161.05052719901994</v>
      </c>
      <c r="K134" s="85">
        <v>157.92845961846001</v>
      </c>
      <c r="L134" s="85">
        <v>158.65251483341996</v>
      </c>
      <c r="M134" s="85">
        <v>158.8364419013399</v>
      </c>
      <c r="N134" s="85">
        <v>158.29631375429997</v>
      </c>
      <c r="O134" s="85">
        <v>161.05052719901994</v>
      </c>
      <c r="P134" s="85">
        <v>157.92845961846001</v>
      </c>
      <c r="Q134" s="85">
        <v>157.92845961846001</v>
      </c>
      <c r="R134" s="85">
        <v>158.65251483341996</v>
      </c>
      <c r="S134" s="85">
        <v>158.29631375429997</v>
      </c>
      <c r="T134" s="85">
        <v>161.23445426693991</v>
      </c>
      <c r="U134" s="85">
        <v>161.05052719901994</v>
      </c>
      <c r="V134" s="85">
        <v>157.92845961846001</v>
      </c>
      <c r="W134" s="85">
        <v>158.65251483341996</v>
      </c>
      <c r="X134" s="85">
        <v>158.8364419013399</v>
      </c>
      <c r="Y134" s="85">
        <v>158.29631375429997</v>
      </c>
      <c r="Z134" s="85">
        <v>161.23445426693991</v>
      </c>
      <c r="AA134" s="85">
        <v>157.92845961846001</v>
      </c>
      <c r="AB134" s="85">
        <v>157.92845961846001</v>
      </c>
      <c r="AC134" s="85">
        <v>158.65251483341996</v>
      </c>
      <c r="AD134" s="85">
        <v>158.8364419013399</v>
      </c>
      <c r="AE134" s="85">
        <v>161.23445426693991</v>
      </c>
      <c r="AF134" s="85">
        <v>161.05052719901994</v>
      </c>
      <c r="AG134" s="85">
        <v>157.92845961846001</v>
      </c>
      <c r="AI134" s="84"/>
      <c r="AJ134" s="84"/>
      <c r="AK134" s="84"/>
      <c r="AL134" s="84"/>
      <c r="AM134" s="84"/>
      <c r="AN134" s="84"/>
      <c r="AO134" s="84"/>
      <c r="AP134" s="84"/>
      <c r="AQ134" s="84"/>
      <c r="AR134" s="84"/>
      <c r="AS134" s="84"/>
      <c r="AT134" s="84"/>
      <c r="AU134" s="84"/>
      <c r="AV134" s="84"/>
      <c r="AW134" s="84"/>
      <c r="AX134" s="84"/>
      <c r="AY134" s="84"/>
      <c r="AZ134" s="84"/>
      <c r="BA134" s="84"/>
      <c r="BB134" s="84"/>
      <c r="BC134" s="84"/>
      <c r="BD134" s="84"/>
      <c r="BE134" s="84"/>
      <c r="BF134" s="84"/>
      <c r="BG134" s="84"/>
      <c r="BH134" s="84"/>
      <c r="BI134" s="84"/>
      <c r="BJ134" s="84"/>
    </row>
    <row r="135" spans="1:62" x14ac:dyDescent="0.25">
      <c r="A135" s="77" t="s">
        <v>264</v>
      </c>
      <c r="B135" s="77" t="s">
        <v>270</v>
      </c>
      <c r="C135" s="78" t="s">
        <v>317</v>
      </c>
      <c r="D135" s="77" t="s">
        <v>213</v>
      </c>
      <c r="E135" s="77" t="s">
        <v>294</v>
      </c>
      <c r="F135" s="85">
        <v>133.89232279470005</v>
      </c>
      <c r="G135" s="85">
        <v>134.94262628814013</v>
      </c>
      <c r="H135" s="85">
        <v>134.52225050322011</v>
      </c>
      <c r="I135" s="85">
        <v>137.09137906278013</v>
      </c>
      <c r="J135" s="85">
        <v>136.77641520852012</v>
      </c>
      <c r="K135" s="85">
        <v>133.89232279470005</v>
      </c>
      <c r="L135" s="85">
        <v>134.62766243388012</v>
      </c>
      <c r="M135" s="85">
        <v>134.94262628814013</v>
      </c>
      <c r="N135" s="85">
        <v>134.52225050322011</v>
      </c>
      <c r="O135" s="85">
        <v>136.77641520852012</v>
      </c>
      <c r="P135" s="85">
        <v>133.89232279470005</v>
      </c>
      <c r="Q135" s="85">
        <v>133.89232279470005</v>
      </c>
      <c r="R135" s="85">
        <v>134.62766243388012</v>
      </c>
      <c r="S135" s="85">
        <v>134.52225050322011</v>
      </c>
      <c r="T135" s="85">
        <v>137.09137906278013</v>
      </c>
      <c r="U135" s="85">
        <v>136.77641520852012</v>
      </c>
      <c r="V135" s="85">
        <v>133.89232279470005</v>
      </c>
      <c r="W135" s="85">
        <v>134.62766243388012</v>
      </c>
      <c r="X135" s="85">
        <v>134.94262628814013</v>
      </c>
      <c r="Y135" s="85">
        <v>134.52225050322011</v>
      </c>
      <c r="Z135" s="85">
        <v>137.09137906278013</v>
      </c>
      <c r="AA135" s="85">
        <v>133.89232279470005</v>
      </c>
      <c r="AB135" s="85">
        <v>133.89232279470005</v>
      </c>
      <c r="AC135" s="85">
        <v>134.62766243388012</v>
      </c>
      <c r="AD135" s="85">
        <v>134.94262628814013</v>
      </c>
      <c r="AE135" s="85">
        <v>137.09137906278013</v>
      </c>
      <c r="AF135" s="85">
        <v>136.77641520852012</v>
      </c>
      <c r="AG135" s="85">
        <v>133.89232279470005</v>
      </c>
      <c r="AI135" s="84"/>
      <c r="AJ135" s="84"/>
      <c r="AK135" s="84"/>
      <c r="AL135" s="84"/>
      <c r="AM135" s="84"/>
      <c r="AN135" s="84"/>
      <c r="AO135" s="84"/>
      <c r="AP135" s="84"/>
      <c r="AQ135" s="84"/>
      <c r="AR135" s="84"/>
      <c r="AS135" s="84"/>
      <c r="AT135" s="84"/>
      <c r="AU135" s="84"/>
      <c r="AV135" s="84"/>
      <c r="AW135" s="84"/>
      <c r="AX135" s="84"/>
      <c r="AY135" s="84"/>
      <c r="AZ135" s="84"/>
      <c r="BA135" s="84"/>
      <c r="BB135" s="84"/>
      <c r="BC135" s="84"/>
      <c r="BD135" s="84"/>
      <c r="BE135" s="84"/>
      <c r="BF135" s="84"/>
      <c r="BG135" s="84"/>
      <c r="BH135" s="84"/>
      <c r="BI135" s="84"/>
      <c r="BJ135" s="84"/>
    </row>
    <row r="136" spans="1:62" x14ac:dyDescent="0.25">
      <c r="A136" s="77" t="s">
        <v>264</v>
      </c>
      <c r="B136" s="77" t="s">
        <v>270</v>
      </c>
      <c r="C136" s="78" t="s">
        <v>318</v>
      </c>
      <c r="D136" s="77" t="s">
        <v>216</v>
      </c>
      <c r="E136" s="77" t="s">
        <v>294</v>
      </c>
      <c r="F136" s="85">
        <v>83.67809269866008</v>
      </c>
      <c r="G136" s="85">
        <v>85.085140461299972</v>
      </c>
      <c r="H136" s="85">
        <v>84.660508963379968</v>
      </c>
      <c r="I136" s="85">
        <v>86.467530582659975</v>
      </c>
      <c r="J136" s="85">
        <v>85.976322450299975</v>
      </c>
      <c r="K136" s="85">
        <v>83.67809269866008</v>
      </c>
      <c r="L136" s="85">
        <v>84.593932328940014</v>
      </c>
      <c r="M136" s="85">
        <v>85.085140461299972</v>
      </c>
      <c r="N136" s="85">
        <v>84.660508963379968</v>
      </c>
      <c r="O136" s="85">
        <v>85.976322450299975</v>
      </c>
      <c r="P136" s="85">
        <v>83.67809269866008</v>
      </c>
      <c r="Q136" s="85">
        <v>83.67809269866008</v>
      </c>
      <c r="R136" s="85">
        <v>84.593932328940014</v>
      </c>
      <c r="S136" s="85">
        <v>84.660508963379968</v>
      </c>
      <c r="T136" s="85">
        <v>86.467530582659975</v>
      </c>
      <c r="U136" s="85">
        <v>85.976322450299975</v>
      </c>
      <c r="V136" s="85">
        <v>83.67809269866008</v>
      </c>
      <c r="W136" s="85">
        <v>84.593932328940014</v>
      </c>
      <c r="X136" s="85">
        <v>85.085140461299972</v>
      </c>
      <c r="Y136" s="85">
        <v>84.660508963379968</v>
      </c>
      <c r="Z136" s="85">
        <v>86.467530582659975</v>
      </c>
      <c r="AA136" s="85">
        <v>83.67809269866008</v>
      </c>
      <c r="AB136" s="85">
        <v>83.67809269866008</v>
      </c>
      <c r="AC136" s="85">
        <v>84.593932328940014</v>
      </c>
      <c r="AD136" s="85">
        <v>85.085140461299972</v>
      </c>
      <c r="AE136" s="85">
        <v>86.467530582659975</v>
      </c>
      <c r="AF136" s="85">
        <v>85.976322450299975</v>
      </c>
      <c r="AG136" s="85">
        <v>83.67809269866008</v>
      </c>
      <c r="AI136" s="84"/>
      <c r="AJ136" s="84"/>
      <c r="AK136" s="84"/>
      <c r="AL136" s="84"/>
      <c r="AM136" s="84"/>
      <c r="AN136" s="84"/>
      <c r="AO136" s="84"/>
      <c r="AP136" s="84"/>
      <c r="AQ136" s="84"/>
      <c r="AR136" s="84"/>
      <c r="AS136" s="84"/>
      <c r="AT136" s="84"/>
      <c r="AU136" s="84"/>
      <c r="AV136" s="84"/>
      <c r="AW136" s="84"/>
      <c r="AX136" s="84"/>
      <c r="AY136" s="84"/>
      <c r="AZ136" s="84"/>
      <c r="BA136" s="84"/>
      <c r="BB136" s="84"/>
      <c r="BC136" s="84"/>
      <c r="BD136" s="84"/>
      <c r="BE136" s="84"/>
      <c r="BF136" s="84"/>
      <c r="BG136" s="84"/>
      <c r="BH136" s="84"/>
      <c r="BI136" s="84"/>
      <c r="BJ136" s="84"/>
    </row>
    <row r="137" spans="1:62" x14ac:dyDescent="0.25">
      <c r="A137" s="77" t="s">
        <v>264</v>
      </c>
      <c r="B137" s="77" t="s">
        <v>270</v>
      </c>
      <c r="C137" s="78" t="s">
        <v>319</v>
      </c>
      <c r="D137" s="77" t="s">
        <v>220</v>
      </c>
      <c r="E137" s="77" t="s">
        <v>294</v>
      </c>
      <c r="F137" s="85">
        <v>4.7480521306799996</v>
      </c>
      <c r="G137" s="85">
        <v>5.0224217738399997</v>
      </c>
      <c r="H137" s="85">
        <v>4.9828431364799997</v>
      </c>
      <c r="I137" s="85">
        <v>5.1398172767399988</v>
      </c>
      <c r="J137" s="85">
        <v>5.0224217738399997</v>
      </c>
      <c r="K137" s="85">
        <v>4.7480521306799996</v>
      </c>
      <c r="L137" s="85">
        <v>4.9050262709399997</v>
      </c>
      <c r="M137" s="85">
        <v>5.0224217738399997</v>
      </c>
      <c r="N137" s="85">
        <v>4.9828431364799997</v>
      </c>
      <c r="O137" s="85">
        <v>5.0224217738399997</v>
      </c>
      <c r="P137" s="85">
        <v>4.7480521306799996</v>
      </c>
      <c r="Q137" s="85">
        <v>4.7480521306799996</v>
      </c>
      <c r="R137" s="85">
        <v>4.9050262709399997</v>
      </c>
      <c r="S137" s="85">
        <v>4.9828431364799997</v>
      </c>
      <c r="T137" s="85">
        <v>5.1398172767399988</v>
      </c>
      <c r="U137" s="85">
        <v>5.0224217738399997</v>
      </c>
      <c r="V137" s="85">
        <v>4.7480521306799996</v>
      </c>
      <c r="W137" s="85">
        <v>4.9050262709399997</v>
      </c>
      <c r="X137" s="85">
        <v>5.0224217738399997</v>
      </c>
      <c r="Y137" s="85">
        <v>4.9828431364799997</v>
      </c>
      <c r="Z137" s="85">
        <v>5.1398172767399988</v>
      </c>
      <c r="AA137" s="85">
        <v>4.7480521306799996</v>
      </c>
      <c r="AB137" s="85">
        <v>4.7480521306799996</v>
      </c>
      <c r="AC137" s="85">
        <v>4.9050262709399997</v>
      </c>
      <c r="AD137" s="85">
        <v>5.0224217738399997</v>
      </c>
      <c r="AE137" s="85">
        <v>5.1398172767399988</v>
      </c>
      <c r="AF137" s="85">
        <v>5.0224217738399997</v>
      </c>
      <c r="AG137" s="85">
        <v>4.7480521306799996</v>
      </c>
      <c r="AI137" s="84"/>
      <c r="AJ137" s="84"/>
      <c r="AK137" s="84"/>
      <c r="AL137" s="84"/>
      <c r="AM137" s="84"/>
      <c r="AN137" s="84"/>
      <c r="AO137" s="84"/>
      <c r="AP137" s="84"/>
      <c r="AQ137" s="84"/>
      <c r="AR137" s="84"/>
      <c r="AS137" s="84"/>
      <c r="AT137" s="84"/>
      <c r="AU137" s="84"/>
      <c r="AV137" s="84"/>
      <c r="AW137" s="84"/>
      <c r="AX137" s="84"/>
      <c r="AY137" s="84"/>
      <c r="AZ137" s="84"/>
      <c r="BA137" s="84"/>
      <c r="BB137" s="84"/>
      <c r="BC137" s="84"/>
      <c r="BD137" s="84"/>
      <c r="BE137" s="84"/>
      <c r="BF137" s="84"/>
      <c r="BG137" s="84"/>
      <c r="BH137" s="84"/>
      <c r="BI137" s="84"/>
      <c r="BJ137" s="84"/>
    </row>
    <row r="138" spans="1:62" x14ac:dyDescent="0.25">
      <c r="A138" s="77" t="s">
        <v>264</v>
      </c>
      <c r="B138" s="77" t="s">
        <v>270</v>
      </c>
      <c r="C138" s="78" t="s">
        <v>320</v>
      </c>
      <c r="D138" s="77" t="s">
        <v>271</v>
      </c>
      <c r="E138" s="77" t="s">
        <v>294</v>
      </c>
      <c r="F138" s="85">
        <v>151.65203456322038</v>
      </c>
      <c r="G138" s="85">
        <v>153.20157260160039</v>
      </c>
      <c r="H138" s="85">
        <v>152.60388320694034</v>
      </c>
      <c r="I138" s="85">
        <v>155.60422269594036</v>
      </c>
      <c r="J138" s="85">
        <v>155.12829837408037</v>
      </c>
      <c r="K138" s="85">
        <v>151.65203456322038</v>
      </c>
      <c r="L138" s="85">
        <v>152.72564827974043</v>
      </c>
      <c r="M138" s="85">
        <v>153.20157260160039</v>
      </c>
      <c r="N138" s="85">
        <v>152.60388320694034</v>
      </c>
      <c r="O138" s="85">
        <v>155.12829837408037</v>
      </c>
      <c r="P138" s="85">
        <v>151.65203456322038</v>
      </c>
      <c r="Q138" s="85">
        <v>151.65203456322038</v>
      </c>
      <c r="R138" s="85">
        <v>152.72564827974043</v>
      </c>
      <c r="S138" s="85">
        <v>152.60388320694034</v>
      </c>
      <c r="T138" s="85">
        <v>155.60422269594036</v>
      </c>
      <c r="U138" s="85">
        <v>155.12829837408037</v>
      </c>
      <c r="V138" s="85">
        <v>151.65203456322038</v>
      </c>
      <c r="W138" s="85">
        <v>152.72564827974043</v>
      </c>
      <c r="X138" s="85">
        <v>153.20157260160039</v>
      </c>
      <c r="Y138" s="85">
        <v>152.60388320694034</v>
      </c>
      <c r="Z138" s="85">
        <v>155.60422269594036</v>
      </c>
      <c r="AA138" s="85">
        <v>151.65203456322038</v>
      </c>
      <c r="AB138" s="85">
        <v>151.65203456322038</v>
      </c>
      <c r="AC138" s="85">
        <v>152.72564827974043</v>
      </c>
      <c r="AD138" s="85">
        <v>153.20157260160039</v>
      </c>
      <c r="AE138" s="85">
        <v>155.60422269594036</v>
      </c>
      <c r="AF138" s="85">
        <v>155.12829837408037</v>
      </c>
      <c r="AG138" s="85">
        <v>151.65203456322038</v>
      </c>
      <c r="AI138" s="84"/>
      <c r="AJ138" s="84"/>
      <c r="AK138" s="84"/>
      <c r="AL138" s="84"/>
      <c r="AM138" s="84"/>
      <c r="AN138" s="84"/>
      <c r="AO138" s="84"/>
      <c r="AP138" s="84"/>
      <c r="AQ138" s="84"/>
      <c r="AR138" s="84"/>
      <c r="AS138" s="84"/>
      <c r="AT138" s="84"/>
      <c r="AU138" s="84"/>
      <c r="AV138" s="84"/>
      <c r="AW138" s="84"/>
      <c r="AX138" s="84"/>
      <c r="AY138" s="84"/>
      <c r="AZ138" s="84"/>
      <c r="BA138" s="84"/>
      <c r="BB138" s="84"/>
      <c r="BC138" s="84"/>
      <c r="BD138" s="84"/>
      <c r="BE138" s="84"/>
      <c r="BF138" s="84"/>
      <c r="BG138" s="84"/>
      <c r="BH138" s="84"/>
      <c r="BI138" s="84"/>
      <c r="BJ138" s="84"/>
    </row>
    <row r="139" spans="1:62" x14ac:dyDescent="0.25">
      <c r="A139" s="77" t="s">
        <v>264</v>
      </c>
      <c r="B139" s="77" t="s">
        <v>270</v>
      </c>
      <c r="C139" s="78" t="s">
        <v>321</v>
      </c>
      <c r="D139" s="77" t="s">
        <v>209</v>
      </c>
      <c r="E139" s="77" t="s">
        <v>295</v>
      </c>
      <c r="F139" s="85">
        <v>157.92845961846001</v>
      </c>
      <c r="G139" s="85">
        <v>158.8364419013399</v>
      </c>
      <c r="H139" s="85">
        <v>158.29631375429997</v>
      </c>
      <c r="I139" s="85">
        <v>161.23445426693991</v>
      </c>
      <c r="J139" s="85">
        <v>161.05052719901994</v>
      </c>
      <c r="K139" s="85">
        <v>157.92845961846001</v>
      </c>
      <c r="L139" s="85">
        <v>158.65251483341996</v>
      </c>
      <c r="M139" s="85">
        <v>158.8364419013399</v>
      </c>
      <c r="N139" s="85">
        <v>158.29631375429997</v>
      </c>
      <c r="O139" s="85">
        <v>161.05052719901994</v>
      </c>
      <c r="P139" s="85">
        <v>157.92845961846001</v>
      </c>
      <c r="Q139" s="85">
        <v>157.92845961846001</v>
      </c>
      <c r="R139" s="85">
        <v>158.65251483341996</v>
      </c>
      <c r="S139" s="85">
        <v>158.29631375429997</v>
      </c>
      <c r="T139" s="85">
        <v>161.23445426693991</v>
      </c>
      <c r="U139" s="85">
        <v>161.05052719901994</v>
      </c>
      <c r="V139" s="85">
        <v>157.92845961846001</v>
      </c>
      <c r="W139" s="85">
        <v>158.65251483341996</v>
      </c>
      <c r="X139" s="85">
        <v>158.8364419013399</v>
      </c>
      <c r="Y139" s="85">
        <v>158.29631375429997</v>
      </c>
      <c r="Z139" s="85">
        <v>161.23445426693991</v>
      </c>
      <c r="AA139" s="85">
        <v>157.92845961846001</v>
      </c>
      <c r="AB139" s="85">
        <v>157.92845961846001</v>
      </c>
      <c r="AC139" s="85">
        <v>158.65251483341996</v>
      </c>
      <c r="AD139" s="85">
        <v>158.8364419013399</v>
      </c>
      <c r="AE139" s="85">
        <v>161.23445426693991</v>
      </c>
      <c r="AF139" s="85">
        <v>161.05052719901994</v>
      </c>
      <c r="AG139" s="85">
        <v>157.92845961846001</v>
      </c>
      <c r="AI139" s="84"/>
      <c r="AJ139" s="84"/>
      <c r="AK139" s="84"/>
      <c r="AL139" s="84"/>
      <c r="AM139" s="84"/>
      <c r="AN139" s="84"/>
      <c r="AO139" s="84"/>
      <c r="AP139" s="84"/>
      <c r="AQ139" s="84"/>
      <c r="AR139" s="84"/>
      <c r="AS139" s="84"/>
      <c r="AT139" s="84"/>
      <c r="AU139" s="84"/>
      <c r="AV139" s="84"/>
      <c r="AW139" s="84"/>
      <c r="AX139" s="84"/>
      <c r="AY139" s="84"/>
      <c r="AZ139" s="84"/>
      <c r="BA139" s="84"/>
      <c r="BB139" s="84"/>
      <c r="BC139" s="84"/>
      <c r="BD139" s="84"/>
      <c r="BE139" s="84"/>
      <c r="BF139" s="84"/>
      <c r="BG139" s="84"/>
      <c r="BH139" s="84"/>
      <c r="BI139" s="84"/>
      <c r="BJ139" s="84"/>
    </row>
    <row r="140" spans="1:62" x14ac:dyDescent="0.25">
      <c r="A140" s="77" t="s">
        <v>264</v>
      </c>
      <c r="B140" s="77" t="s">
        <v>270</v>
      </c>
      <c r="C140" s="78" t="s">
        <v>322</v>
      </c>
      <c r="D140" s="77" t="s">
        <v>213</v>
      </c>
      <c r="E140" s="77" t="s">
        <v>295</v>
      </c>
      <c r="F140" s="85">
        <v>133.89232279470005</v>
      </c>
      <c r="G140" s="85">
        <v>134.94262628814013</v>
      </c>
      <c r="H140" s="85">
        <v>134.52225050322011</v>
      </c>
      <c r="I140" s="85">
        <v>137.09137906278013</v>
      </c>
      <c r="J140" s="85">
        <v>136.77641520852012</v>
      </c>
      <c r="K140" s="85">
        <v>133.89232279470005</v>
      </c>
      <c r="L140" s="85">
        <v>134.62766243388012</v>
      </c>
      <c r="M140" s="85">
        <v>134.94262628814013</v>
      </c>
      <c r="N140" s="85">
        <v>134.52225050322011</v>
      </c>
      <c r="O140" s="85">
        <v>136.77641520852012</v>
      </c>
      <c r="P140" s="85">
        <v>133.89232279470005</v>
      </c>
      <c r="Q140" s="85">
        <v>133.89232279470005</v>
      </c>
      <c r="R140" s="85">
        <v>134.62766243388012</v>
      </c>
      <c r="S140" s="85">
        <v>134.52225050322011</v>
      </c>
      <c r="T140" s="85">
        <v>137.09137906278013</v>
      </c>
      <c r="U140" s="85">
        <v>136.77641520852012</v>
      </c>
      <c r="V140" s="85">
        <v>133.89232279470005</v>
      </c>
      <c r="W140" s="85">
        <v>134.62766243388012</v>
      </c>
      <c r="X140" s="85">
        <v>134.94262628814013</v>
      </c>
      <c r="Y140" s="85">
        <v>134.52225050322011</v>
      </c>
      <c r="Z140" s="85">
        <v>137.09137906278013</v>
      </c>
      <c r="AA140" s="85">
        <v>133.89232279470005</v>
      </c>
      <c r="AB140" s="85">
        <v>133.89232279470005</v>
      </c>
      <c r="AC140" s="85">
        <v>134.62766243388012</v>
      </c>
      <c r="AD140" s="85">
        <v>134.94262628814013</v>
      </c>
      <c r="AE140" s="85">
        <v>137.09137906278013</v>
      </c>
      <c r="AF140" s="85">
        <v>136.77641520852012</v>
      </c>
      <c r="AG140" s="85">
        <v>133.89232279470005</v>
      </c>
      <c r="AI140" s="84"/>
      <c r="AJ140" s="84"/>
      <c r="AK140" s="84"/>
      <c r="AL140" s="84"/>
      <c r="AM140" s="84"/>
      <c r="AN140" s="84"/>
      <c r="AO140" s="84"/>
      <c r="AP140" s="84"/>
      <c r="AQ140" s="84"/>
      <c r="AR140" s="84"/>
      <c r="AS140" s="84"/>
      <c r="AT140" s="84"/>
      <c r="AU140" s="84"/>
      <c r="AV140" s="84"/>
      <c r="AW140" s="84"/>
      <c r="AX140" s="84"/>
      <c r="AY140" s="84"/>
      <c r="AZ140" s="84"/>
      <c r="BA140" s="84"/>
      <c r="BB140" s="84"/>
      <c r="BC140" s="84"/>
      <c r="BD140" s="84"/>
      <c r="BE140" s="84"/>
      <c r="BF140" s="84"/>
      <c r="BG140" s="84"/>
      <c r="BH140" s="84"/>
      <c r="BI140" s="84"/>
      <c r="BJ140" s="84"/>
    </row>
    <row r="141" spans="1:62" x14ac:dyDescent="0.25">
      <c r="A141" s="77" t="s">
        <v>264</v>
      </c>
      <c r="B141" s="77" t="s">
        <v>270</v>
      </c>
      <c r="C141" s="78" t="s">
        <v>323</v>
      </c>
      <c r="D141" s="77" t="s">
        <v>216</v>
      </c>
      <c r="E141" s="77" t="s">
        <v>295</v>
      </c>
      <c r="F141" s="85">
        <v>83.67809269866008</v>
      </c>
      <c r="G141" s="85">
        <v>85.085140461299972</v>
      </c>
      <c r="H141" s="85">
        <v>84.660508963379968</v>
      </c>
      <c r="I141" s="85">
        <v>86.467530582659975</v>
      </c>
      <c r="J141" s="85">
        <v>85.976322450299975</v>
      </c>
      <c r="K141" s="85">
        <v>83.67809269866008</v>
      </c>
      <c r="L141" s="85">
        <v>84.593932328940014</v>
      </c>
      <c r="M141" s="85">
        <v>85.085140461299972</v>
      </c>
      <c r="N141" s="85">
        <v>84.660508963379968</v>
      </c>
      <c r="O141" s="85">
        <v>85.976322450299975</v>
      </c>
      <c r="P141" s="85">
        <v>83.67809269866008</v>
      </c>
      <c r="Q141" s="85">
        <v>83.67809269866008</v>
      </c>
      <c r="R141" s="85">
        <v>84.593932328940014</v>
      </c>
      <c r="S141" s="85">
        <v>84.660508963379968</v>
      </c>
      <c r="T141" s="85">
        <v>86.467530582659975</v>
      </c>
      <c r="U141" s="85">
        <v>85.976322450299975</v>
      </c>
      <c r="V141" s="85">
        <v>83.67809269866008</v>
      </c>
      <c r="W141" s="85">
        <v>84.593932328940014</v>
      </c>
      <c r="X141" s="85">
        <v>85.085140461299972</v>
      </c>
      <c r="Y141" s="85">
        <v>84.660508963379968</v>
      </c>
      <c r="Z141" s="85">
        <v>86.467530582659975</v>
      </c>
      <c r="AA141" s="85">
        <v>83.67809269866008</v>
      </c>
      <c r="AB141" s="85">
        <v>83.67809269866008</v>
      </c>
      <c r="AC141" s="85">
        <v>84.593932328940014</v>
      </c>
      <c r="AD141" s="85">
        <v>85.085140461299972</v>
      </c>
      <c r="AE141" s="85">
        <v>86.467530582659975</v>
      </c>
      <c r="AF141" s="85">
        <v>85.976322450299975</v>
      </c>
      <c r="AG141" s="85">
        <v>83.67809269866008</v>
      </c>
      <c r="AI141" s="84"/>
      <c r="AJ141" s="84"/>
      <c r="AK141" s="84"/>
      <c r="AL141" s="84"/>
      <c r="AM141" s="84"/>
      <c r="AN141" s="84"/>
      <c r="AO141" s="84"/>
      <c r="AP141" s="84"/>
      <c r="AQ141" s="84"/>
      <c r="AR141" s="84"/>
      <c r="AS141" s="84"/>
      <c r="AT141" s="84"/>
      <c r="AU141" s="84"/>
      <c r="AV141" s="84"/>
      <c r="AW141" s="84"/>
      <c r="AX141" s="84"/>
      <c r="AY141" s="84"/>
      <c r="AZ141" s="84"/>
      <c r="BA141" s="84"/>
      <c r="BB141" s="84"/>
      <c r="BC141" s="84"/>
      <c r="BD141" s="84"/>
      <c r="BE141" s="84"/>
      <c r="BF141" s="84"/>
      <c r="BG141" s="84"/>
      <c r="BH141" s="84"/>
      <c r="BI141" s="84"/>
      <c r="BJ141" s="84"/>
    </row>
    <row r="142" spans="1:62" x14ac:dyDescent="0.25">
      <c r="A142" s="77" t="s">
        <v>264</v>
      </c>
      <c r="B142" s="77" t="s">
        <v>270</v>
      </c>
      <c r="C142" s="78" t="s">
        <v>324</v>
      </c>
      <c r="D142" s="77" t="s">
        <v>220</v>
      </c>
      <c r="E142" s="77" t="s">
        <v>295</v>
      </c>
      <c r="F142" s="85">
        <v>4.7480521306799996</v>
      </c>
      <c r="G142" s="85">
        <v>5.0224217738399997</v>
      </c>
      <c r="H142" s="85">
        <v>4.9828431364799997</v>
      </c>
      <c r="I142" s="85">
        <v>5.1398172767399988</v>
      </c>
      <c r="J142" s="85">
        <v>5.0224217738399997</v>
      </c>
      <c r="K142" s="85">
        <v>4.7480521306799996</v>
      </c>
      <c r="L142" s="85">
        <v>4.9050262709399997</v>
      </c>
      <c r="M142" s="85">
        <v>5.0224217738399997</v>
      </c>
      <c r="N142" s="85">
        <v>4.9828431364799997</v>
      </c>
      <c r="O142" s="85">
        <v>5.0224217738399997</v>
      </c>
      <c r="P142" s="85">
        <v>4.7480521306799996</v>
      </c>
      <c r="Q142" s="85">
        <v>4.7480521306799996</v>
      </c>
      <c r="R142" s="85">
        <v>4.9050262709399997</v>
      </c>
      <c r="S142" s="85">
        <v>4.9828431364799997</v>
      </c>
      <c r="T142" s="85">
        <v>5.1398172767399988</v>
      </c>
      <c r="U142" s="85">
        <v>5.0224217738399997</v>
      </c>
      <c r="V142" s="85">
        <v>4.7480521306799996</v>
      </c>
      <c r="W142" s="85">
        <v>4.9050262709399997</v>
      </c>
      <c r="X142" s="85">
        <v>5.0224217738399997</v>
      </c>
      <c r="Y142" s="85">
        <v>4.9828431364799997</v>
      </c>
      <c r="Z142" s="85">
        <v>5.1398172767399988</v>
      </c>
      <c r="AA142" s="85">
        <v>4.7480521306799996</v>
      </c>
      <c r="AB142" s="85">
        <v>4.7480521306799996</v>
      </c>
      <c r="AC142" s="85">
        <v>4.9050262709399997</v>
      </c>
      <c r="AD142" s="85">
        <v>5.0224217738399997</v>
      </c>
      <c r="AE142" s="85">
        <v>5.1398172767399988</v>
      </c>
      <c r="AF142" s="85">
        <v>5.0224217738399997</v>
      </c>
      <c r="AG142" s="85">
        <v>4.7480521306799996</v>
      </c>
      <c r="AI142" s="84"/>
      <c r="AJ142" s="84"/>
      <c r="AK142" s="84"/>
      <c r="AL142" s="84"/>
      <c r="AM142" s="84"/>
      <c r="AN142" s="84"/>
      <c r="AO142" s="84"/>
      <c r="AP142" s="84"/>
      <c r="AQ142" s="84"/>
      <c r="AR142" s="84"/>
      <c r="AS142" s="84"/>
      <c r="AT142" s="84"/>
      <c r="AU142" s="84"/>
      <c r="AV142" s="84"/>
      <c r="AW142" s="84"/>
      <c r="AX142" s="84"/>
      <c r="AY142" s="84"/>
      <c r="AZ142" s="84"/>
      <c r="BA142" s="84"/>
      <c r="BB142" s="84"/>
      <c r="BC142" s="84"/>
      <c r="BD142" s="84"/>
      <c r="BE142" s="84"/>
      <c r="BF142" s="84"/>
      <c r="BG142" s="84"/>
      <c r="BH142" s="84"/>
      <c r="BI142" s="84"/>
      <c r="BJ142" s="84"/>
    </row>
    <row r="143" spans="1:62" x14ac:dyDescent="0.25">
      <c r="A143" s="77" t="s">
        <v>264</v>
      </c>
      <c r="B143" s="77" t="s">
        <v>270</v>
      </c>
      <c r="C143" s="78" t="s">
        <v>325</v>
      </c>
      <c r="D143" s="77" t="s">
        <v>271</v>
      </c>
      <c r="E143" s="77" t="s">
        <v>295</v>
      </c>
      <c r="F143" s="85">
        <v>151.65203456322038</v>
      </c>
      <c r="G143" s="85">
        <v>153.20157260160039</v>
      </c>
      <c r="H143" s="85">
        <v>152.60388320694034</v>
      </c>
      <c r="I143" s="85">
        <v>155.60422269594036</v>
      </c>
      <c r="J143" s="85">
        <v>155.12829837408037</v>
      </c>
      <c r="K143" s="85">
        <v>151.65203456322038</v>
      </c>
      <c r="L143" s="85">
        <v>152.72564827974043</v>
      </c>
      <c r="M143" s="85">
        <v>153.20157260160039</v>
      </c>
      <c r="N143" s="85">
        <v>152.60388320694034</v>
      </c>
      <c r="O143" s="85">
        <v>155.12829837408037</v>
      </c>
      <c r="P143" s="85">
        <v>151.65203456322038</v>
      </c>
      <c r="Q143" s="85">
        <v>151.65203456322038</v>
      </c>
      <c r="R143" s="85">
        <v>152.72564827974043</v>
      </c>
      <c r="S143" s="85">
        <v>152.60388320694034</v>
      </c>
      <c r="T143" s="85">
        <v>155.60422269594036</v>
      </c>
      <c r="U143" s="85">
        <v>155.12829837408037</v>
      </c>
      <c r="V143" s="85">
        <v>151.65203456322038</v>
      </c>
      <c r="W143" s="85">
        <v>152.72564827974043</v>
      </c>
      <c r="X143" s="85">
        <v>153.20157260160039</v>
      </c>
      <c r="Y143" s="85">
        <v>152.60388320694034</v>
      </c>
      <c r="Z143" s="85">
        <v>155.60422269594036</v>
      </c>
      <c r="AA143" s="85">
        <v>151.65203456322038</v>
      </c>
      <c r="AB143" s="85">
        <v>151.65203456322038</v>
      </c>
      <c r="AC143" s="85">
        <v>152.72564827974043</v>
      </c>
      <c r="AD143" s="85">
        <v>153.20157260160039</v>
      </c>
      <c r="AE143" s="85">
        <v>155.60422269594036</v>
      </c>
      <c r="AF143" s="85">
        <v>155.12829837408037</v>
      </c>
      <c r="AG143" s="85">
        <v>151.65203456322038</v>
      </c>
      <c r="AI143" s="84"/>
      <c r="AJ143" s="84"/>
      <c r="AK143" s="84"/>
      <c r="AL143" s="84"/>
      <c r="AM143" s="84"/>
      <c r="AN143" s="84"/>
      <c r="AO143" s="84"/>
      <c r="AP143" s="84"/>
      <c r="AQ143" s="84"/>
      <c r="AR143" s="84"/>
      <c r="AS143" s="84"/>
      <c r="AT143" s="84"/>
      <c r="AU143" s="84"/>
      <c r="AV143" s="84"/>
      <c r="AW143" s="84"/>
      <c r="AX143" s="84"/>
      <c r="AY143" s="84"/>
      <c r="AZ143" s="84"/>
      <c r="BA143" s="84"/>
      <c r="BB143" s="84"/>
      <c r="BC143" s="84"/>
      <c r="BD143" s="84"/>
      <c r="BE143" s="84"/>
      <c r="BF143" s="84"/>
      <c r="BG143" s="84"/>
      <c r="BH143" s="84"/>
      <c r="BI143" s="84"/>
      <c r="BJ143" s="84"/>
    </row>
    <row r="144" spans="1:62" x14ac:dyDescent="0.25">
      <c r="A144" s="77" t="s">
        <v>264</v>
      </c>
      <c r="B144" s="77" t="s">
        <v>270</v>
      </c>
      <c r="C144" s="78" t="s">
        <v>326</v>
      </c>
      <c r="D144" s="77" t="s">
        <v>209</v>
      </c>
      <c r="E144" s="77" t="s">
        <v>296</v>
      </c>
      <c r="F144" s="85">
        <v>157.92845961846001</v>
      </c>
      <c r="G144" s="85">
        <v>158.8364419013399</v>
      </c>
      <c r="H144" s="85">
        <v>158.29631375429997</v>
      </c>
      <c r="I144" s="85">
        <v>161.23445426693991</v>
      </c>
      <c r="J144" s="85">
        <v>161.05052719901994</v>
      </c>
      <c r="K144" s="85">
        <v>157.92845961846001</v>
      </c>
      <c r="L144" s="85">
        <v>158.65251483341996</v>
      </c>
      <c r="M144" s="85">
        <v>158.8364419013399</v>
      </c>
      <c r="N144" s="85">
        <v>158.29631375429997</v>
      </c>
      <c r="O144" s="85">
        <v>161.05052719901994</v>
      </c>
      <c r="P144" s="85">
        <v>157.92845961846001</v>
      </c>
      <c r="Q144" s="85">
        <v>157.92845961846001</v>
      </c>
      <c r="R144" s="85">
        <v>158.65251483341996</v>
      </c>
      <c r="S144" s="85">
        <v>158.29631375429997</v>
      </c>
      <c r="T144" s="85">
        <v>161.23445426693991</v>
      </c>
      <c r="U144" s="85">
        <v>161.05052719901994</v>
      </c>
      <c r="V144" s="85">
        <v>157.92845961846001</v>
      </c>
      <c r="W144" s="85">
        <v>158.65251483341996</v>
      </c>
      <c r="X144" s="85">
        <v>158.8364419013399</v>
      </c>
      <c r="Y144" s="85">
        <v>158.29631375429997</v>
      </c>
      <c r="Z144" s="85">
        <v>161.23445426693991</v>
      </c>
      <c r="AA144" s="85">
        <v>157.92845961846001</v>
      </c>
      <c r="AB144" s="85">
        <v>157.92845961846001</v>
      </c>
      <c r="AC144" s="85">
        <v>158.65251483341996</v>
      </c>
      <c r="AD144" s="85">
        <v>158.8364419013399</v>
      </c>
      <c r="AE144" s="85">
        <v>161.23445426693991</v>
      </c>
      <c r="AF144" s="85">
        <v>161.05052719901994</v>
      </c>
      <c r="AG144" s="85">
        <v>157.92845961846001</v>
      </c>
      <c r="AI144" s="84"/>
      <c r="AJ144" s="84"/>
      <c r="AK144" s="84"/>
      <c r="AL144" s="84"/>
      <c r="AM144" s="84"/>
      <c r="AN144" s="84"/>
      <c r="AO144" s="84"/>
      <c r="AP144" s="84"/>
      <c r="AQ144" s="84"/>
      <c r="AR144" s="84"/>
      <c r="AS144" s="84"/>
      <c r="AT144" s="84"/>
      <c r="AU144" s="84"/>
      <c r="AV144" s="84"/>
      <c r="AW144" s="84"/>
      <c r="AX144" s="84"/>
      <c r="AY144" s="84"/>
      <c r="AZ144" s="84"/>
      <c r="BA144" s="84"/>
      <c r="BB144" s="84"/>
      <c r="BC144" s="84"/>
      <c r="BD144" s="84"/>
      <c r="BE144" s="84"/>
      <c r="BF144" s="84"/>
      <c r="BG144" s="84"/>
      <c r="BH144" s="84"/>
      <c r="BI144" s="84"/>
      <c r="BJ144" s="84"/>
    </row>
    <row r="145" spans="1:62" x14ac:dyDescent="0.25">
      <c r="A145" s="77" t="s">
        <v>264</v>
      </c>
      <c r="B145" s="77" t="s">
        <v>270</v>
      </c>
      <c r="C145" s="78" t="s">
        <v>327</v>
      </c>
      <c r="D145" s="77" t="s">
        <v>213</v>
      </c>
      <c r="E145" s="77" t="s">
        <v>296</v>
      </c>
      <c r="F145" s="85">
        <v>133.89232279470005</v>
      </c>
      <c r="G145" s="85">
        <v>134.94262628814013</v>
      </c>
      <c r="H145" s="85">
        <v>134.52225050322011</v>
      </c>
      <c r="I145" s="85">
        <v>137.09137906278013</v>
      </c>
      <c r="J145" s="85">
        <v>136.77641520852012</v>
      </c>
      <c r="K145" s="85">
        <v>133.89232279470005</v>
      </c>
      <c r="L145" s="85">
        <v>134.62766243388012</v>
      </c>
      <c r="M145" s="85">
        <v>134.94262628814013</v>
      </c>
      <c r="N145" s="85">
        <v>134.52225050322011</v>
      </c>
      <c r="O145" s="85">
        <v>136.77641520852012</v>
      </c>
      <c r="P145" s="85">
        <v>133.89232279470005</v>
      </c>
      <c r="Q145" s="85">
        <v>133.89232279470005</v>
      </c>
      <c r="R145" s="85">
        <v>134.62766243388012</v>
      </c>
      <c r="S145" s="85">
        <v>134.52225050322011</v>
      </c>
      <c r="T145" s="85">
        <v>137.09137906278013</v>
      </c>
      <c r="U145" s="85">
        <v>136.77641520852012</v>
      </c>
      <c r="V145" s="85">
        <v>133.89232279470005</v>
      </c>
      <c r="W145" s="85">
        <v>134.62766243388012</v>
      </c>
      <c r="X145" s="85">
        <v>134.94262628814013</v>
      </c>
      <c r="Y145" s="85">
        <v>134.52225050322011</v>
      </c>
      <c r="Z145" s="85">
        <v>137.09137906278013</v>
      </c>
      <c r="AA145" s="85">
        <v>133.89232279470005</v>
      </c>
      <c r="AB145" s="85">
        <v>133.89232279470005</v>
      </c>
      <c r="AC145" s="85">
        <v>134.62766243388012</v>
      </c>
      <c r="AD145" s="85">
        <v>134.94262628814013</v>
      </c>
      <c r="AE145" s="85">
        <v>137.09137906278013</v>
      </c>
      <c r="AF145" s="85">
        <v>136.77641520852012</v>
      </c>
      <c r="AG145" s="85">
        <v>133.89232279470005</v>
      </c>
      <c r="AI145" s="84"/>
      <c r="AJ145" s="84"/>
      <c r="AK145" s="84"/>
      <c r="AL145" s="84"/>
      <c r="AM145" s="84"/>
      <c r="AN145" s="84"/>
      <c r="AO145" s="84"/>
      <c r="AP145" s="84"/>
      <c r="AQ145" s="84"/>
      <c r="AR145" s="84"/>
      <c r="AS145" s="84"/>
      <c r="AT145" s="84"/>
      <c r="AU145" s="84"/>
      <c r="AV145" s="84"/>
      <c r="AW145" s="84"/>
      <c r="AX145" s="84"/>
      <c r="AY145" s="84"/>
      <c r="AZ145" s="84"/>
      <c r="BA145" s="84"/>
      <c r="BB145" s="84"/>
      <c r="BC145" s="84"/>
      <c r="BD145" s="84"/>
      <c r="BE145" s="84"/>
      <c r="BF145" s="84"/>
      <c r="BG145" s="84"/>
      <c r="BH145" s="84"/>
      <c r="BI145" s="84"/>
      <c r="BJ145" s="84"/>
    </row>
    <row r="146" spans="1:62" x14ac:dyDescent="0.25">
      <c r="A146" s="77" t="s">
        <v>264</v>
      </c>
      <c r="B146" s="77" t="s">
        <v>270</v>
      </c>
      <c r="C146" s="78" t="s">
        <v>328</v>
      </c>
      <c r="D146" s="77" t="s">
        <v>216</v>
      </c>
      <c r="E146" s="77" t="s">
        <v>296</v>
      </c>
      <c r="F146" s="85">
        <v>83.67809269866008</v>
      </c>
      <c r="G146" s="85">
        <v>85.085140461299972</v>
      </c>
      <c r="H146" s="85">
        <v>84.660508963379968</v>
      </c>
      <c r="I146" s="85">
        <v>86.467530582659975</v>
      </c>
      <c r="J146" s="85">
        <v>85.976322450299975</v>
      </c>
      <c r="K146" s="85">
        <v>83.67809269866008</v>
      </c>
      <c r="L146" s="85">
        <v>84.593932328940014</v>
      </c>
      <c r="M146" s="85">
        <v>85.085140461299972</v>
      </c>
      <c r="N146" s="85">
        <v>84.660508963379968</v>
      </c>
      <c r="O146" s="85">
        <v>85.976322450299975</v>
      </c>
      <c r="P146" s="85">
        <v>83.67809269866008</v>
      </c>
      <c r="Q146" s="85">
        <v>83.67809269866008</v>
      </c>
      <c r="R146" s="85">
        <v>84.593932328940014</v>
      </c>
      <c r="S146" s="85">
        <v>84.660508963379968</v>
      </c>
      <c r="T146" s="85">
        <v>86.467530582659975</v>
      </c>
      <c r="U146" s="85">
        <v>85.976322450299975</v>
      </c>
      <c r="V146" s="85">
        <v>83.67809269866008</v>
      </c>
      <c r="W146" s="85">
        <v>84.593932328940014</v>
      </c>
      <c r="X146" s="85">
        <v>85.085140461299972</v>
      </c>
      <c r="Y146" s="85">
        <v>84.660508963379968</v>
      </c>
      <c r="Z146" s="85">
        <v>86.467530582659975</v>
      </c>
      <c r="AA146" s="85">
        <v>83.67809269866008</v>
      </c>
      <c r="AB146" s="85">
        <v>83.67809269866008</v>
      </c>
      <c r="AC146" s="85">
        <v>84.593932328940014</v>
      </c>
      <c r="AD146" s="85">
        <v>85.085140461299972</v>
      </c>
      <c r="AE146" s="85">
        <v>86.467530582659975</v>
      </c>
      <c r="AF146" s="85">
        <v>85.976322450299975</v>
      </c>
      <c r="AG146" s="85">
        <v>83.67809269866008</v>
      </c>
      <c r="AI146" s="84"/>
      <c r="AJ146" s="84"/>
      <c r="AK146" s="84"/>
      <c r="AL146" s="84"/>
      <c r="AM146" s="84"/>
      <c r="AN146" s="84"/>
      <c r="AO146" s="84"/>
      <c r="AP146" s="84"/>
      <c r="AQ146" s="84"/>
      <c r="AR146" s="84"/>
      <c r="AS146" s="84"/>
      <c r="AT146" s="84"/>
      <c r="AU146" s="84"/>
      <c r="AV146" s="84"/>
      <c r="AW146" s="84"/>
      <c r="AX146" s="84"/>
      <c r="AY146" s="84"/>
      <c r="AZ146" s="84"/>
      <c r="BA146" s="84"/>
      <c r="BB146" s="84"/>
      <c r="BC146" s="84"/>
      <c r="BD146" s="84"/>
      <c r="BE146" s="84"/>
      <c r="BF146" s="84"/>
      <c r="BG146" s="84"/>
      <c r="BH146" s="84"/>
      <c r="BI146" s="84"/>
      <c r="BJ146" s="84"/>
    </row>
    <row r="147" spans="1:62" x14ac:dyDescent="0.25">
      <c r="A147" s="77" t="s">
        <v>264</v>
      </c>
      <c r="B147" s="77" t="s">
        <v>270</v>
      </c>
      <c r="C147" s="78" t="s">
        <v>329</v>
      </c>
      <c r="D147" s="77" t="s">
        <v>220</v>
      </c>
      <c r="E147" s="77" t="s">
        <v>296</v>
      </c>
      <c r="F147" s="85">
        <v>4.7480521306799996</v>
      </c>
      <c r="G147" s="85">
        <v>5.0224217738399997</v>
      </c>
      <c r="H147" s="85">
        <v>4.9828431364799997</v>
      </c>
      <c r="I147" s="85">
        <v>5.1398172767399988</v>
      </c>
      <c r="J147" s="85">
        <v>5.0224217738399997</v>
      </c>
      <c r="K147" s="85">
        <v>4.7480521306799996</v>
      </c>
      <c r="L147" s="85">
        <v>4.9050262709399997</v>
      </c>
      <c r="M147" s="85">
        <v>5.0224217738399997</v>
      </c>
      <c r="N147" s="85">
        <v>4.9828431364799997</v>
      </c>
      <c r="O147" s="85">
        <v>5.0224217738399997</v>
      </c>
      <c r="P147" s="85">
        <v>4.7480521306799996</v>
      </c>
      <c r="Q147" s="85">
        <v>4.7480521306799996</v>
      </c>
      <c r="R147" s="85">
        <v>4.9050262709399997</v>
      </c>
      <c r="S147" s="85">
        <v>4.9828431364799997</v>
      </c>
      <c r="T147" s="85">
        <v>5.1398172767399988</v>
      </c>
      <c r="U147" s="85">
        <v>5.0224217738399997</v>
      </c>
      <c r="V147" s="85">
        <v>4.7480521306799996</v>
      </c>
      <c r="W147" s="85">
        <v>4.9050262709399997</v>
      </c>
      <c r="X147" s="85">
        <v>5.0224217738399997</v>
      </c>
      <c r="Y147" s="85">
        <v>4.9828431364799997</v>
      </c>
      <c r="Z147" s="85">
        <v>5.1398172767399988</v>
      </c>
      <c r="AA147" s="85">
        <v>4.7480521306799996</v>
      </c>
      <c r="AB147" s="85">
        <v>4.7480521306799996</v>
      </c>
      <c r="AC147" s="85">
        <v>4.9050262709399997</v>
      </c>
      <c r="AD147" s="85">
        <v>5.0224217738399997</v>
      </c>
      <c r="AE147" s="85">
        <v>5.1398172767399988</v>
      </c>
      <c r="AF147" s="85">
        <v>5.0224217738399997</v>
      </c>
      <c r="AG147" s="85">
        <v>4.7480521306799996</v>
      </c>
      <c r="AI147" s="84"/>
      <c r="AJ147" s="84"/>
      <c r="AK147" s="84"/>
      <c r="AL147" s="84"/>
      <c r="AM147" s="84"/>
      <c r="AN147" s="84"/>
      <c r="AO147" s="84"/>
      <c r="AP147" s="84"/>
      <c r="AQ147" s="84"/>
      <c r="AR147" s="84"/>
      <c r="AS147" s="84"/>
      <c r="AT147" s="84"/>
      <c r="AU147" s="84"/>
      <c r="AV147" s="84"/>
      <c r="AW147" s="84"/>
      <c r="AX147" s="84"/>
      <c r="AY147" s="84"/>
      <c r="AZ147" s="84"/>
      <c r="BA147" s="84"/>
      <c r="BB147" s="84"/>
      <c r="BC147" s="84"/>
      <c r="BD147" s="84"/>
      <c r="BE147" s="84"/>
      <c r="BF147" s="84"/>
      <c r="BG147" s="84"/>
      <c r="BH147" s="84"/>
      <c r="BI147" s="84"/>
      <c r="BJ147" s="84"/>
    </row>
    <row r="148" spans="1:62" x14ac:dyDescent="0.25">
      <c r="A148" s="77" t="s">
        <v>264</v>
      </c>
      <c r="B148" s="77" t="s">
        <v>270</v>
      </c>
      <c r="C148" s="78" t="s">
        <v>330</v>
      </c>
      <c r="D148" s="77" t="s">
        <v>271</v>
      </c>
      <c r="E148" s="77" t="s">
        <v>297</v>
      </c>
      <c r="F148" s="85">
        <v>203.99710334615997</v>
      </c>
      <c r="G148" s="85">
        <v>201.7978757632799</v>
      </c>
      <c r="H148" s="85">
        <v>201.80363754065991</v>
      </c>
      <c r="I148" s="85">
        <v>208.24046012147974</v>
      </c>
      <c r="J148" s="85">
        <v>207.82932957203982</v>
      </c>
      <c r="K148" s="85">
        <v>203.99710334615997</v>
      </c>
      <c r="L148" s="85">
        <v>204.40247211821992</v>
      </c>
      <c r="M148" s="85">
        <v>201.7978757632799</v>
      </c>
      <c r="N148" s="85">
        <v>201.80363754065991</v>
      </c>
      <c r="O148" s="85">
        <v>207.82932957203982</v>
      </c>
      <c r="P148" s="85">
        <v>203.99710334615997</v>
      </c>
      <c r="Q148" s="85">
        <v>203.99710334615997</v>
      </c>
      <c r="R148" s="85">
        <v>204.40247211821992</v>
      </c>
      <c r="S148" s="85">
        <v>201.80363754065991</v>
      </c>
      <c r="T148" s="85">
        <v>208.24046012147974</v>
      </c>
      <c r="U148" s="85">
        <v>207.82932957203982</v>
      </c>
      <c r="V148" s="85">
        <v>203.99710334615997</v>
      </c>
      <c r="W148" s="85">
        <v>204.40247211821992</v>
      </c>
      <c r="X148" s="85">
        <v>201.7978757632799</v>
      </c>
      <c r="Y148" s="85">
        <v>201.80363754065991</v>
      </c>
      <c r="Z148" s="85">
        <v>208.24046012147974</v>
      </c>
      <c r="AA148" s="85">
        <v>203.99710334615997</v>
      </c>
      <c r="AB148" s="85">
        <v>203.99710334615997</v>
      </c>
      <c r="AC148" s="85">
        <v>204.40247211821992</v>
      </c>
      <c r="AD148" s="85">
        <v>201.7978757632799</v>
      </c>
      <c r="AE148" s="85">
        <v>208.24046012147974</v>
      </c>
      <c r="AF148" s="85">
        <v>207.82932957203982</v>
      </c>
      <c r="AG148" s="85">
        <v>203.99710334615997</v>
      </c>
      <c r="AI148" s="84"/>
      <c r="AJ148" s="84"/>
      <c r="AK148" s="84"/>
      <c r="AL148" s="84"/>
      <c r="AM148" s="84"/>
      <c r="AN148" s="84"/>
      <c r="AO148" s="84"/>
      <c r="AP148" s="84"/>
      <c r="AQ148" s="84"/>
      <c r="AR148" s="84"/>
      <c r="AS148" s="84"/>
      <c r="AT148" s="84"/>
      <c r="AU148" s="84"/>
      <c r="AV148" s="84"/>
      <c r="AW148" s="84"/>
      <c r="AX148" s="84"/>
      <c r="AY148" s="84"/>
      <c r="AZ148" s="84"/>
      <c r="BA148" s="84"/>
      <c r="BB148" s="84"/>
      <c r="BC148" s="84"/>
      <c r="BD148" s="84"/>
      <c r="BE148" s="84"/>
      <c r="BF148" s="84"/>
      <c r="BG148" s="84"/>
      <c r="BH148" s="84"/>
      <c r="BI148" s="84"/>
      <c r="BJ148" s="84"/>
    </row>
    <row r="149" spans="1:62" x14ac:dyDescent="0.25">
      <c r="A149" s="77" t="s">
        <v>264</v>
      </c>
      <c r="B149" s="77" t="s">
        <v>270</v>
      </c>
      <c r="C149" s="78" t="s">
        <v>346</v>
      </c>
      <c r="D149" s="77" t="s">
        <v>271</v>
      </c>
      <c r="E149" s="77" t="s">
        <v>298</v>
      </c>
      <c r="F149" s="85">
        <v>177.25801949393971</v>
      </c>
      <c r="G149" s="85">
        <v>178.91654279771959</v>
      </c>
      <c r="H149" s="85">
        <v>178.13241068621963</v>
      </c>
      <c r="I149" s="85">
        <v>181.59411478913947</v>
      </c>
      <c r="J149" s="85">
        <v>181.15691919299945</v>
      </c>
      <c r="K149" s="85">
        <v>177.25801949393971</v>
      </c>
      <c r="L149" s="85">
        <v>178.47934720157957</v>
      </c>
      <c r="M149" s="85">
        <v>178.91654279771959</v>
      </c>
      <c r="N149" s="85">
        <v>178.13241068621963</v>
      </c>
      <c r="O149" s="85">
        <v>181.15691919299945</v>
      </c>
      <c r="P149" s="85">
        <v>177.25801949393971</v>
      </c>
      <c r="Q149" s="85">
        <v>177.25801949393971</v>
      </c>
      <c r="R149" s="85">
        <v>178.47934720157957</v>
      </c>
      <c r="S149" s="85">
        <v>178.13241068621963</v>
      </c>
      <c r="T149" s="85">
        <v>181.59411478913947</v>
      </c>
      <c r="U149" s="85">
        <v>181.15691919299945</v>
      </c>
      <c r="V149" s="85">
        <v>177.25801949393971</v>
      </c>
      <c r="W149" s="85">
        <v>178.47934720157957</v>
      </c>
      <c r="X149" s="85">
        <v>178.91654279771959</v>
      </c>
      <c r="Y149" s="85">
        <v>178.13241068621963</v>
      </c>
      <c r="Z149" s="85">
        <v>181.59411478913947</v>
      </c>
      <c r="AA149" s="85">
        <v>177.25801949393971</v>
      </c>
      <c r="AB149" s="85">
        <v>177.25801949393971</v>
      </c>
      <c r="AC149" s="85">
        <v>178.47934720157957</v>
      </c>
      <c r="AD149" s="85">
        <v>178.91654279771959</v>
      </c>
      <c r="AE149" s="85">
        <v>181.59411478913947</v>
      </c>
      <c r="AF149" s="85">
        <v>181.15691919299945</v>
      </c>
      <c r="AG149" s="85">
        <v>177.25801949393971</v>
      </c>
      <c r="AI149" s="84"/>
      <c r="AJ149" s="84"/>
      <c r="AK149" s="84"/>
      <c r="AL149" s="84"/>
      <c r="AM149" s="84"/>
      <c r="AN149" s="84"/>
      <c r="AO149" s="84"/>
      <c r="AP149" s="84"/>
      <c r="AQ149" s="84"/>
      <c r="AR149" s="84"/>
      <c r="AS149" s="84"/>
      <c r="AT149" s="84"/>
      <c r="AU149" s="84"/>
      <c r="AV149" s="84"/>
      <c r="AW149" s="84"/>
      <c r="AX149" s="84"/>
      <c r="AY149" s="84"/>
      <c r="AZ149" s="84"/>
      <c r="BA149" s="84"/>
      <c r="BB149" s="84"/>
      <c r="BC149" s="84"/>
      <c r="BD149" s="84"/>
      <c r="BE149" s="84"/>
      <c r="BF149" s="84"/>
      <c r="BG149" s="84"/>
      <c r="BH149" s="84"/>
      <c r="BI149" s="84"/>
      <c r="BJ149" s="84"/>
    </row>
    <row r="150" spans="1:62" x14ac:dyDescent="0.25">
      <c r="A150" s="77" t="s">
        <v>264</v>
      </c>
      <c r="B150" s="77" t="s">
        <v>270</v>
      </c>
      <c r="C150" s="78" t="s">
        <v>347</v>
      </c>
      <c r="D150" s="77" t="s">
        <v>271</v>
      </c>
      <c r="E150" s="77" t="s">
        <v>299</v>
      </c>
      <c r="F150" s="85">
        <v>173.62801494630017</v>
      </c>
      <c r="G150" s="85">
        <v>174.9323249505602</v>
      </c>
      <c r="H150" s="85">
        <v>174.34863414894019</v>
      </c>
      <c r="I150" s="85">
        <v>177.65686139316037</v>
      </c>
      <c r="J150" s="85">
        <v>177.29655179184027</v>
      </c>
      <c r="K150" s="85">
        <v>173.62801494630017</v>
      </c>
      <c r="L150" s="85">
        <v>174.57201534924019</v>
      </c>
      <c r="M150" s="85">
        <v>174.9323249505602</v>
      </c>
      <c r="N150" s="85">
        <v>174.34863414894019</v>
      </c>
      <c r="O150" s="85">
        <v>177.29655179184027</v>
      </c>
      <c r="P150" s="85">
        <v>173.62801494630017</v>
      </c>
      <c r="Q150" s="85">
        <v>173.62801494630017</v>
      </c>
      <c r="R150" s="85">
        <v>174.57201534924019</v>
      </c>
      <c r="S150" s="85">
        <v>174.34863414894019</v>
      </c>
      <c r="T150" s="85">
        <v>177.65686139316037</v>
      </c>
      <c r="U150" s="85">
        <v>177.29655179184027</v>
      </c>
      <c r="V150" s="85">
        <v>173.62801494630017</v>
      </c>
      <c r="W150" s="85">
        <v>174.57201534924019</v>
      </c>
      <c r="X150" s="85">
        <v>174.9323249505602</v>
      </c>
      <c r="Y150" s="85">
        <v>174.34863414894019</v>
      </c>
      <c r="Z150" s="85">
        <v>177.65686139316037</v>
      </c>
      <c r="AA150" s="85">
        <v>173.62801494630017</v>
      </c>
      <c r="AB150" s="85">
        <v>173.62801494630017</v>
      </c>
      <c r="AC150" s="85">
        <v>174.57201534924019</v>
      </c>
      <c r="AD150" s="85">
        <v>174.9323249505602</v>
      </c>
      <c r="AE150" s="85">
        <v>177.65686139316037</v>
      </c>
      <c r="AF150" s="85">
        <v>177.29655179184027</v>
      </c>
      <c r="AG150" s="85">
        <v>173.62801494630017</v>
      </c>
      <c r="AI150" s="84"/>
      <c r="AJ150" s="84"/>
      <c r="AK150" s="84"/>
      <c r="AL150" s="84"/>
      <c r="AM150" s="84"/>
      <c r="AN150" s="84"/>
      <c r="AO150" s="84"/>
      <c r="AP150" s="84"/>
      <c r="AQ150" s="84"/>
      <c r="AR150" s="84"/>
      <c r="AS150" s="84"/>
      <c r="AT150" s="84"/>
      <c r="AU150" s="84"/>
      <c r="AV150" s="84"/>
      <c r="AW150" s="84"/>
      <c r="AX150" s="84"/>
      <c r="AY150" s="84"/>
      <c r="AZ150" s="84"/>
      <c r="BA150" s="84"/>
      <c r="BB150" s="84"/>
      <c r="BC150" s="84"/>
      <c r="BD150" s="84"/>
      <c r="BE150" s="84"/>
      <c r="BF150" s="84"/>
      <c r="BG150" s="84"/>
      <c r="BH150" s="84"/>
      <c r="BI150" s="84"/>
      <c r="BJ150" s="84"/>
    </row>
    <row r="151" spans="1:62" x14ac:dyDescent="0.25">
      <c r="A151" s="77" t="s">
        <v>264</v>
      </c>
      <c r="B151" s="77" t="s">
        <v>270</v>
      </c>
      <c r="C151" s="78" t="s">
        <v>348</v>
      </c>
      <c r="D151" s="77" t="s">
        <v>271</v>
      </c>
      <c r="E151" s="77" t="s">
        <v>300</v>
      </c>
      <c r="F151" s="85">
        <v>153.03757672234005</v>
      </c>
      <c r="G151" s="85">
        <v>154.40944678216002</v>
      </c>
      <c r="H151" s="85">
        <v>154.08538463942003</v>
      </c>
      <c r="I151" s="85">
        <v>157.09160456464002</v>
      </c>
      <c r="J151" s="85">
        <v>156.5677006061</v>
      </c>
      <c r="K151" s="85">
        <v>153.03757672234005</v>
      </c>
      <c r="L151" s="85">
        <v>153.88554282362003</v>
      </c>
      <c r="M151" s="85">
        <v>154.40944678216002</v>
      </c>
      <c r="N151" s="85">
        <v>154.08538463942003</v>
      </c>
      <c r="O151" s="85">
        <v>156.5677006061</v>
      </c>
      <c r="P151" s="85">
        <v>153.03757672234005</v>
      </c>
      <c r="Q151" s="85">
        <v>153.03757672234005</v>
      </c>
      <c r="R151" s="85">
        <v>153.88554282362003</v>
      </c>
      <c r="S151" s="85">
        <v>154.08538463942003</v>
      </c>
      <c r="T151" s="85">
        <v>157.09160456464002</v>
      </c>
      <c r="U151" s="85">
        <v>156.5677006061</v>
      </c>
      <c r="V151" s="85">
        <v>153.03757672234005</v>
      </c>
      <c r="W151" s="85">
        <v>153.88554282362003</v>
      </c>
      <c r="X151" s="85">
        <v>154.40944678216002</v>
      </c>
      <c r="Y151" s="85">
        <v>154.08538463942003</v>
      </c>
      <c r="Z151" s="85">
        <v>157.09160456464002</v>
      </c>
      <c r="AA151" s="85">
        <v>153.03757672234005</v>
      </c>
      <c r="AB151" s="85">
        <v>153.03757672234005</v>
      </c>
      <c r="AC151" s="85">
        <v>153.88554282362003</v>
      </c>
      <c r="AD151" s="85">
        <v>154.40944678216002</v>
      </c>
      <c r="AE151" s="85">
        <v>157.09160456464002</v>
      </c>
      <c r="AF151" s="85">
        <v>156.5677006061</v>
      </c>
      <c r="AG151" s="85">
        <v>153.03757672234005</v>
      </c>
      <c r="AI151" s="84"/>
      <c r="AJ151" s="84"/>
      <c r="AK151" s="84"/>
      <c r="AL151" s="84"/>
      <c r="AM151" s="84"/>
      <c r="AN151" s="84"/>
      <c r="AO151" s="84"/>
      <c r="AP151" s="84"/>
      <c r="AQ151" s="84"/>
      <c r="AR151" s="84"/>
      <c r="AS151" s="84"/>
      <c r="AT151" s="84"/>
      <c r="AU151" s="84"/>
      <c r="AV151" s="84"/>
      <c r="AW151" s="84"/>
      <c r="AX151" s="84"/>
      <c r="AY151" s="84"/>
      <c r="AZ151" s="84"/>
      <c r="BA151" s="84"/>
      <c r="BB151" s="84"/>
      <c r="BC151" s="84"/>
      <c r="BD151" s="84"/>
      <c r="BE151" s="84"/>
      <c r="BF151" s="84"/>
      <c r="BG151" s="84"/>
      <c r="BH151" s="84"/>
      <c r="BI151" s="84"/>
      <c r="BJ151" s="84"/>
    </row>
    <row r="152" spans="1:62" x14ac:dyDescent="0.25">
      <c r="A152" s="77" t="s">
        <v>264</v>
      </c>
      <c r="B152" s="77" t="s">
        <v>270</v>
      </c>
      <c r="C152" s="78" t="s">
        <v>349</v>
      </c>
      <c r="D152" s="77" t="s">
        <v>271</v>
      </c>
      <c r="E152" s="77" t="s">
        <v>301</v>
      </c>
      <c r="F152" s="85">
        <v>159.08393600034034</v>
      </c>
      <c r="G152" s="85">
        <v>160.69248032160036</v>
      </c>
      <c r="H152" s="85">
        <v>160.17369572238039</v>
      </c>
      <c r="I152" s="85">
        <v>163.34838075438037</v>
      </c>
      <c r="J152" s="85">
        <v>162.80350089336036</v>
      </c>
      <c r="K152" s="85">
        <v>159.08393600034034</v>
      </c>
      <c r="L152" s="85">
        <v>160.14760046058035</v>
      </c>
      <c r="M152" s="85">
        <v>160.69248032160036</v>
      </c>
      <c r="N152" s="85">
        <v>160.17369572238039</v>
      </c>
      <c r="O152" s="85">
        <v>162.80350089336036</v>
      </c>
      <c r="P152" s="85">
        <v>159.08393600034034</v>
      </c>
      <c r="Q152" s="85">
        <v>159.08393600034034</v>
      </c>
      <c r="R152" s="85">
        <v>160.14760046058035</v>
      </c>
      <c r="S152" s="85">
        <v>160.17369572238039</v>
      </c>
      <c r="T152" s="85">
        <v>163.34838075438037</v>
      </c>
      <c r="U152" s="85">
        <v>162.80350089336036</v>
      </c>
      <c r="V152" s="85">
        <v>159.08393600034034</v>
      </c>
      <c r="W152" s="85">
        <v>160.14760046058035</v>
      </c>
      <c r="X152" s="85">
        <v>160.69248032160036</v>
      </c>
      <c r="Y152" s="85">
        <v>160.17369572238039</v>
      </c>
      <c r="Z152" s="85">
        <v>163.34838075438037</v>
      </c>
      <c r="AA152" s="85">
        <v>159.08393600034034</v>
      </c>
      <c r="AB152" s="85">
        <v>159.08393600034034</v>
      </c>
      <c r="AC152" s="85">
        <v>160.14760046058035</v>
      </c>
      <c r="AD152" s="85">
        <v>160.69248032160036</v>
      </c>
      <c r="AE152" s="85">
        <v>163.34838075438037</v>
      </c>
      <c r="AF152" s="85">
        <v>162.80350089336036</v>
      </c>
      <c r="AG152" s="85">
        <v>159.08393600034034</v>
      </c>
      <c r="AI152" s="84"/>
      <c r="AJ152" s="84"/>
      <c r="AK152" s="84"/>
      <c r="AL152" s="84"/>
      <c r="AM152" s="84"/>
      <c r="AN152" s="84"/>
      <c r="AO152" s="84"/>
      <c r="AP152" s="84"/>
      <c r="AQ152" s="84"/>
      <c r="AR152" s="84"/>
      <c r="AS152" s="84"/>
      <c r="AT152" s="84"/>
      <c r="AU152" s="84"/>
      <c r="AV152" s="84"/>
      <c r="AW152" s="84"/>
      <c r="AX152" s="84"/>
      <c r="AY152" s="84"/>
      <c r="AZ152" s="84"/>
      <c r="BA152" s="84"/>
      <c r="BB152" s="84"/>
      <c r="BC152" s="84"/>
      <c r="BD152" s="84"/>
      <c r="BE152" s="84"/>
      <c r="BF152" s="84"/>
      <c r="BG152" s="84"/>
      <c r="BH152" s="84"/>
      <c r="BI152" s="84"/>
      <c r="BJ152" s="84"/>
    </row>
    <row r="153" spans="1:62" x14ac:dyDescent="0.25">
      <c r="A153" s="77" t="s">
        <v>264</v>
      </c>
      <c r="B153" s="77" t="s">
        <v>270</v>
      </c>
      <c r="C153" s="78" t="s">
        <v>350</v>
      </c>
      <c r="D153" s="77" t="s">
        <v>271</v>
      </c>
      <c r="E153" s="77" t="s">
        <v>302</v>
      </c>
      <c r="F153" s="85">
        <v>153.03757672234005</v>
      </c>
      <c r="G153" s="85">
        <v>154.40944678216002</v>
      </c>
      <c r="H153" s="85">
        <v>154.08538463942003</v>
      </c>
      <c r="I153" s="85">
        <v>157.09160456464002</v>
      </c>
      <c r="J153" s="85">
        <v>156.5677006061</v>
      </c>
      <c r="K153" s="85">
        <v>153.03757672234005</v>
      </c>
      <c r="L153" s="85">
        <v>153.88554282362003</v>
      </c>
      <c r="M153" s="85">
        <v>154.40944678216002</v>
      </c>
      <c r="N153" s="85">
        <v>154.08538463942003</v>
      </c>
      <c r="O153" s="85">
        <v>156.5677006061</v>
      </c>
      <c r="P153" s="85">
        <v>153.03757672234005</v>
      </c>
      <c r="Q153" s="85">
        <v>153.03757672234005</v>
      </c>
      <c r="R153" s="85">
        <v>153.88554282362003</v>
      </c>
      <c r="S153" s="85">
        <v>154.08538463942003</v>
      </c>
      <c r="T153" s="85">
        <v>157.09160456464002</v>
      </c>
      <c r="U153" s="85">
        <v>156.5677006061</v>
      </c>
      <c r="V153" s="85">
        <v>153.03757672234005</v>
      </c>
      <c r="W153" s="85">
        <v>153.88554282362003</v>
      </c>
      <c r="X153" s="85">
        <v>154.40944678216002</v>
      </c>
      <c r="Y153" s="85">
        <v>154.08538463942003</v>
      </c>
      <c r="Z153" s="85">
        <v>157.09160456464002</v>
      </c>
      <c r="AA153" s="85">
        <v>153.03757672234005</v>
      </c>
      <c r="AB153" s="85">
        <v>153.03757672234005</v>
      </c>
      <c r="AC153" s="85">
        <v>153.88554282362003</v>
      </c>
      <c r="AD153" s="85">
        <v>154.40944678216002</v>
      </c>
      <c r="AE153" s="85">
        <v>157.09160456464002</v>
      </c>
      <c r="AF153" s="85">
        <v>156.5677006061</v>
      </c>
      <c r="AG153" s="85">
        <v>153.03757672234005</v>
      </c>
      <c r="AI153" s="84"/>
      <c r="AJ153" s="84"/>
      <c r="AK153" s="84"/>
      <c r="AL153" s="84"/>
      <c r="AM153" s="84"/>
      <c r="AN153" s="84"/>
      <c r="AO153" s="84"/>
      <c r="AP153" s="84"/>
      <c r="AQ153" s="84"/>
      <c r="AR153" s="84"/>
      <c r="AS153" s="84"/>
      <c r="AT153" s="84"/>
      <c r="AU153" s="84"/>
      <c r="AV153" s="84"/>
      <c r="AW153" s="84"/>
      <c r="AX153" s="84"/>
      <c r="AY153" s="84"/>
      <c r="AZ153" s="84"/>
      <c r="BA153" s="84"/>
      <c r="BB153" s="84"/>
      <c r="BC153" s="84"/>
      <c r="BD153" s="84"/>
      <c r="BE153" s="84"/>
      <c r="BF153" s="84"/>
      <c r="BG153" s="84"/>
      <c r="BH153" s="84"/>
      <c r="BI153" s="84"/>
      <c r="BJ153" s="84"/>
    </row>
    <row r="154" spans="1:62" x14ac:dyDescent="0.25">
      <c r="A154" s="77" t="s">
        <v>264</v>
      </c>
      <c r="B154" s="77" t="s">
        <v>270</v>
      </c>
      <c r="C154" s="78" t="s">
        <v>351</v>
      </c>
      <c r="D154" s="77" t="s">
        <v>271</v>
      </c>
      <c r="E154" s="77" t="s">
        <v>303</v>
      </c>
      <c r="F154" s="85">
        <v>156.62698748346025</v>
      </c>
      <c r="G154" s="85">
        <v>158.09743868094014</v>
      </c>
      <c r="H154" s="85">
        <v>157.51893690702016</v>
      </c>
      <c r="I154" s="85">
        <v>160.60230584862012</v>
      </c>
      <c r="J154" s="85">
        <v>160.15633113684015</v>
      </c>
      <c r="K154" s="85">
        <v>156.62698748346025</v>
      </c>
      <c r="L154" s="85">
        <v>157.6514639691602</v>
      </c>
      <c r="M154" s="85">
        <v>158.09743868094014</v>
      </c>
      <c r="N154" s="85">
        <v>157.51893690702016</v>
      </c>
      <c r="O154" s="85">
        <v>160.15633113684015</v>
      </c>
      <c r="P154" s="85">
        <v>156.62698748346025</v>
      </c>
      <c r="Q154" s="85">
        <v>156.62698748346025</v>
      </c>
      <c r="R154" s="85">
        <v>157.6514639691602</v>
      </c>
      <c r="S154" s="85">
        <v>157.51893690702016</v>
      </c>
      <c r="T154" s="85">
        <v>160.60230584862012</v>
      </c>
      <c r="U154" s="85">
        <v>160.15633113684015</v>
      </c>
      <c r="V154" s="85">
        <v>156.62698748346025</v>
      </c>
      <c r="W154" s="85">
        <v>157.6514639691602</v>
      </c>
      <c r="X154" s="85">
        <v>158.09743868094014</v>
      </c>
      <c r="Y154" s="85">
        <v>157.51893690702016</v>
      </c>
      <c r="Z154" s="85">
        <v>160.60230584862012</v>
      </c>
      <c r="AA154" s="85">
        <v>156.62698748346025</v>
      </c>
      <c r="AB154" s="85">
        <v>156.62698748346025</v>
      </c>
      <c r="AC154" s="85">
        <v>157.6514639691602</v>
      </c>
      <c r="AD154" s="85">
        <v>158.09743868094014</v>
      </c>
      <c r="AE154" s="85">
        <v>160.60230584862012</v>
      </c>
      <c r="AF154" s="85">
        <v>160.15633113684015</v>
      </c>
      <c r="AG154" s="85">
        <v>156.62698748346025</v>
      </c>
    </row>
    <row r="155" spans="1:62" x14ac:dyDescent="0.25">
      <c r="A155" s="77" t="s">
        <v>264</v>
      </c>
      <c r="B155" s="77" t="s">
        <v>270</v>
      </c>
      <c r="C155" s="78" t="s">
        <v>352</v>
      </c>
      <c r="D155" s="77" t="s">
        <v>271</v>
      </c>
      <c r="E155" s="77" t="s">
        <v>304</v>
      </c>
      <c r="F155" s="85">
        <v>154.13951102334005</v>
      </c>
      <c r="G155" s="85">
        <v>155.64950564127005</v>
      </c>
      <c r="H155" s="85">
        <v>155.06141005698007</v>
      </c>
      <c r="I155" s="85">
        <v>158.10326427228009</v>
      </c>
      <c r="J155" s="85">
        <v>157.64231475546009</v>
      </c>
      <c r="K155" s="85">
        <v>154.13951102334005</v>
      </c>
      <c r="L155" s="85">
        <v>155.18855612445003</v>
      </c>
      <c r="M155" s="85">
        <v>155.64950564127005</v>
      </c>
      <c r="N155" s="85">
        <v>155.06141005698007</v>
      </c>
      <c r="O155" s="85">
        <v>157.64231475546009</v>
      </c>
      <c r="P155" s="85">
        <v>154.13951102334005</v>
      </c>
      <c r="Q155" s="85">
        <v>154.13951102334005</v>
      </c>
      <c r="R155" s="85">
        <v>155.18855612445003</v>
      </c>
      <c r="S155" s="85">
        <v>155.06141005698007</v>
      </c>
      <c r="T155" s="85">
        <v>158.10326427228009</v>
      </c>
      <c r="U155" s="85">
        <v>157.64231475546009</v>
      </c>
      <c r="V155" s="85">
        <v>154.13951102334005</v>
      </c>
      <c r="W155" s="85">
        <v>155.18855612445003</v>
      </c>
      <c r="X155" s="85">
        <v>155.64950564127005</v>
      </c>
      <c r="Y155" s="85">
        <v>155.06141005698007</v>
      </c>
      <c r="Z155" s="85">
        <v>158.10326427228009</v>
      </c>
      <c r="AA155" s="85">
        <v>154.13951102334005</v>
      </c>
      <c r="AB155" s="85">
        <v>154.13951102334005</v>
      </c>
      <c r="AC155" s="85">
        <v>155.18855612445003</v>
      </c>
      <c r="AD155" s="85">
        <v>155.64950564127005</v>
      </c>
      <c r="AE155" s="85">
        <v>158.10326427228009</v>
      </c>
      <c r="AF155" s="85">
        <v>157.64231475546009</v>
      </c>
      <c r="AG155" s="85">
        <v>154.13951102334005</v>
      </c>
    </row>
    <row r="156" spans="1:62" x14ac:dyDescent="0.25">
      <c r="A156" s="77" t="s">
        <v>264</v>
      </c>
      <c r="B156" s="77" t="s">
        <v>270</v>
      </c>
      <c r="C156" s="78" t="s">
        <v>353</v>
      </c>
      <c r="D156" s="77" t="s">
        <v>209</v>
      </c>
      <c r="E156" s="77" t="s">
        <v>305</v>
      </c>
      <c r="F156" s="85">
        <v>157.92845961846001</v>
      </c>
      <c r="G156" s="85">
        <v>158.8364419013399</v>
      </c>
      <c r="H156" s="85">
        <v>158.29631375429997</v>
      </c>
      <c r="I156" s="85">
        <v>161.23445426693991</v>
      </c>
      <c r="J156" s="85">
        <v>161.05052719901994</v>
      </c>
      <c r="K156" s="85">
        <v>157.92845961846001</v>
      </c>
      <c r="L156" s="85">
        <v>158.65251483341996</v>
      </c>
      <c r="M156" s="85">
        <v>158.8364419013399</v>
      </c>
      <c r="N156" s="85">
        <v>158.29631375429997</v>
      </c>
      <c r="O156" s="85">
        <v>161.05052719901994</v>
      </c>
      <c r="P156" s="85">
        <v>157.92845961846001</v>
      </c>
      <c r="Q156" s="85">
        <v>157.92845961846001</v>
      </c>
      <c r="R156" s="85">
        <v>158.65251483341996</v>
      </c>
      <c r="S156" s="85">
        <v>158.29631375429997</v>
      </c>
      <c r="T156" s="85">
        <v>161.23445426693991</v>
      </c>
      <c r="U156" s="85">
        <v>161.05052719901994</v>
      </c>
      <c r="V156" s="85">
        <v>157.92845961846001</v>
      </c>
      <c r="W156" s="85">
        <v>158.65251483341996</v>
      </c>
      <c r="X156" s="85">
        <v>158.8364419013399</v>
      </c>
      <c r="Y156" s="85">
        <v>158.29631375429997</v>
      </c>
      <c r="Z156" s="85">
        <v>161.23445426693991</v>
      </c>
      <c r="AA156" s="85">
        <v>157.92845961846001</v>
      </c>
      <c r="AB156" s="85">
        <v>157.92845961846001</v>
      </c>
      <c r="AC156" s="85">
        <v>158.65251483341996</v>
      </c>
      <c r="AD156" s="85">
        <v>158.8364419013399</v>
      </c>
      <c r="AE156" s="85">
        <v>161.23445426693991</v>
      </c>
      <c r="AF156" s="85">
        <v>161.05052719901994</v>
      </c>
      <c r="AG156" s="85">
        <v>157.92845961846001</v>
      </c>
    </row>
    <row r="157" spans="1:62" x14ac:dyDescent="0.25">
      <c r="A157" s="77" t="s">
        <v>264</v>
      </c>
      <c r="B157" s="77" t="s">
        <v>270</v>
      </c>
      <c r="C157" s="78" t="s">
        <v>354</v>
      </c>
      <c r="D157" s="77" t="s">
        <v>213</v>
      </c>
      <c r="E157" s="77" t="s">
        <v>305</v>
      </c>
      <c r="F157" s="85">
        <v>133.89232279470005</v>
      </c>
      <c r="G157" s="85">
        <v>134.94262628814013</v>
      </c>
      <c r="H157" s="85">
        <v>134.52225050322011</v>
      </c>
      <c r="I157" s="85">
        <v>137.09137906278013</v>
      </c>
      <c r="J157" s="85">
        <v>136.77641520852012</v>
      </c>
      <c r="K157" s="85">
        <v>133.89232279470005</v>
      </c>
      <c r="L157" s="85">
        <v>134.62766243388012</v>
      </c>
      <c r="M157" s="85">
        <v>134.94262628814013</v>
      </c>
      <c r="N157" s="85">
        <v>134.52225050322011</v>
      </c>
      <c r="O157" s="85">
        <v>136.77641520852012</v>
      </c>
      <c r="P157" s="85">
        <v>133.89232279470005</v>
      </c>
      <c r="Q157" s="85">
        <v>133.89232279470005</v>
      </c>
      <c r="R157" s="85">
        <v>134.62766243388012</v>
      </c>
      <c r="S157" s="85">
        <v>134.52225050322011</v>
      </c>
      <c r="T157" s="85">
        <v>137.09137906278013</v>
      </c>
      <c r="U157" s="85">
        <v>136.77641520852012</v>
      </c>
      <c r="V157" s="85">
        <v>133.89232279470005</v>
      </c>
      <c r="W157" s="85">
        <v>134.62766243388012</v>
      </c>
      <c r="X157" s="85">
        <v>134.94262628814013</v>
      </c>
      <c r="Y157" s="85">
        <v>134.52225050322011</v>
      </c>
      <c r="Z157" s="85">
        <v>137.09137906278013</v>
      </c>
      <c r="AA157" s="85">
        <v>133.89232279470005</v>
      </c>
      <c r="AB157" s="85">
        <v>133.89232279470005</v>
      </c>
      <c r="AC157" s="85">
        <v>134.62766243388012</v>
      </c>
      <c r="AD157" s="85">
        <v>134.94262628814013</v>
      </c>
      <c r="AE157" s="85">
        <v>137.09137906278013</v>
      </c>
      <c r="AF157" s="85">
        <v>136.77641520852012</v>
      </c>
      <c r="AG157" s="85">
        <v>133.89232279470005</v>
      </c>
    </row>
    <row r="158" spans="1:62" x14ac:dyDescent="0.25">
      <c r="A158" s="77" t="s">
        <v>264</v>
      </c>
      <c r="B158" s="77" t="s">
        <v>270</v>
      </c>
      <c r="C158" s="78" t="s">
        <v>355</v>
      </c>
      <c r="D158" s="77" t="s">
        <v>216</v>
      </c>
      <c r="E158" s="77" t="s">
        <v>305</v>
      </c>
      <c r="F158" s="85">
        <v>83.67809269866008</v>
      </c>
      <c r="G158" s="85">
        <v>85.085140461299972</v>
      </c>
      <c r="H158" s="85">
        <v>84.660508963379968</v>
      </c>
      <c r="I158" s="85">
        <v>86.467530582659975</v>
      </c>
      <c r="J158" s="85">
        <v>85.976322450299975</v>
      </c>
      <c r="K158" s="85">
        <v>83.67809269866008</v>
      </c>
      <c r="L158" s="85">
        <v>84.593932328940014</v>
      </c>
      <c r="M158" s="85">
        <v>85.085140461299972</v>
      </c>
      <c r="N158" s="85">
        <v>84.660508963379968</v>
      </c>
      <c r="O158" s="85">
        <v>85.976322450299975</v>
      </c>
      <c r="P158" s="85">
        <v>83.67809269866008</v>
      </c>
      <c r="Q158" s="85">
        <v>83.67809269866008</v>
      </c>
      <c r="R158" s="85">
        <v>84.593932328940014</v>
      </c>
      <c r="S158" s="85">
        <v>84.660508963379968</v>
      </c>
      <c r="T158" s="85">
        <v>86.467530582659975</v>
      </c>
      <c r="U158" s="85">
        <v>85.976322450299975</v>
      </c>
      <c r="V158" s="85">
        <v>83.67809269866008</v>
      </c>
      <c r="W158" s="85">
        <v>84.593932328940014</v>
      </c>
      <c r="X158" s="85">
        <v>85.085140461299972</v>
      </c>
      <c r="Y158" s="85">
        <v>84.660508963379968</v>
      </c>
      <c r="Z158" s="85">
        <v>86.467530582659975</v>
      </c>
      <c r="AA158" s="85">
        <v>83.67809269866008</v>
      </c>
      <c r="AB158" s="85">
        <v>83.67809269866008</v>
      </c>
      <c r="AC158" s="85">
        <v>84.593932328940014</v>
      </c>
      <c r="AD158" s="85">
        <v>85.085140461299972</v>
      </c>
      <c r="AE158" s="85">
        <v>86.467530582659975</v>
      </c>
      <c r="AF158" s="85">
        <v>85.976322450299975</v>
      </c>
      <c r="AG158" s="85">
        <v>83.67809269866008</v>
      </c>
    </row>
    <row r="159" spans="1:62" x14ac:dyDescent="0.25">
      <c r="A159" s="77" t="s">
        <v>264</v>
      </c>
      <c r="B159" s="77" t="s">
        <v>270</v>
      </c>
      <c r="C159" s="78" t="s">
        <v>356</v>
      </c>
      <c r="D159" s="77" t="s">
        <v>220</v>
      </c>
      <c r="E159" s="77" t="s">
        <v>305</v>
      </c>
      <c r="F159" s="85">
        <v>4.7480521306799996</v>
      </c>
      <c r="G159" s="85">
        <v>5.0224217738399997</v>
      </c>
      <c r="H159" s="85">
        <v>4.9828431364799997</v>
      </c>
      <c r="I159" s="85">
        <v>5.1398172767399988</v>
      </c>
      <c r="J159" s="85">
        <v>5.0224217738399997</v>
      </c>
      <c r="K159" s="85">
        <v>4.7480521306799996</v>
      </c>
      <c r="L159" s="85">
        <v>4.9050262709399997</v>
      </c>
      <c r="M159" s="85">
        <v>5.0224217738399997</v>
      </c>
      <c r="N159" s="85">
        <v>4.9828431364799997</v>
      </c>
      <c r="O159" s="85">
        <v>5.0224217738399997</v>
      </c>
      <c r="P159" s="85">
        <v>4.7480521306799996</v>
      </c>
      <c r="Q159" s="85">
        <v>4.7480521306799996</v>
      </c>
      <c r="R159" s="85">
        <v>4.9050262709399997</v>
      </c>
      <c r="S159" s="85">
        <v>4.9828431364799997</v>
      </c>
      <c r="T159" s="85">
        <v>5.1398172767399988</v>
      </c>
      <c r="U159" s="85">
        <v>5.0224217738399997</v>
      </c>
      <c r="V159" s="85">
        <v>4.7480521306799996</v>
      </c>
      <c r="W159" s="85">
        <v>4.9050262709399997</v>
      </c>
      <c r="X159" s="85">
        <v>5.0224217738399997</v>
      </c>
      <c r="Y159" s="85">
        <v>4.9828431364799997</v>
      </c>
      <c r="Z159" s="85">
        <v>5.1398172767399988</v>
      </c>
      <c r="AA159" s="85">
        <v>4.7480521306799996</v>
      </c>
      <c r="AB159" s="85">
        <v>4.7480521306799996</v>
      </c>
      <c r="AC159" s="85">
        <v>4.9050262709399997</v>
      </c>
      <c r="AD159" s="85">
        <v>5.0224217738399997</v>
      </c>
      <c r="AE159" s="85">
        <v>5.1398172767399988</v>
      </c>
      <c r="AF159" s="85">
        <v>5.0224217738399997</v>
      </c>
      <c r="AG159" s="85">
        <v>4.7480521306799996</v>
      </c>
    </row>
    <row r="160" spans="1:62" x14ac:dyDescent="0.25">
      <c r="A160" s="77" t="s">
        <v>264</v>
      </c>
      <c r="B160" s="77" t="s">
        <v>270</v>
      </c>
      <c r="C160" s="78" t="s">
        <v>357</v>
      </c>
      <c r="D160" s="77" t="s">
        <v>271</v>
      </c>
      <c r="E160" s="77" t="s">
        <v>305</v>
      </c>
      <c r="F160" s="85">
        <v>151.65203456322038</v>
      </c>
      <c r="G160" s="85">
        <v>153.20157260160039</v>
      </c>
      <c r="H160" s="85">
        <v>152.60388320694034</v>
      </c>
      <c r="I160" s="85">
        <v>155.60422269594036</v>
      </c>
      <c r="J160" s="85">
        <v>155.12829837408037</v>
      </c>
      <c r="K160" s="85">
        <v>151.65203456322038</v>
      </c>
      <c r="L160" s="85">
        <v>152.72564827974043</v>
      </c>
      <c r="M160" s="85">
        <v>153.20157260160039</v>
      </c>
      <c r="N160" s="85">
        <v>152.60388320694034</v>
      </c>
      <c r="O160" s="85">
        <v>155.12829837408037</v>
      </c>
      <c r="P160" s="85">
        <v>151.65203456322038</v>
      </c>
      <c r="Q160" s="85">
        <v>151.65203456322038</v>
      </c>
      <c r="R160" s="85">
        <v>152.72564827974043</v>
      </c>
      <c r="S160" s="85">
        <v>152.60388320694034</v>
      </c>
      <c r="T160" s="85">
        <v>155.60422269594036</v>
      </c>
      <c r="U160" s="85">
        <v>155.12829837408037</v>
      </c>
      <c r="V160" s="85">
        <v>151.65203456322038</v>
      </c>
      <c r="W160" s="85">
        <v>152.72564827974043</v>
      </c>
      <c r="X160" s="85">
        <v>153.20157260160039</v>
      </c>
      <c r="Y160" s="85">
        <v>152.60388320694034</v>
      </c>
      <c r="Z160" s="85">
        <v>155.60422269594036</v>
      </c>
      <c r="AA160" s="85">
        <v>151.65203456322038</v>
      </c>
      <c r="AB160" s="85">
        <v>151.65203456322038</v>
      </c>
      <c r="AC160" s="85">
        <v>152.72564827974043</v>
      </c>
      <c r="AD160" s="85">
        <v>153.20157260160039</v>
      </c>
      <c r="AE160" s="85">
        <v>155.60422269594036</v>
      </c>
      <c r="AF160" s="85">
        <v>155.12829837408037</v>
      </c>
      <c r="AG160" s="85">
        <v>151.65203456322038</v>
      </c>
    </row>
    <row r="161" spans="1:33" x14ac:dyDescent="0.25">
      <c r="A161" s="77" t="s">
        <v>264</v>
      </c>
      <c r="B161" s="77" t="s">
        <v>270</v>
      </c>
      <c r="C161" s="78" t="s">
        <v>358</v>
      </c>
      <c r="D161" s="77" t="s">
        <v>209</v>
      </c>
      <c r="E161" s="77" t="s">
        <v>306</v>
      </c>
      <c r="F161" s="85">
        <v>157.92845961846001</v>
      </c>
      <c r="G161" s="85">
        <v>158.8364419013399</v>
      </c>
      <c r="H161" s="85">
        <v>158.29631375429997</v>
      </c>
      <c r="I161" s="85">
        <v>161.23445426693991</v>
      </c>
      <c r="J161" s="85">
        <v>161.05052719901994</v>
      </c>
      <c r="K161" s="85">
        <v>157.92845961846001</v>
      </c>
      <c r="L161" s="85">
        <v>158.65251483341996</v>
      </c>
      <c r="M161" s="85">
        <v>158.8364419013399</v>
      </c>
      <c r="N161" s="85">
        <v>158.29631375429997</v>
      </c>
      <c r="O161" s="85">
        <v>161.05052719901994</v>
      </c>
      <c r="P161" s="85">
        <v>157.92845961846001</v>
      </c>
      <c r="Q161" s="85">
        <v>157.92845961846001</v>
      </c>
      <c r="R161" s="85">
        <v>158.65251483341996</v>
      </c>
      <c r="S161" s="85">
        <v>158.29631375429997</v>
      </c>
      <c r="T161" s="85">
        <v>161.23445426693991</v>
      </c>
      <c r="U161" s="85">
        <v>161.05052719901994</v>
      </c>
      <c r="V161" s="85">
        <v>157.92845961846001</v>
      </c>
      <c r="W161" s="85">
        <v>158.65251483341996</v>
      </c>
      <c r="X161" s="85">
        <v>158.8364419013399</v>
      </c>
      <c r="Y161" s="85">
        <v>158.29631375429997</v>
      </c>
      <c r="Z161" s="85">
        <v>161.23445426693991</v>
      </c>
      <c r="AA161" s="85">
        <v>157.92845961846001</v>
      </c>
      <c r="AB161" s="85">
        <v>157.92845961846001</v>
      </c>
      <c r="AC161" s="85">
        <v>158.65251483341996</v>
      </c>
      <c r="AD161" s="85">
        <v>158.8364419013399</v>
      </c>
      <c r="AE161" s="85">
        <v>161.23445426693991</v>
      </c>
      <c r="AF161" s="85">
        <v>161.05052719901994</v>
      </c>
      <c r="AG161" s="85">
        <v>157.92845961846001</v>
      </c>
    </row>
    <row r="162" spans="1:33" x14ac:dyDescent="0.25">
      <c r="A162" s="77" t="s">
        <v>264</v>
      </c>
      <c r="B162" s="77" t="s">
        <v>270</v>
      </c>
      <c r="C162" s="78" t="s">
        <v>359</v>
      </c>
      <c r="D162" s="77" t="s">
        <v>213</v>
      </c>
      <c r="E162" s="77" t="s">
        <v>306</v>
      </c>
      <c r="F162" s="85">
        <v>133.89232279470005</v>
      </c>
      <c r="G162" s="85">
        <v>134.94262628814013</v>
      </c>
      <c r="H162" s="85">
        <v>134.52225050322011</v>
      </c>
      <c r="I162" s="85">
        <v>137.09137906278013</v>
      </c>
      <c r="J162" s="85">
        <v>136.77641520852012</v>
      </c>
      <c r="K162" s="85">
        <v>133.89232279470005</v>
      </c>
      <c r="L162" s="85">
        <v>134.62766243388012</v>
      </c>
      <c r="M162" s="85">
        <v>134.94262628814013</v>
      </c>
      <c r="N162" s="85">
        <v>134.52225050322011</v>
      </c>
      <c r="O162" s="85">
        <v>136.77641520852012</v>
      </c>
      <c r="P162" s="85">
        <v>133.89232279470005</v>
      </c>
      <c r="Q162" s="85">
        <v>133.89232279470005</v>
      </c>
      <c r="R162" s="85">
        <v>134.62766243388012</v>
      </c>
      <c r="S162" s="85">
        <v>134.52225050322011</v>
      </c>
      <c r="T162" s="85">
        <v>137.09137906278013</v>
      </c>
      <c r="U162" s="85">
        <v>136.77641520852012</v>
      </c>
      <c r="V162" s="85">
        <v>133.89232279470005</v>
      </c>
      <c r="W162" s="85">
        <v>134.62766243388012</v>
      </c>
      <c r="X162" s="85">
        <v>134.94262628814013</v>
      </c>
      <c r="Y162" s="85">
        <v>134.52225050322011</v>
      </c>
      <c r="Z162" s="85">
        <v>137.09137906278013</v>
      </c>
      <c r="AA162" s="85">
        <v>133.89232279470005</v>
      </c>
      <c r="AB162" s="85">
        <v>133.89232279470005</v>
      </c>
      <c r="AC162" s="85">
        <v>134.62766243388012</v>
      </c>
      <c r="AD162" s="85">
        <v>134.94262628814013</v>
      </c>
      <c r="AE162" s="85">
        <v>137.09137906278013</v>
      </c>
      <c r="AF162" s="85">
        <v>136.77641520852012</v>
      </c>
      <c r="AG162" s="85">
        <v>133.89232279470005</v>
      </c>
    </row>
    <row r="163" spans="1:33" x14ac:dyDescent="0.25">
      <c r="A163" s="77" t="s">
        <v>264</v>
      </c>
      <c r="B163" s="77" t="s">
        <v>270</v>
      </c>
      <c r="C163" s="78" t="s">
        <v>360</v>
      </c>
      <c r="D163" s="77" t="s">
        <v>216</v>
      </c>
      <c r="E163" s="77" t="s">
        <v>306</v>
      </c>
      <c r="F163" s="85">
        <v>83.67809269866008</v>
      </c>
      <c r="G163" s="85">
        <v>85.085140461299972</v>
      </c>
      <c r="H163" s="85">
        <v>84.660508963379968</v>
      </c>
      <c r="I163" s="85">
        <v>86.467530582659975</v>
      </c>
      <c r="J163" s="85">
        <v>85.976322450299975</v>
      </c>
      <c r="K163" s="85">
        <v>83.67809269866008</v>
      </c>
      <c r="L163" s="85">
        <v>84.593932328940014</v>
      </c>
      <c r="M163" s="85">
        <v>85.085140461299972</v>
      </c>
      <c r="N163" s="85">
        <v>84.660508963379968</v>
      </c>
      <c r="O163" s="85">
        <v>85.976322450299975</v>
      </c>
      <c r="P163" s="85">
        <v>83.67809269866008</v>
      </c>
      <c r="Q163" s="85">
        <v>83.67809269866008</v>
      </c>
      <c r="R163" s="85">
        <v>84.593932328940014</v>
      </c>
      <c r="S163" s="85">
        <v>84.660508963379968</v>
      </c>
      <c r="T163" s="85">
        <v>86.467530582659975</v>
      </c>
      <c r="U163" s="85">
        <v>85.976322450299975</v>
      </c>
      <c r="V163" s="85">
        <v>83.67809269866008</v>
      </c>
      <c r="W163" s="85">
        <v>84.593932328940014</v>
      </c>
      <c r="X163" s="85">
        <v>85.085140461299972</v>
      </c>
      <c r="Y163" s="85">
        <v>84.660508963379968</v>
      </c>
      <c r="Z163" s="85">
        <v>86.467530582659975</v>
      </c>
      <c r="AA163" s="85">
        <v>83.67809269866008</v>
      </c>
      <c r="AB163" s="85">
        <v>83.67809269866008</v>
      </c>
      <c r="AC163" s="85">
        <v>84.593932328940014</v>
      </c>
      <c r="AD163" s="85">
        <v>85.085140461299972</v>
      </c>
      <c r="AE163" s="85">
        <v>86.467530582659975</v>
      </c>
      <c r="AF163" s="85">
        <v>85.976322450299975</v>
      </c>
      <c r="AG163" s="85">
        <v>83.67809269866008</v>
      </c>
    </row>
    <row r="164" spans="1:33" x14ac:dyDescent="0.25">
      <c r="A164" s="77" t="s">
        <v>264</v>
      </c>
      <c r="B164" s="77" t="s">
        <v>270</v>
      </c>
      <c r="C164" s="78" t="s">
        <v>361</v>
      </c>
      <c r="D164" s="77" t="s">
        <v>220</v>
      </c>
      <c r="E164" s="77" t="s">
        <v>306</v>
      </c>
      <c r="F164" s="85">
        <v>4.7480521306799996</v>
      </c>
      <c r="G164" s="85">
        <v>5.0224217738399997</v>
      </c>
      <c r="H164" s="85">
        <v>4.9828431364799997</v>
      </c>
      <c r="I164" s="85">
        <v>5.1398172767399988</v>
      </c>
      <c r="J164" s="85">
        <v>5.0224217738399997</v>
      </c>
      <c r="K164" s="85">
        <v>4.7480521306799996</v>
      </c>
      <c r="L164" s="85">
        <v>4.9050262709399997</v>
      </c>
      <c r="M164" s="85">
        <v>5.0224217738399997</v>
      </c>
      <c r="N164" s="85">
        <v>4.9828431364799997</v>
      </c>
      <c r="O164" s="85">
        <v>5.0224217738399997</v>
      </c>
      <c r="P164" s="85">
        <v>4.7480521306799996</v>
      </c>
      <c r="Q164" s="85">
        <v>4.7480521306799996</v>
      </c>
      <c r="R164" s="85">
        <v>4.9050262709399997</v>
      </c>
      <c r="S164" s="85">
        <v>4.9828431364799997</v>
      </c>
      <c r="T164" s="85">
        <v>5.1398172767399988</v>
      </c>
      <c r="U164" s="85">
        <v>5.0224217738399997</v>
      </c>
      <c r="V164" s="85">
        <v>4.7480521306799996</v>
      </c>
      <c r="W164" s="85">
        <v>4.9050262709399997</v>
      </c>
      <c r="X164" s="85">
        <v>5.0224217738399997</v>
      </c>
      <c r="Y164" s="85">
        <v>4.9828431364799997</v>
      </c>
      <c r="Z164" s="85">
        <v>5.1398172767399988</v>
      </c>
      <c r="AA164" s="85">
        <v>4.7480521306799996</v>
      </c>
      <c r="AB164" s="85">
        <v>4.7480521306799996</v>
      </c>
      <c r="AC164" s="85">
        <v>4.9050262709399997</v>
      </c>
      <c r="AD164" s="85">
        <v>5.0224217738399997</v>
      </c>
      <c r="AE164" s="85">
        <v>5.1398172767399988</v>
      </c>
      <c r="AF164" s="85">
        <v>5.0224217738399997</v>
      </c>
      <c r="AG164" s="85">
        <v>4.7480521306799996</v>
      </c>
    </row>
    <row r="165" spans="1:33" x14ac:dyDescent="0.25">
      <c r="A165" s="77" t="s">
        <v>264</v>
      </c>
      <c r="B165" s="77" t="s">
        <v>270</v>
      </c>
      <c r="C165" s="78" t="s">
        <v>362</v>
      </c>
      <c r="D165" s="77" t="s">
        <v>271</v>
      </c>
      <c r="E165" s="77" t="s">
        <v>306</v>
      </c>
      <c r="F165" s="85">
        <v>151.65203456322038</v>
      </c>
      <c r="G165" s="85">
        <v>153.20157260160039</v>
      </c>
      <c r="H165" s="85">
        <v>152.60388320694034</v>
      </c>
      <c r="I165" s="85">
        <v>155.60422269594036</v>
      </c>
      <c r="J165" s="85">
        <v>155.12829837408037</v>
      </c>
      <c r="K165" s="85">
        <v>151.65203456322038</v>
      </c>
      <c r="L165" s="85">
        <v>152.72564827974043</v>
      </c>
      <c r="M165" s="85">
        <v>153.20157260160039</v>
      </c>
      <c r="N165" s="85">
        <v>152.60388320694034</v>
      </c>
      <c r="O165" s="85">
        <v>155.12829837408037</v>
      </c>
      <c r="P165" s="85">
        <v>151.65203456322038</v>
      </c>
      <c r="Q165" s="85">
        <v>151.65203456322038</v>
      </c>
      <c r="R165" s="85">
        <v>152.72564827974043</v>
      </c>
      <c r="S165" s="85">
        <v>152.60388320694034</v>
      </c>
      <c r="T165" s="85">
        <v>155.60422269594036</v>
      </c>
      <c r="U165" s="85">
        <v>155.12829837408037</v>
      </c>
      <c r="V165" s="85">
        <v>151.65203456322038</v>
      </c>
      <c r="W165" s="85">
        <v>152.72564827974043</v>
      </c>
      <c r="X165" s="85">
        <v>153.20157260160039</v>
      </c>
      <c r="Y165" s="85">
        <v>152.60388320694034</v>
      </c>
      <c r="Z165" s="85">
        <v>155.60422269594036</v>
      </c>
      <c r="AA165" s="85">
        <v>151.65203456322038</v>
      </c>
      <c r="AB165" s="85">
        <v>151.65203456322038</v>
      </c>
      <c r="AC165" s="85">
        <v>152.72564827974043</v>
      </c>
      <c r="AD165" s="85">
        <v>153.20157260160039</v>
      </c>
      <c r="AE165" s="85">
        <v>155.60422269594036</v>
      </c>
      <c r="AF165" s="85">
        <v>155.12829837408037</v>
      </c>
      <c r="AG165" s="85">
        <v>151.65203456322038</v>
      </c>
    </row>
    <row r="166" spans="1:33" x14ac:dyDescent="0.25">
      <c r="A166" s="77" t="s">
        <v>264</v>
      </c>
      <c r="B166" s="77" t="s">
        <v>270</v>
      </c>
      <c r="C166" s="78" t="s">
        <v>363</v>
      </c>
      <c r="D166" s="77" t="s">
        <v>209</v>
      </c>
      <c r="E166" s="77" t="s">
        <v>307</v>
      </c>
      <c r="F166" s="85">
        <v>157.92845961846001</v>
      </c>
      <c r="G166" s="85">
        <v>158.8364419013399</v>
      </c>
      <c r="H166" s="85">
        <v>158.29631375429997</v>
      </c>
      <c r="I166" s="85">
        <v>161.23445426693991</v>
      </c>
      <c r="J166" s="85">
        <v>161.05052719901994</v>
      </c>
      <c r="K166" s="85">
        <v>157.92845961846001</v>
      </c>
      <c r="L166" s="85">
        <v>158.65251483341996</v>
      </c>
      <c r="M166" s="85">
        <v>158.8364419013399</v>
      </c>
      <c r="N166" s="85">
        <v>158.29631375429997</v>
      </c>
      <c r="O166" s="85">
        <v>161.05052719901994</v>
      </c>
      <c r="P166" s="85">
        <v>157.92845961846001</v>
      </c>
      <c r="Q166" s="85">
        <v>157.92845961846001</v>
      </c>
      <c r="R166" s="85">
        <v>158.65251483341996</v>
      </c>
      <c r="S166" s="85">
        <v>158.29631375429997</v>
      </c>
      <c r="T166" s="85">
        <v>161.23445426693991</v>
      </c>
      <c r="U166" s="85">
        <v>161.05052719901994</v>
      </c>
      <c r="V166" s="85">
        <v>157.92845961846001</v>
      </c>
      <c r="W166" s="85">
        <v>158.65251483341996</v>
      </c>
      <c r="X166" s="85">
        <v>158.8364419013399</v>
      </c>
      <c r="Y166" s="85">
        <v>158.29631375429997</v>
      </c>
      <c r="Z166" s="85">
        <v>161.23445426693991</v>
      </c>
      <c r="AA166" s="85">
        <v>157.92845961846001</v>
      </c>
      <c r="AB166" s="85">
        <v>157.92845961846001</v>
      </c>
      <c r="AC166" s="85">
        <v>158.65251483341996</v>
      </c>
      <c r="AD166" s="85">
        <v>158.8364419013399</v>
      </c>
      <c r="AE166" s="85">
        <v>161.23445426693991</v>
      </c>
      <c r="AF166" s="85">
        <v>161.05052719901994</v>
      </c>
      <c r="AG166" s="85">
        <v>157.92845961846001</v>
      </c>
    </row>
    <row r="167" spans="1:33" x14ac:dyDescent="0.25">
      <c r="A167" s="77" t="s">
        <v>264</v>
      </c>
      <c r="B167" s="77" t="s">
        <v>270</v>
      </c>
      <c r="C167" s="78" t="s">
        <v>364</v>
      </c>
      <c r="D167" s="77" t="s">
        <v>213</v>
      </c>
      <c r="E167" s="77" t="s">
        <v>307</v>
      </c>
      <c r="F167" s="85">
        <v>133.89232279470005</v>
      </c>
      <c r="G167" s="85">
        <v>134.94262628814013</v>
      </c>
      <c r="H167" s="85">
        <v>134.52225050322011</v>
      </c>
      <c r="I167" s="85">
        <v>137.09137906278013</v>
      </c>
      <c r="J167" s="85">
        <v>136.77641520852012</v>
      </c>
      <c r="K167" s="85">
        <v>133.89232279470005</v>
      </c>
      <c r="L167" s="85">
        <v>134.62766243388012</v>
      </c>
      <c r="M167" s="85">
        <v>134.94262628814013</v>
      </c>
      <c r="N167" s="85">
        <v>134.52225050322011</v>
      </c>
      <c r="O167" s="85">
        <v>136.77641520852012</v>
      </c>
      <c r="P167" s="85">
        <v>133.89232279470005</v>
      </c>
      <c r="Q167" s="85">
        <v>133.89232279470005</v>
      </c>
      <c r="R167" s="85">
        <v>134.62766243388012</v>
      </c>
      <c r="S167" s="85">
        <v>134.52225050322011</v>
      </c>
      <c r="T167" s="85">
        <v>137.09137906278013</v>
      </c>
      <c r="U167" s="85">
        <v>136.77641520852012</v>
      </c>
      <c r="V167" s="85">
        <v>133.89232279470005</v>
      </c>
      <c r="W167" s="85">
        <v>134.62766243388012</v>
      </c>
      <c r="X167" s="85">
        <v>134.94262628814013</v>
      </c>
      <c r="Y167" s="85">
        <v>134.52225050322011</v>
      </c>
      <c r="Z167" s="85">
        <v>137.09137906278013</v>
      </c>
      <c r="AA167" s="85">
        <v>133.89232279470005</v>
      </c>
      <c r="AB167" s="85">
        <v>133.89232279470005</v>
      </c>
      <c r="AC167" s="85">
        <v>134.62766243388012</v>
      </c>
      <c r="AD167" s="85">
        <v>134.94262628814013</v>
      </c>
      <c r="AE167" s="85">
        <v>137.09137906278013</v>
      </c>
      <c r="AF167" s="85">
        <v>136.77641520852012</v>
      </c>
      <c r="AG167" s="85">
        <v>133.89232279470005</v>
      </c>
    </row>
    <row r="168" spans="1:33" x14ac:dyDescent="0.25">
      <c r="A168" s="77" t="s">
        <v>264</v>
      </c>
      <c r="B168" s="77" t="s">
        <v>270</v>
      </c>
      <c r="C168" s="78" t="s">
        <v>365</v>
      </c>
      <c r="D168" s="77" t="s">
        <v>216</v>
      </c>
      <c r="E168" s="77" t="s">
        <v>307</v>
      </c>
      <c r="F168" s="85">
        <v>83.67809269866008</v>
      </c>
      <c r="G168" s="85">
        <v>85.085140461299972</v>
      </c>
      <c r="H168" s="85">
        <v>84.660508963379968</v>
      </c>
      <c r="I168" s="85">
        <v>86.467530582659975</v>
      </c>
      <c r="J168" s="85">
        <v>85.976322450299975</v>
      </c>
      <c r="K168" s="85">
        <v>83.67809269866008</v>
      </c>
      <c r="L168" s="85">
        <v>84.593932328940014</v>
      </c>
      <c r="M168" s="85">
        <v>85.085140461299972</v>
      </c>
      <c r="N168" s="85">
        <v>84.660508963379968</v>
      </c>
      <c r="O168" s="85">
        <v>85.976322450299975</v>
      </c>
      <c r="P168" s="85">
        <v>83.67809269866008</v>
      </c>
      <c r="Q168" s="85">
        <v>83.67809269866008</v>
      </c>
      <c r="R168" s="85">
        <v>84.593932328940014</v>
      </c>
      <c r="S168" s="85">
        <v>84.660508963379968</v>
      </c>
      <c r="T168" s="85">
        <v>86.467530582659975</v>
      </c>
      <c r="U168" s="85">
        <v>85.976322450299975</v>
      </c>
      <c r="V168" s="85">
        <v>83.67809269866008</v>
      </c>
      <c r="W168" s="85">
        <v>84.593932328940014</v>
      </c>
      <c r="X168" s="85">
        <v>85.085140461299972</v>
      </c>
      <c r="Y168" s="85">
        <v>84.660508963379968</v>
      </c>
      <c r="Z168" s="85">
        <v>86.467530582659975</v>
      </c>
      <c r="AA168" s="85">
        <v>83.67809269866008</v>
      </c>
      <c r="AB168" s="85">
        <v>83.67809269866008</v>
      </c>
      <c r="AC168" s="85">
        <v>84.593932328940014</v>
      </c>
      <c r="AD168" s="85">
        <v>85.085140461299972</v>
      </c>
      <c r="AE168" s="85">
        <v>86.467530582659975</v>
      </c>
      <c r="AF168" s="85">
        <v>85.976322450299975</v>
      </c>
      <c r="AG168" s="85">
        <v>83.67809269866008</v>
      </c>
    </row>
    <row r="169" spans="1:33" x14ac:dyDescent="0.25">
      <c r="A169" s="77" t="s">
        <v>264</v>
      </c>
      <c r="B169" s="77" t="s">
        <v>270</v>
      </c>
      <c r="C169" s="78" t="s">
        <v>366</v>
      </c>
      <c r="D169" s="77" t="s">
        <v>220</v>
      </c>
      <c r="E169" s="77" t="s">
        <v>307</v>
      </c>
      <c r="F169" s="85">
        <v>4.7480521306799996</v>
      </c>
      <c r="G169" s="85">
        <v>5.0224217738399997</v>
      </c>
      <c r="H169" s="85">
        <v>4.9828431364799997</v>
      </c>
      <c r="I169" s="85">
        <v>5.1398172767399988</v>
      </c>
      <c r="J169" s="85">
        <v>5.0224217738399997</v>
      </c>
      <c r="K169" s="85">
        <v>4.7480521306799996</v>
      </c>
      <c r="L169" s="85">
        <v>4.9050262709399997</v>
      </c>
      <c r="M169" s="85">
        <v>5.0224217738399997</v>
      </c>
      <c r="N169" s="85">
        <v>4.9828431364799997</v>
      </c>
      <c r="O169" s="85">
        <v>5.0224217738399997</v>
      </c>
      <c r="P169" s="85">
        <v>4.7480521306799996</v>
      </c>
      <c r="Q169" s="85">
        <v>4.7480521306799996</v>
      </c>
      <c r="R169" s="85">
        <v>4.9050262709399997</v>
      </c>
      <c r="S169" s="85">
        <v>4.9828431364799997</v>
      </c>
      <c r="T169" s="85">
        <v>5.1398172767399988</v>
      </c>
      <c r="U169" s="85">
        <v>5.0224217738399997</v>
      </c>
      <c r="V169" s="85">
        <v>4.7480521306799996</v>
      </c>
      <c r="W169" s="85">
        <v>4.9050262709399997</v>
      </c>
      <c r="X169" s="85">
        <v>5.0224217738399997</v>
      </c>
      <c r="Y169" s="85">
        <v>4.9828431364799997</v>
      </c>
      <c r="Z169" s="85">
        <v>5.1398172767399988</v>
      </c>
      <c r="AA169" s="85">
        <v>4.7480521306799996</v>
      </c>
      <c r="AB169" s="85">
        <v>4.7480521306799996</v>
      </c>
      <c r="AC169" s="85">
        <v>4.9050262709399997</v>
      </c>
      <c r="AD169" s="85">
        <v>5.0224217738399997</v>
      </c>
      <c r="AE169" s="85">
        <v>5.1398172767399988</v>
      </c>
      <c r="AF169" s="85">
        <v>5.0224217738399997</v>
      </c>
      <c r="AG169" s="85">
        <v>4.7480521306799996</v>
      </c>
    </row>
    <row r="170" spans="1:33" x14ac:dyDescent="0.25">
      <c r="A170" s="77" t="s">
        <v>264</v>
      </c>
      <c r="B170" s="77" t="s">
        <v>270</v>
      </c>
      <c r="C170" s="78" t="s">
        <v>367</v>
      </c>
      <c r="D170" s="77" t="s">
        <v>271</v>
      </c>
      <c r="E170" s="77" t="s">
        <v>308</v>
      </c>
      <c r="F170" s="85">
        <v>203.99710334615997</v>
      </c>
      <c r="G170" s="85">
        <v>201.7978757632799</v>
      </c>
      <c r="H170" s="85">
        <v>201.80363754065991</v>
      </c>
      <c r="I170" s="85">
        <v>208.24046012147974</v>
      </c>
      <c r="J170" s="85">
        <v>207.82932957203982</v>
      </c>
      <c r="K170" s="85">
        <v>203.99710334615997</v>
      </c>
      <c r="L170" s="85">
        <v>204.40247211821992</v>
      </c>
      <c r="M170" s="85">
        <v>201.7978757632799</v>
      </c>
      <c r="N170" s="85">
        <v>201.80363754065991</v>
      </c>
      <c r="O170" s="85">
        <v>207.82932957203982</v>
      </c>
      <c r="P170" s="85">
        <v>203.99710334615997</v>
      </c>
      <c r="Q170" s="85">
        <v>203.99710334615997</v>
      </c>
      <c r="R170" s="85">
        <v>204.40247211821992</v>
      </c>
      <c r="S170" s="85">
        <v>201.80363754065991</v>
      </c>
      <c r="T170" s="85">
        <v>208.24046012147974</v>
      </c>
      <c r="U170" s="85">
        <v>207.82932957203982</v>
      </c>
      <c r="V170" s="85">
        <v>203.99710334615997</v>
      </c>
      <c r="W170" s="85">
        <v>204.40247211821992</v>
      </c>
      <c r="X170" s="85">
        <v>201.7978757632799</v>
      </c>
      <c r="Y170" s="85">
        <v>201.80363754065991</v>
      </c>
      <c r="Z170" s="85">
        <v>208.24046012147974</v>
      </c>
      <c r="AA170" s="85">
        <v>203.99710334615997</v>
      </c>
      <c r="AB170" s="85">
        <v>203.99710334615997</v>
      </c>
      <c r="AC170" s="85">
        <v>204.40247211821992</v>
      </c>
      <c r="AD170" s="85">
        <v>201.7978757632799</v>
      </c>
      <c r="AE170" s="85">
        <v>208.24046012147974</v>
      </c>
      <c r="AF170" s="85">
        <v>207.82932957203982</v>
      </c>
      <c r="AG170" s="85">
        <v>203.99710334615997</v>
      </c>
    </row>
    <row r="171" spans="1:33" x14ac:dyDescent="0.25">
      <c r="A171" s="77" t="s">
        <v>264</v>
      </c>
      <c r="B171" s="77" t="s">
        <v>270</v>
      </c>
      <c r="C171" s="78" t="s">
        <v>368</v>
      </c>
      <c r="D171" s="77" t="s">
        <v>271</v>
      </c>
      <c r="E171" s="78" t="s">
        <v>335</v>
      </c>
      <c r="F171" s="85">
        <v>177.25801949393971</v>
      </c>
      <c r="G171" s="85">
        <v>178.91654279771959</v>
      </c>
      <c r="H171" s="85">
        <v>178.13241068621963</v>
      </c>
      <c r="I171" s="85">
        <v>181.59411478913947</v>
      </c>
      <c r="J171" s="85">
        <v>181.15691919299945</v>
      </c>
      <c r="K171" s="85">
        <v>177.25801949393971</v>
      </c>
      <c r="L171" s="85">
        <v>178.47934720157957</v>
      </c>
      <c r="M171" s="85">
        <v>178.91654279771959</v>
      </c>
      <c r="N171" s="85">
        <v>178.13241068621963</v>
      </c>
      <c r="O171" s="85">
        <v>181.15691919299945</v>
      </c>
      <c r="P171" s="85">
        <v>177.25801949393971</v>
      </c>
      <c r="Q171" s="85">
        <v>177.25801949393971</v>
      </c>
      <c r="R171" s="85">
        <v>178.47934720157957</v>
      </c>
      <c r="S171" s="85">
        <v>178.13241068621963</v>
      </c>
      <c r="T171" s="85">
        <v>181.59411478913947</v>
      </c>
      <c r="U171" s="85">
        <v>181.15691919299945</v>
      </c>
      <c r="V171" s="85">
        <v>177.25801949393971</v>
      </c>
      <c r="W171" s="85">
        <v>178.47934720157957</v>
      </c>
      <c r="X171" s="85">
        <v>178.91654279771959</v>
      </c>
      <c r="Y171" s="85">
        <v>178.13241068621963</v>
      </c>
      <c r="Z171" s="85">
        <v>181.59411478913947</v>
      </c>
      <c r="AA171" s="85">
        <v>177.25801949393971</v>
      </c>
      <c r="AB171" s="85">
        <v>177.25801949393971</v>
      </c>
      <c r="AC171" s="85">
        <v>178.47934720157957</v>
      </c>
      <c r="AD171" s="85">
        <v>178.91654279771959</v>
      </c>
      <c r="AE171" s="85">
        <v>181.59411478913947</v>
      </c>
      <c r="AF171" s="85">
        <v>181.15691919299945</v>
      </c>
      <c r="AG171" s="85">
        <v>177.25801949393971</v>
      </c>
    </row>
    <row r="172" spans="1:33" x14ac:dyDescent="0.25">
      <c r="A172" s="77" t="s">
        <v>264</v>
      </c>
      <c r="B172" s="77" t="s">
        <v>270</v>
      </c>
      <c r="C172" s="78" t="s">
        <v>369</v>
      </c>
      <c r="D172" s="77" t="s">
        <v>271</v>
      </c>
      <c r="E172" s="78" t="s">
        <v>336</v>
      </c>
      <c r="F172" s="85">
        <v>173.62801494630017</v>
      </c>
      <c r="G172" s="85">
        <v>174.9323249505602</v>
      </c>
      <c r="H172" s="85">
        <v>174.34863414894019</v>
      </c>
      <c r="I172" s="85">
        <v>177.65686139316037</v>
      </c>
      <c r="J172" s="85">
        <v>177.29655179184027</v>
      </c>
      <c r="K172" s="85">
        <v>173.62801494630017</v>
      </c>
      <c r="L172" s="85">
        <v>174.57201534924019</v>
      </c>
      <c r="M172" s="85">
        <v>174.9323249505602</v>
      </c>
      <c r="N172" s="85">
        <v>174.34863414894019</v>
      </c>
      <c r="O172" s="85">
        <v>177.29655179184027</v>
      </c>
      <c r="P172" s="85">
        <v>173.62801494630017</v>
      </c>
      <c r="Q172" s="85">
        <v>173.62801494630017</v>
      </c>
      <c r="R172" s="85">
        <v>174.57201534924019</v>
      </c>
      <c r="S172" s="85">
        <v>174.34863414894019</v>
      </c>
      <c r="T172" s="85">
        <v>177.65686139316037</v>
      </c>
      <c r="U172" s="85">
        <v>177.29655179184027</v>
      </c>
      <c r="V172" s="85">
        <v>173.62801494630017</v>
      </c>
      <c r="W172" s="85">
        <v>174.57201534924019</v>
      </c>
      <c r="X172" s="85">
        <v>174.9323249505602</v>
      </c>
      <c r="Y172" s="85">
        <v>174.34863414894019</v>
      </c>
      <c r="Z172" s="85">
        <v>177.65686139316037</v>
      </c>
      <c r="AA172" s="85">
        <v>173.62801494630017</v>
      </c>
      <c r="AB172" s="85">
        <v>173.62801494630017</v>
      </c>
      <c r="AC172" s="85">
        <v>174.57201534924019</v>
      </c>
      <c r="AD172" s="85">
        <v>174.9323249505602</v>
      </c>
      <c r="AE172" s="85">
        <v>177.65686139316037</v>
      </c>
      <c r="AF172" s="85">
        <v>177.29655179184027</v>
      </c>
      <c r="AG172" s="85">
        <v>173.62801494630017</v>
      </c>
    </row>
    <row r="173" spans="1:33" x14ac:dyDescent="0.25">
      <c r="A173" s="77" t="s">
        <v>264</v>
      </c>
      <c r="B173" s="77" t="s">
        <v>270</v>
      </c>
      <c r="C173" s="78" t="s">
        <v>370</v>
      </c>
      <c r="D173" s="77" t="s">
        <v>271</v>
      </c>
      <c r="E173" s="78" t="s">
        <v>337</v>
      </c>
      <c r="F173" s="85">
        <v>153.03757672234005</v>
      </c>
      <c r="G173" s="85">
        <v>154.40944678216002</v>
      </c>
      <c r="H173" s="85">
        <v>154.08538463942003</v>
      </c>
      <c r="I173" s="85">
        <v>157.09160456464002</v>
      </c>
      <c r="J173" s="85">
        <v>156.5677006061</v>
      </c>
      <c r="K173" s="85">
        <v>153.03757672234005</v>
      </c>
      <c r="L173" s="85">
        <v>153.88554282362003</v>
      </c>
      <c r="M173" s="85">
        <v>154.40944678216002</v>
      </c>
      <c r="N173" s="85">
        <v>154.08538463942003</v>
      </c>
      <c r="O173" s="85">
        <v>156.5677006061</v>
      </c>
      <c r="P173" s="85">
        <v>153.03757672234005</v>
      </c>
      <c r="Q173" s="85">
        <v>153.03757672234005</v>
      </c>
      <c r="R173" s="85">
        <v>153.88554282362003</v>
      </c>
      <c r="S173" s="85">
        <v>154.08538463942003</v>
      </c>
      <c r="T173" s="85">
        <v>157.09160456464002</v>
      </c>
      <c r="U173" s="85">
        <v>156.5677006061</v>
      </c>
      <c r="V173" s="85">
        <v>153.03757672234005</v>
      </c>
      <c r="W173" s="85">
        <v>153.88554282362003</v>
      </c>
      <c r="X173" s="85">
        <v>154.40944678216002</v>
      </c>
      <c r="Y173" s="85">
        <v>154.08538463942003</v>
      </c>
      <c r="Z173" s="85">
        <v>157.09160456464002</v>
      </c>
      <c r="AA173" s="85">
        <v>153.03757672234005</v>
      </c>
      <c r="AB173" s="85">
        <v>153.03757672234005</v>
      </c>
      <c r="AC173" s="85">
        <v>153.88554282362003</v>
      </c>
      <c r="AD173" s="85">
        <v>154.40944678216002</v>
      </c>
      <c r="AE173" s="85">
        <v>157.09160456464002</v>
      </c>
      <c r="AF173" s="85">
        <v>156.5677006061</v>
      </c>
      <c r="AG173" s="85">
        <v>153.03757672234005</v>
      </c>
    </row>
    <row r="174" spans="1:33" x14ac:dyDescent="0.25">
      <c r="A174" s="77" t="s">
        <v>264</v>
      </c>
      <c r="B174" s="77" t="s">
        <v>270</v>
      </c>
      <c r="C174" s="78" t="s">
        <v>371</v>
      </c>
      <c r="D174" s="77" t="s">
        <v>271</v>
      </c>
      <c r="E174" s="78" t="s">
        <v>338</v>
      </c>
      <c r="F174" s="85">
        <v>159.08393600034034</v>
      </c>
      <c r="G174" s="85">
        <v>160.69248032160036</v>
      </c>
      <c r="H174" s="85">
        <v>160.17369572238039</v>
      </c>
      <c r="I174" s="85">
        <v>163.34838075438037</v>
      </c>
      <c r="J174" s="85">
        <v>162.80350089336036</v>
      </c>
      <c r="K174" s="85">
        <v>159.08393600034034</v>
      </c>
      <c r="L174" s="85">
        <v>160.14760046058035</v>
      </c>
      <c r="M174" s="85">
        <v>160.69248032160036</v>
      </c>
      <c r="N174" s="85">
        <v>160.17369572238039</v>
      </c>
      <c r="O174" s="85">
        <v>162.80350089336036</v>
      </c>
      <c r="P174" s="85">
        <v>159.08393600034034</v>
      </c>
      <c r="Q174" s="85">
        <v>159.08393600034034</v>
      </c>
      <c r="R174" s="85">
        <v>160.14760046058035</v>
      </c>
      <c r="S174" s="85">
        <v>160.17369572238039</v>
      </c>
      <c r="T174" s="85">
        <v>163.34838075438037</v>
      </c>
      <c r="U174" s="85">
        <v>162.80350089336036</v>
      </c>
      <c r="V174" s="85">
        <v>159.08393600034034</v>
      </c>
      <c r="W174" s="85">
        <v>160.14760046058035</v>
      </c>
      <c r="X174" s="85">
        <v>160.69248032160036</v>
      </c>
      <c r="Y174" s="85">
        <v>160.17369572238039</v>
      </c>
      <c r="Z174" s="85">
        <v>163.34838075438037</v>
      </c>
      <c r="AA174" s="85">
        <v>159.08393600034034</v>
      </c>
      <c r="AB174" s="85">
        <v>159.08393600034034</v>
      </c>
      <c r="AC174" s="85">
        <v>160.14760046058035</v>
      </c>
      <c r="AD174" s="85">
        <v>160.69248032160036</v>
      </c>
      <c r="AE174" s="85">
        <v>163.34838075438037</v>
      </c>
      <c r="AF174" s="85">
        <v>162.80350089336036</v>
      </c>
      <c r="AG174" s="85">
        <v>159.08393600034034</v>
      </c>
    </row>
    <row r="175" spans="1:33" x14ac:dyDescent="0.25">
      <c r="A175" s="77" t="s">
        <v>264</v>
      </c>
      <c r="B175" s="77" t="s">
        <v>270</v>
      </c>
      <c r="C175" s="78" t="s">
        <v>372</v>
      </c>
      <c r="D175" s="77" t="s">
        <v>271</v>
      </c>
      <c r="E175" s="78" t="s">
        <v>339</v>
      </c>
      <c r="F175" s="85">
        <v>153.03757672234005</v>
      </c>
      <c r="G175" s="85">
        <v>154.40944678216002</v>
      </c>
      <c r="H175" s="85">
        <v>154.08538463942003</v>
      </c>
      <c r="I175" s="85">
        <v>157.09160456464002</v>
      </c>
      <c r="J175" s="85">
        <v>156.5677006061</v>
      </c>
      <c r="K175" s="85">
        <v>153.03757672234005</v>
      </c>
      <c r="L175" s="85">
        <v>153.88554282362003</v>
      </c>
      <c r="M175" s="85">
        <v>154.40944678216002</v>
      </c>
      <c r="N175" s="85">
        <v>154.08538463942003</v>
      </c>
      <c r="O175" s="85">
        <v>156.5677006061</v>
      </c>
      <c r="P175" s="85">
        <v>153.03757672234005</v>
      </c>
      <c r="Q175" s="85">
        <v>153.03757672234005</v>
      </c>
      <c r="R175" s="85">
        <v>153.88554282362003</v>
      </c>
      <c r="S175" s="85">
        <v>154.08538463942003</v>
      </c>
      <c r="T175" s="85">
        <v>157.09160456464002</v>
      </c>
      <c r="U175" s="85">
        <v>156.5677006061</v>
      </c>
      <c r="V175" s="85">
        <v>153.03757672234005</v>
      </c>
      <c r="W175" s="85">
        <v>153.88554282362003</v>
      </c>
      <c r="X175" s="85">
        <v>154.40944678216002</v>
      </c>
      <c r="Y175" s="85">
        <v>154.08538463942003</v>
      </c>
      <c r="Z175" s="85">
        <v>157.09160456464002</v>
      </c>
      <c r="AA175" s="85">
        <v>153.03757672234005</v>
      </c>
      <c r="AB175" s="85">
        <v>153.03757672234005</v>
      </c>
      <c r="AC175" s="85">
        <v>153.88554282362003</v>
      </c>
      <c r="AD175" s="85">
        <v>154.40944678216002</v>
      </c>
      <c r="AE175" s="85">
        <v>157.09160456464002</v>
      </c>
      <c r="AF175" s="85">
        <v>156.5677006061</v>
      </c>
      <c r="AG175" s="85">
        <v>153.03757672234005</v>
      </c>
    </row>
    <row r="176" spans="1:33" x14ac:dyDescent="0.25">
      <c r="A176" s="77" t="s">
        <v>264</v>
      </c>
      <c r="B176" s="77" t="s">
        <v>270</v>
      </c>
      <c r="C176" s="78" t="s">
        <v>373</v>
      </c>
      <c r="D176" s="77" t="s">
        <v>271</v>
      </c>
      <c r="E176" s="78" t="s">
        <v>340</v>
      </c>
      <c r="F176" s="85">
        <v>156.62698748346025</v>
      </c>
      <c r="G176" s="85">
        <v>158.09743868094014</v>
      </c>
      <c r="H176" s="85">
        <v>157.51893690702016</v>
      </c>
      <c r="I176" s="85">
        <v>160.60230584862012</v>
      </c>
      <c r="J176" s="85">
        <v>160.15633113684015</v>
      </c>
      <c r="K176" s="85">
        <v>156.62698748346025</v>
      </c>
      <c r="L176" s="85">
        <v>157.6514639691602</v>
      </c>
      <c r="M176" s="85">
        <v>158.09743868094014</v>
      </c>
      <c r="N176" s="85">
        <v>157.51893690702016</v>
      </c>
      <c r="O176" s="85">
        <v>160.15633113684015</v>
      </c>
      <c r="P176" s="85">
        <v>156.62698748346025</v>
      </c>
      <c r="Q176" s="85">
        <v>156.62698748346025</v>
      </c>
      <c r="R176" s="85">
        <v>157.6514639691602</v>
      </c>
      <c r="S176" s="85">
        <v>157.51893690702016</v>
      </c>
      <c r="T176" s="85">
        <v>160.60230584862012</v>
      </c>
      <c r="U176" s="85">
        <v>160.15633113684015</v>
      </c>
      <c r="V176" s="85">
        <v>156.62698748346025</v>
      </c>
      <c r="W176" s="85">
        <v>157.6514639691602</v>
      </c>
      <c r="X176" s="85">
        <v>158.09743868094014</v>
      </c>
      <c r="Y176" s="85">
        <v>157.51893690702016</v>
      </c>
      <c r="Z176" s="85">
        <v>160.60230584862012</v>
      </c>
      <c r="AA176" s="85">
        <v>156.62698748346025</v>
      </c>
      <c r="AB176" s="85">
        <v>156.62698748346025</v>
      </c>
      <c r="AC176" s="85">
        <v>157.6514639691602</v>
      </c>
      <c r="AD176" s="85">
        <v>158.09743868094014</v>
      </c>
      <c r="AE176" s="85">
        <v>160.60230584862012</v>
      </c>
      <c r="AF176" s="85">
        <v>160.15633113684015</v>
      </c>
      <c r="AG176" s="85">
        <v>156.62698748346025</v>
      </c>
    </row>
    <row r="177" spans="1:33" x14ac:dyDescent="0.25">
      <c r="A177" s="77" t="s">
        <v>264</v>
      </c>
      <c r="B177" s="77" t="s">
        <v>270</v>
      </c>
      <c r="C177" s="78" t="s">
        <v>374</v>
      </c>
      <c r="D177" s="77" t="s">
        <v>271</v>
      </c>
      <c r="E177" s="78" t="s">
        <v>341</v>
      </c>
      <c r="F177" s="85">
        <v>154.13951102334005</v>
      </c>
      <c r="G177" s="85">
        <v>155.64950564127005</v>
      </c>
      <c r="H177" s="85">
        <v>155.06141005698007</v>
      </c>
      <c r="I177" s="85">
        <v>158.10326427228009</v>
      </c>
      <c r="J177" s="85">
        <v>157.64231475546009</v>
      </c>
      <c r="K177" s="85">
        <v>154.13951102334005</v>
      </c>
      <c r="L177" s="85">
        <v>155.18855612445003</v>
      </c>
      <c r="M177" s="85">
        <v>155.64950564127005</v>
      </c>
      <c r="N177" s="85">
        <v>155.06141005698007</v>
      </c>
      <c r="O177" s="85">
        <v>157.64231475546009</v>
      </c>
      <c r="P177" s="85">
        <v>154.13951102334005</v>
      </c>
      <c r="Q177" s="85">
        <v>154.13951102334005</v>
      </c>
      <c r="R177" s="85">
        <v>155.18855612445003</v>
      </c>
      <c r="S177" s="85">
        <v>155.06141005698007</v>
      </c>
      <c r="T177" s="85">
        <v>158.10326427228009</v>
      </c>
      <c r="U177" s="85">
        <v>157.64231475546009</v>
      </c>
      <c r="V177" s="85">
        <v>154.13951102334005</v>
      </c>
      <c r="W177" s="85">
        <v>155.18855612445003</v>
      </c>
      <c r="X177" s="85">
        <v>155.64950564127005</v>
      </c>
      <c r="Y177" s="85">
        <v>155.06141005698007</v>
      </c>
      <c r="Z177" s="85">
        <v>158.10326427228009</v>
      </c>
      <c r="AA177" s="85">
        <v>154.13951102334005</v>
      </c>
      <c r="AB177" s="85">
        <v>154.13951102334005</v>
      </c>
      <c r="AC177" s="85">
        <v>155.18855612445003</v>
      </c>
      <c r="AD177" s="85">
        <v>155.64950564127005</v>
      </c>
      <c r="AE177" s="85">
        <v>158.10326427228009</v>
      </c>
      <c r="AF177" s="85">
        <v>157.64231475546009</v>
      </c>
      <c r="AG177" s="85">
        <v>154.13951102334005</v>
      </c>
    </row>
    <row r="178" spans="1:33" x14ac:dyDescent="0.25">
      <c r="A178" s="77" t="s">
        <v>264</v>
      </c>
      <c r="B178" s="77" t="s">
        <v>270</v>
      </c>
      <c r="C178" s="78" t="s">
        <v>375</v>
      </c>
      <c r="D178" s="77" t="s">
        <v>209</v>
      </c>
      <c r="E178" s="78" t="s">
        <v>342</v>
      </c>
      <c r="F178" s="85">
        <v>157.92845961846001</v>
      </c>
      <c r="G178" s="85">
        <v>158.8364419013399</v>
      </c>
      <c r="H178" s="85">
        <v>158.29631375429997</v>
      </c>
      <c r="I178" s="85">
        <v>161.23445426693991</v>
      </c>
      <c r="J178" s="85">
        <v>161.05052719901994</v>
      </c>
      <c r="K178" s="85">
        <v>157.92845961846001</v>
      </c>
      <c r="L178" s="85">
        <v>158.65251483341996</v>
      </c>
      <c r="M178" s="85">
        <v>158.8364419013399</v>
      </c>
      <c r="N178" s="85">
        <v>158.29631375429997</v>
      </c>
      <c r="O178" s="85">
        <v>161.05052719901994</v>
      </c>
      <c r="P178" s="85">
        <v>157.92845961846001</v>
      </c>
      <c r="Q178" s="85">
        <v>157.92845961846001</v>
      </c>
      <c r="R178" s="85">
        <v>158.65251483341996</v>
      </c>
      <c r="S178" s="85">
        <v>158.29631375429997</v>
      </c>
      <c r="T178" s="85">
        <v>161.23445426693991</v>
      </c>
      <c r="U178" s="85">
        <v>161.05052719901994</v>
      </c>
      <c r="V178" s="85">
        <v>157.92845961846001</v>
      </c>
      <c r="W178" s="85">
        <v>158.65251483341996</v>
      </c>
      <c r="X178" s="85">
        <v>158.8364419013399</v>
      </c>
      <c r="Y178" s="85">
        <v>158.29631375429997</v>
      </c>
      <c r="Z178" s="85">
        <v>161.23445426693991</v>
      </c>
      <c r="AA178" s="85">
        <v>157.92845961846001</v>
      </c>
      <c r="AB178" s="85">
        <v>157.92845961846001</v>
      </c>
      <c r="AC178" s="85">
        <v>158.65251483341996</v>
      </c>
      <c r="AD178" s="85">
        <v>158.8364419013399</v>
      </c>
      <c r="AE178" s="85">
        <v>161.23445426693991</v>
      </c>
      <c r="AF178" s="85">
        <v>161.05052719901994</v>
      </c>
      <c r="AG178" s="85">
        <v>157.92845961846001</v>
      </c>
    </row>
    <row r="179" spans="1:33" x14ac:dyDescent="0.25">
      <c r="A179" s="77" t="s">
        <v>264</v>
      </c>
      <c r="B179" s="77" t="s">
        <v>270</v>
      </c>
      <c r="C179" s="78" t="s">
        <v>376</v>
      </c>
      <c r="D179" s="77" t="s">
        <v>213</v>
      </c>
      <c r="E179" s="78" t="s">
        <v>342</v>
      </c>
      <c r="F179" s="85">
        <v>133.89232279470005</v>
      </c>
      <c r="G179" s="85">
        <v>134.94262628814013</v>
      </c>
      <c r="H179" s="85">
        <v>134.52225050322011</v>
      </c>
      <c r="I179" s="85">
        <v>137.09137906278013</v>
      </c>
      <c r="J179" s="85">
        <v>136.77641520852012</v>
      </c>
      <c r="K179" s="85">
        <v>133.89232279470005</v>
      </c>
      <c r="L179" s="85">
        <v>134.62766243388012</v>
      </c>
      <c r="M179" s="85">
        <v>134.94262628814013</v>
      </c>
      <c r="N179" s="85">
        <v>134.52225050322011</v>
      </c>
      <c r="O179" s="85">
        <v>136.77641520852012</v>
      </c>
      <c r="P179" s="85">
        <v>133.89232279470005</v>
      </c>
      <c r="Q179" s="85">
        <v>133.89232279470005</v>
      </c>
      <c r="R179" s="85">
        <v>134.62766243388012</v>
      </c>
      <c r="S179" s="85">
        <v>134.52225050322011</v>
      </c>
      <c r="T179" s="85">
        <v>137.09137906278013</v>
      </c>
      <c r="U179" s="85">
        <v>136.77641520852012</v>
      </c>
      <c r="V179" s="85">
        <v>133.89232279470005</v>
      </c>
      <c r="W179" s="85">
        <v>134.62766243388012</v>
      </c>
      <c r="X179" s="85">
        <v>134.94262628814013</v>
      </c>
      <c r="Y179" s="85">
        <v>134.52225050322011</v>
      </c>
      <c r="Z179" s="85">
        <v>137.09137906278013</v>
      </c>
      <c r="AA179" s="85">
        <v>133.89232279470005</v>
      </c>
      <c r="AB179" s="85">
        <v>133.89232279470005</v>
      </c>
      <c r="AC179" s="85">
        <v>134.62766243388012</v>
      </c>
      <c r="AD179" s="85">
        <v>134.94262628814013</v>
      </c>
      <c r="AE179" s="85">
        <v>137.09137906278013</v>
      </c>
      <c r="AF179" s="85">
        <v>136.77641520852012</v>
      </c>
      <c r="AG179" s="85">
        <v>133.89232279470005</v>
      </c>
    </row>
    <row r="180" spans="1:33" x14ac:dyDescent="0.25">
      <c r="A180" s="77" t="s">
        <v>264</v>
      </c>
      <c r="B180" s="77" t="s">
        <v>270</v>
      </c>
      <c r="C180" s="78" t="s">
        <v>377</v>
      </c>
      <c r="D180" s="77" t="s">
        <v>216</v>
      </c>
      <c r="E180" s="78" t="s">
        <v>342</v>
      </c>
      <c r="F180" s="85">
        <v>83.67809269866008</v>
      </c>
      <c r="G180" s="85">
        <v>85.085140461299972</v>
      </c>
      <c r="H180" s="85">
        <v>84.660508963379968</v>
      </c>
      <c r="I180" s="85">
        <v>86.467530582659975</v>
      </c>
      <c r="J180" s="85">
        <v>85.976322450299975</v>
      </c>
      <c r="K180" s="85">
        <v>83.67809269866008</v>
      </c>
      <c r="L180" s="85">
        <v>84.593932328940014</v>
      </c>
      <c r="M180" s="85">
        <v>85.085140461299972</v>
      </c>
      <c r="N180" s="85">
        <v>84.660508963379968</v>
      </c>
      <c r="O180" s="85">
        <v>85.976322450299975</v>
      </c>
      <c r="P180" s="85">
        <v>83.67809269866008</v>
      </c>
      <c r="Q180" s="85">
        <v>83.67809269866008</v>
      </c>
      <c r="R180" s="85">
        <v>84.593932328940014</v>
      </c>
      <c r="S180" s="85">
        <v>84.660508963379968</v>
      </c>
      <c r="T180" s="85">
        <v>86.467530582659975</v>
      </c>
      <c r="U180" s="85">
        <v>85.976322450299975</v>
      </c>
      <c r="V180" s="85">
        <v>83.67809269866008</v>
      </c>
      <c r="W180" s="85">
        <v>84.593932328940014</v>
      </c>
      <c r="X180" s="85">
        <v>85.085140461299972</v>
      </c>
      <c r="Y180" s="85">
        <v>84.660508963379968</v>
      </c>
      <c r="Z180" s="85">
        <v>86.467530582659975</v>
      </c>
      <c r="AA180" s="85">
        <v>83.67809269866008</v>
      </c>
      <c r="AB180" s="85">
        <v>83.67809269866008</v>
      </c>
      <c r="AC180" s="85">
        <v>84.593932328940014</v>
      </c>
      <c r="AD180" s="85">
        <v>85.085140461299972</v>
      </c>
      <c r="AE180" s="85">
        <v>86.467530582659975</v>
      </c>
      <c r="AF180" s="85">
        <v>85.976322450299975</v>
      </c>
      <c r="AG180" s="85">
        <v>83.67809269866008</v>
      </c>
    </row>
    <row r="181" spans="1:33" x14ac:dyDescent="0.25">
      <c r="A181" s="77" t="s">
        <v>264</v>
      </c>
      <c r="B181" s="77" t="s">
        <v>270</v>
      </c>
      <c r="C181" s="78" t="s">
        <v>378</v>
      </c>
      <c r="D181" s="77" t="s">
        <v>220</v>
      </c>
      <c r="E181" s="78" t="s">
        <v>342</v>
      </c>
      <c r="F181" s="85">
        <v>4.7480521306799996</v>
      </c>
      <c r="G181" s="85">
        <v>5.0224217738399997</v>
      </c>
      <c r="H181" s="85">
        <v>4.9828431364799997</v>
      </c>
      <c r="I181" s="85">
        <v>5.1398172767399988</v>
      </c>
      <c r="J181" s="85">
        <v>5.0224217738399997</v>
      </c>
      <c r="K181" s="85">
        <v>4.7480521306799996</v>
      </c>
      <c r="L181" s="85">
        <v>4.9050262709399997</v>
      </c>
      <c r="M181" s="85">
        <v>5.0224217738399997</v>
      </c>
      <c r="N181" s="85">
        <v>4.9828431364799997</v>
      </c>
      <c r="O181" s="85">
        <v>5.0224217738399997</v>
      </c>
      <c r="P181" s="85">
        <v>4.7480521306799996</v>
      </c>
      <c r="Q181" s="85">
        <v>4.7480521306799996</v>
      </c>
      <c r="R181" s="85">
        <v>4.9050262709399997</v>
      </c>
      <c r="S181" s="85">
        <v>4.9828431364799997</v>
      </c>
      <c r="T181" s="85">
        <v>5.1398172767399988</v>
      </c>
      <c r="U181" s="85">
        <v>5.0224217738399997</v>
      </c>
      <c r="V181" s="85">
        <v>4.7480521306799996</v>
      </c>
      <c r="W181" s="85">
        <v>4.9050262709399997</v>
      </c>
      <c r="X181" s="85">
        <v>5.0224217738399997</v>
      </c>
      <c r="Y181" s="85">
        <v>4.9828431364799997</v>
      </c>
      <c r="Z181" s="85">
        <v>5.1398172767399988</v>
      </c>
      <c r="AA181" s="85">
        <v>4.7480521306799996</v>
      </c>
      <c r="AB181" s="85">
        <v>4.7480521306799996</v>
      </c>
      <c r="AC181" s="85">
        <v>4.9050262709399997</v>
      </c>
      <c r="AD181" s="85">
        <v>5.0224217738399997</v>
      </c>
      <c r="AE181" s="85">
        <v>5.1398172767399988</v>
      </c>
      <c r="AF181" s="85">
        <v>5.0224217738399997</v>
      </c>
      <c r="AG181" s="85">
        <v>4.7480521306799996</v>
      </c>
    </row>
    <row r="182" spans="1:33" x14ac:dyDescent="0.25">
      <c r="A182" s="77" t="s">
        <v>264</v>
      </c>
      <c r="B182" s="77" t="s">
        <v>270</v>
      </c>
      <c r="C182" s="78" t="s">
        <v>379</v>
      </c>
      <c r="D182" s="77" t="s">
        <v>271</v>
      </c>
      <c r="E182" s="78" t="s">
        <v>342</v>
      </c>
      <c r="F182" s="85">
        <v>151.65203456322038</v>
      </c>
      <c r="G182" s="85">
        <v>153.20157260160039</v>
      </c>
      <c r="H182" s="85">
        <v>152.60388320694034</v>
      </c>
      <c r="I182" s="85">
        <v>155.60422269594036</v>
      </c>
      <c r="J182" s="85">
        <v>155.12829837408037</v>
      </c>
      <c r="K182" s="85">
        <v>151.65203456322038</v>
      </c>
      <c r="L182" s="85">
        <v>152.72564827974043</v>
      </c>
      <c r="M182" s="85">
        <v>153.20157260160039</v>
      </c>
      <c r="N182" s="85">
        <v>152.60388320694034</v>
      </c>
      <c r="O182" s="85">
        <v>155.12829837408037</v>
      </c>
      <c r="P182" s="85">
        <v>151.65203456322038</v>
      </c>
      <c r="Q182" s="85">
        <v>151.65203456322038</v>
      </c>
      <c r="R182" s="85">
        <v>152.72564827974043</v>
      </c>
      <c r="S182" s="85">
        <v>152.60388320694034</v>
      </c>
      <c r="T182" s="85">
        <v>155.60422269594036</v>
      </c>
      <c r="U182" s="85">
        <v>155.12829837408037</v>
      </c>
      <c r="V182" s="85">
        <v>151.65203456322038</v>
      </c>
      <c r="W182" s="85">
        <v>152.72564827974043</v>
      </c>
      <c r="X182" s="85">
        <v>153.20157260160039</v>
      </c>
      <c r="Y182" s="85">
        <v>152.60388320694034</v>
      </c>
      <c r="Z182" s="85">
        <v>155.60422269594036</v>
      </c>
      <c r="AA182" s="85">
        <v>151.65203456322038</v>
      </c>
      <c r="AB182" s="85">
        <v>151.65203456322038</v>
      </c>
      <c r="AC182" s="85">
        <v>152.72564827974043</v>
      </c>
      <c r="AD182" s="85">
        <v>153.20157260160039</v>
      </c>
      <c r="AE182" s="85">
        <v>155.60422269594036</v>
      </c>
      <c r="AF182" s="85">
        <v>155.12829837408037</v>
      </c>
      <c r="AG182" s="85">
        <v>151.65203456322038</v>
      </c>
    </row>
    <row r="183" spans="1:33" x14ac:dyDescent="0.25">
      <c r="A183" s="77" t="s">
        <v>264</v>
      </c>
      <c r="B183" s="77" t="s">
        <v>270</v>
      </c>
      <c r="C183" s="78" t="s">
        <v>380</v>
      </c>
      <c r="D183" s="77" t="s">
        <v>209</v>
      </c>
      <c r="E183" s="78" t="s">
        <v>343</v>
      </c>
      <c r="F183" s="85">
        <v>157.92845961846001</v>
      </c>
      <c r="G183" s="85">
        <v>158.8364419013399</v>
      </c>
      <c r="H183" s="85">
        <v>158.29631375429997</v>
      </c>
      <c r="I183" s="85">
        <v>161.23445426693991</v>
      </c>
      <c r="J183" s="85">
        <v>161.05052719901994</v>
      </c>
      <c r="K183" s="85">
        <v>157.92845961846001</v>
      </c>
      <c r="L183" s="85">
        <v>158.65251483341996</v>
      </c>
      <c r="M183" s="85">
        <v>158.8364419013399</v>
      </c>
      <c r="N183" s="85">
        <v>158.29631375429997</v>
      </c>
      <c r="O183" s="85">
        <v>161.05052719901994</v>
      </c>
      <c r="P183" s="85">
        <v>157.92845961846001</v>
      </c>
      <c r="Q183" s="85">
        <v>157.92845961846001</v>
      </c>
      <c r="R183" s="85">
        <v>158.65251483341996</v>
      </c>
      <c r="S183" s="85">
        <v>158.29631375429997</v>
      </c>
      <c r="T183" s="85">
        <v>161.23445426693991</v>
      </c>
      <c r="U183" s="85">
        <v>161.05052719901994</v>
      </c>
      <c r="V183" s="85">
        <v>157.92845961846001</v>
      </c>
      <c r="W183" s="85">
        <v>158.65251483341996</v>
      </c>
      <c r="X183" s="85">
        <v>158.8364419013399</v>
      </c>
      <c r="Y183" s="85">
        <v>158.29631375429997</v>
      </c>
      <c r="Z183" s="85">
        <v>161.23445426693991</v>
      </c>
      <c r="AA183" s="85">
        <v>157.92845961846001</v>
      </c>
      <c r="AB183" s="85">
        <v>157.92845961846001</v>
      </c>
      <c r="AC183" s="85">
        <v>158.65251483341996</v>
      </c>
      <c r="AD183" s="85">
        <v>158.8364419013399</v>
      </c>
      <c r="AE183" s="85">
        <v>161.23445426693991</v>
      </c>
      <c r="AF183" s="85">
        <v>161.05052719901994</v>
      </c>
      <c r="AG183" s="85">
        <v>157.92845961846001</v>
      </c>
    </row>
    <row r="184" spans="1:33" x14ac:dyDescent="0.25">
      <c r="A184" s="77" t="s">
        <v>264</v>
      </c>
      <c r="B184" s="77" t="s">
        <v>270</v>
      </c>
      <c r="C184" s="78" t="s">
        <v>381</v>
      </c>
      <c r="D184" s="77" t="s">
        <v>213</v>
      </c>
      <c r="E184" s="78" t="s">
        <v>343</v>
      </c>
      <c r="F184" s="85">
        <v>133.89232279470005</v>
      </c>
      <c r="G184" s="85">
        <v>134.94262628814013</v>
      </c>
      <c r="H184" s="85">
        <v>134.52225050322011</v>
      </c>
      <c r="I184" s="85">
        <v>137.09137906278013</v>
      </c>
      <c r="J184" s="85">
        <v>136.77641520852012</v>
      </c>
      <c r="K184" s="85">
        <v>133.89232279470005</v>
      </c>
      <c r="L184" s="85">
        <v>134.62766243388012</v>
      </c>
      <c r="M184" s="85">
        <v>134.94262628814013</v>
      </c>
      <c r="N184" s="85">
        <v>134.52225050322011</v>
      </c>
      <c r="O184" s="85">
        <v>136.77641520852012</v>
      </c>
      <c r="P184" s="85">
        <v>133.89232279470005</v>
      </c>
      <c r="Q184" s="85">
        <v>133.89232279470005</v>
      </c>
      <c r="R184" s="85">
        <v>134.62766243388012</v>
      </c>
      <c r="S184" s="85">
        <v>134.52225050322011</v>
      </c>
      <c r="T184" s="85">
        <v>137.09137906278013</v>
      </c>
      <c r="U184" s="85">
        <v>136.77641520852012</v>
      </c>
      <c r="V184" s="85">
        <v>133.89232279470005</v>
      </c>
      <c r="W184" s="85">
        <v>134.62766243388012</v>
      </c>
      <c r="X184" s="85">
        <v>134.94262628814013</v>
      </c>
      <c r="Y184" s="85">
        <v>134.52225050322011</v>
      </c>
      <c r="Z184" s="85">
        <v>137.09137906278013</v>
      </c>
      <c r="AA184" s="85">
        <v>133.89232279470005</v>
      </c>
      <c r="AB184" s="85">
        <v>133.89232279470005</v>
      </c>
      <c r="AC184" s="85">
        <v>134.62766243388012</v>
      </c>
      <c r="AD184" s="85">
        <v>134.94262628814013</v>
      </c>
      <c r="AE184" s="85">
        <v>137.09137906278013</v>
      </c>
      <c r="AF184" s="85">
        <v>136.77641520852012</v>
      </c>
      <c r="AG184" s="85">
        <v>133.89232279470005</v>
      </c>
    </row>
    <row r="185" spans="1:33" x14ac:dyDescent="0.25">
      <c r="A185" s="77" t="s">
        <v>264</v>
      </c>
      <c r="B185" s="77" t="s">
        <v>270</v>
      </c>
      <c r="C185" s="78" t="s">
        <v>382</v>
      </c>
      <c r="D185" s="77" t="s">
        <v>216</v>
      </c>
      <c r="E185" s="78" t="s">
        <v>343</v>
      </c>
      <c r="F185" s="85">
        <v>83.67809269866008</v>
      </c>
      <c r="G185" s="85">
        <v>85.085140461299972</v>
      </c>
      <c r="H185" s="85">
        <v>84.660508963379968</v>
      </c>
      <c r="I185" s="85">
        <v>86.467530582659975</v>
      </c>
      <c r="J185" s="85">
        <v>85.976322450299975</v>
      </c>
      <c r="K185" s="85">
        <v>83.67809269866008</v>
      </c>
      <c r="L185" s="85">
        <v>84.593932328940014</v>
      </c>
      <c r="M185" s="85">
        <v>85.085140461299972</v>
      </c>
      <c r="N185" s="85">
        <v>84.660508963379968</v>
      </c>
      <c r="O185" s="85">
        <v>85.976322450299975</v>
      </c>
      <c r="P185" s="85">
        <v>83.67809269866008</v>
      </c>
      <c r="Q185" s="85">
        <v>83.67809269866008</v>
      </c>
      <c r="R185" s="85">
        <v>84.593932328940014</v>
      </c>
      <c r="S185" s="85">
        <v>84.660508963379968</v>
      </c>
      <c r="T185" s="85">
        <v>86.467530582659975</v>
      </c>
      <c r="U185" s="85">
        <v>85.976322450299975</v>
      </c>
      <c r="V185" s="85">
        <v>83.67809269866008</v>
      </c>
      <c r="W185" s="85">
        <v>84.593932328940014</v>
      </c>
      <c r="X185" s="85">
        <v>85.085140461299972</v>
      </c>
      <c r="Y185" s="85">
        <v>84.660508963379968</v>
      </c>
      <c r="Z185" s="85">
        <v>86.467530582659975</v>
      </c>
      <c r="AA185" s="85">
        <v>83.67809269866008</v>
      </c>
      <c r="AB185" s="85">
        <v>83.67809269866008</v>
      </c>
      <c r="AC185" s="85">
        <v>84.593932328940014</v>
      </c>
      <c r="AD185" s="85">
        <v>85.085140461299972</v>
      </c>
      <c r="AE185" s="85">
        <v>86.467530582659975</v>
      </c>
      <c r="AF185" s="85">
        <v>85.976322450299975</v>
      </c>
      <c r="AG185" s="85">
        <v>83.67809269866008</v>
      </c>
    </row>
    <row r="186" spans="1:33" x14ac:dyDescent="0.25">
      <c r="A186" s="77" t="s">
        <v>264</v>
      </c>
      <c r="B186" s="77" t="s">
        <v>270</v>
      </c>
      <c r="C186" s="78" t="s">
        <v>383</v>
      </c>
      <c r="D186" s="77" t="s">
        <v>220</v>
      </c>
      <c r="E186" s="78" t="s">
        <v>343</v>
      </c>
      <c r="F186" s="85">
        <v>4.7480521306799996</v>
      </c>
      <c r="G186" s="85">
        <v>5.0224217738399997</v>
      </c>
      <c r="H186" s="85">
        <v>4.9828431364799997</v>
      </c>
      <c r="I186" s="85">
        <v>5.1398172767399988</v>
      </c>
      <c r="J186" s="85">
        <v>5.0224217738399997</v>
      </c>
      <c r="K186" s="85">
        <v>4.7480521306799996</v>
      </c>
      <c r="L186" s="85">
        <v>4.9050262709399997</v>
      </c>
      <c r="M186" s="85">
        <v>5.0224217738399997</v>
      </c>
      <c r="N186" s="85">
        <v>4.9828431364799997</v>
      </c>
      <c r="O186" s="85">
        <v>5.0224217738399997</v>
      </c>
      <c r="P186" s="85">
        <v>4.7480521306799996</v>
      </c>
      <c r="Q186" s="85">
        <v>4.7480521306799996</v>
      </c>
      <c r="R186" s="85">
        <v>4.9050262709399997</v>
      </c>
      <c r="S186" s="85">
        <v>4.9828431364799997</v>
      </c>
      <c r="T186" s="85">
        <v>5.1398172767399988</v>
      </c>
      <c r="U186" s="85">
        <v>5.0224217738399997</v>
      </c>
      <c r="V186" s="85">
        <v>4.7480521306799996</v>
      </c>
      <c r="W186" s="85">
        <v>4.9050262709399997</v>
      </c>
      <c r="X186" s="85">
        <v>5.0224217738399997</v>
      </c>
      <c r="Y186" s="85">
        <v>4.9828431364799997</v>
      </c>
      <c r="Z186" s="85">
        <v>5.1398172767399988</v>
      </c>
      <c r="AA186" s="85">
        <v>4.7480521306799996</v>
      </c>
      <c r="AB186" s="85">
        <v>4.7480521306799996</v>
      </c>
      <c r="AC186" s="85">
        <v>4.9050262709399997</v>
      </c>
      <c r="AD186" s="85">
        <v>5.0224217738399997</v>
      </c>
      <c r="AE186" s="85">
        <v>5.1398172767399988</v>
      </c>
      <c r="AF186" s="85">
        <v>5.0224217738399997</v>
      </c>
      <c r="AG186" s="85">
        <v>4.7480521306799996</v>
      </c>
    </row>
    <row r="187" spans="1:33" x14ac:dyDescent="0.25">
      <c r="A187" s="77" t="s">
        <v>264</v>
      </c>
      <c r="B187" s="77" t="s">
        <v>270</v>
      </c>
      <c r="C187" s="78" t="s">
        <v>384</v>
      </c>
      <c r="D187" s="77" t="s">
        <v>271</v>
      </c>
      <c r="E187" s="78" t="s">
        <v>343</v>
      </c>
      <c r="F187" s="85">
        <v>151.65203456322038</v>
      </c>
      <c r="G187" s="85">
        <v>153.20157260160039</v>
      </c>
      <c r="H187" s="85">
        <v>152.60388320694034</v>
      </c>
      <c r="I187" s="85">
        <v>155.60422269594036</v>
      </c>
      <c r="J187" s="85">
        <v>155.12829837408037</v>
      </c>
      <c r="K187" s="85">
        <v>151.65203456322038</v>
      </c>
      <c r="L187" s="85">
        <v>152.72564827974043</v>
      </c>
      <c r="M187" s="85">
        <v>153.20157260160039</v>
      </c>
      <c r="N187" s="85">
        <v>152.60388320694034</v>
      </c>
      <c r="O187" s="85">
        <v>155.12829837408037</v>
      </c>
      <c r="P187" s="85">
        <v>151.65203456322038</v>
      </c>
      <c r="Q187" s="85">
        <v>151.65203456322038</v>
      </c>
      <c r="R187" s="85">
        <v>152.72564827974043</v>
      </c>
      <c r="S187" s="85">
        <v>152.60388320694034</v>
      </c>
      <c r="T187" s="85">
        <v>155.60422269594036</v>
      </c>
      <c r="U187" s="85">
        <v>155.12829837408037</v>
      </c>
      <c r="V187" s="85">
        <v>151.65203456322038</v>
      </c>
      <c r="W187" s="85">
        <v>152.72564827974043</v>
      </c>
      <c r="X187" s="85">
        <v>153.20157260160039</v>
      </c>
      <c r="Y187" s="85">
        <v>152.60388320694034</v>
      </c>
      <c r="Z187" s="85">
        <v>155.60422269594036</v>
      </c>
      <c r="AA187" s="85">
        <v>151.65203456322038</v>
      </c>
      <c r="AB187" s="85">
        <v>151.65203456322038</v>
      </c>
      <c r="AC187" s="85">
        <v>152.72564827974043</v>
      </c>
      <c r="AD187" s="85">
        <v>153.20157260160039</v>
      </c>
      <c r="AE187" s="85">
        <v>155.60422269594036</v>
      </c>
      <c r="AF187" s="85">
        <v>155.12829837408037</v>
      </c>
      <c r="AG187" s="85">
        <v>151.65203456322038</v>
      </c>
    </row>
    <row r="188" spans="1:33" x14ac:dyDescent="0.25">
      <c r="A188" s="77" t="s">
        <v>264</v>
      </c>
      <c r="B188" s="77" t="s">
        <v>270</v>
      </c>
      <c r="C188" s="78" t="s">
        <v>385</v>
      </c>
      <c r="D188" s="77" t="s">
        <v>209</v>
      </c>
      <c r="E188" s="78" t="s">
        <v>344</v>
      </c>
      <c r="F188" s="85">
        <v>157.92845961846001</v>
      </c>
      <c r="G188" s="85">
        <v>158.8364419013399</v>
      </c>
      <c r="H188" s="85">
        <v>158.29631375429997</v>
      </c>
      <c r="I188" s="85">
        <v>161.23445426693991</v>
      </c>
      <c r="J188" s="85">
        <v>161.05052719901994</v>
      </c>
      <c r="K188" s="85">
        <v>157.92845961846001</v>
      </c>
      <c r="L188" s="85">
        <v>158.65251483341996</v>
      </c>
      <c r="M188" s="85">
        <v>158.8364419013399</v>
      </c>
      <c r="N188" s="85">
        <v>158.29631375429997</v>
      </c>
      <c r="O188" s="85">
        <v>161.05052719901994</v>
      </c>
      <c r="P188" s="85">
        <v>157.92845961846001</v>
      </c>
      <c r="Q188" s="85">
        <v>157.92845961846001</v>
      </c>
      <c r="R188" s="85">
        <v>158.65251483341996</v>
      </c>
      <c r="S188" s="85">
        <v>158.29631375429997</v>
      </c>
      <c r="T188" s="85">
        <v>161.23445426693991</v>
      </c>
      <c r="U188" s="85">
        <v>161.05052719901994</v>
      </c>
      <c r="V188" s="85">
        <v>157.92845961846001</v>
      </c>
      <c r="W188" s="85">
        <v>158.65251483341996</v>
      </c>
      <c r="X188" s="85">
        <v>158.8364419013399</v>
      </c>
      <c r="Y188" s="85">
        <v>158.29631375429997</v>
      </c>
      <c r="Z188" s="85">
        <v>161.23445426693991</v>
      </c>
      <c r="AA188" s="85">
        <v>157.92845961846001</v>
      </c>
      <c r="AB188" s="85">
        <v>157.92845961846001</v>
      </c>
      <c r="AC188" s="85">
        <v>158.65251483341996</v>
      </c>
      <c r="AD188" s="85">
        <v>158.8364419013399</v>
      </c>
      <c r="AE188" s="85">
        <v>161.23445426693991</v>
      </c>
      <c r="AF188" s="85">
        <v>161.05052719901994</v>
      </c>
      <c r="AG188" s="85">
        <v>157.92845961846001</v>
      </c>
    </row>
    <row r="189" spans="1:33" x14ac:dyDescent="0.25">
      <c r="A189" s="77" t="s">
        <v>264</v>
      </c>
      <c r="B189" s="77" t="s">
        <v>270</v>
      </c>
      <c r="C189" s="78" t="s">
        <v>386</v>
      </c>
      <c r="D189" s="77" t="s">
        <v>213</v>
      </c>
      <c r="E189" s="78" t="s">
        <v>344</v>
      </c>
      <c r="F189" s="85">
        <v>133.89232279470005</v>
      </c>
      <c r="G189" s="85">
        <v>134.94262628814013</v>
      </c>
      <c r="H189" s="85">
        <v>134.52225050322011</v>
      </c>
      <c r="I189" s="85">
        <v>137.09137906278013</v>
      </c>
      <c r="J189" s="85">
        <v>136.77641520852012</v>
      </c>
      <c r="K189" s="85">
        <v>133.89232279470005</v>
      </c>
      <c r="L189" s="85">
        <v>134.62766243388012</v>
      </c>
      <c r="M189" s="85">
        <v>134.94262628814013</v>
      </c>
      <c r="N189" s="85">
        <v>134.52225050322011</v>
      </c>
      <c r="O189" s="85">
        <v>136.77641520852012</v>
      </c>
      <c r="P189" s="85">
        <v>133.89232279470005</v>
      </c>
      <c r="Q189" s="85">
        <v>133.89232279470005</v>
      </c>
      <c r="R189" s="85">
        <v>134.62766243388012</v>
      </c>
      <c r="S189" s="85">
        <v>134.52225050322011</v>
      </c>
      <c r="T189" s="85">
        <v>137.09137906278013</v>
      </c>
      <c r="U189" s="85">
        <v>136.77641520852012</v>
      </c>
      <c r="V189" s="85">
        <v>133.89232279470005</v>
      </c>
      <c r="W189" s="85">
        <v>134.62766243388012</v>
      </c>
      <c r="X189" s="85">
        <v>134.94262628814013</v>
      </c>
      <c r="Y189" s="85">
        <v>134.52225050322011</v>
      </c>
      <c r="Z189" s="85">
        <v>137.09137906278013</v>
      </c>
      <c r="AA189" s="85">
        <v>133.89232279470005</v>
      </c>
      <c r="AB189" s="85">
        <v>133.89232279470005</v>
      </c>
      <c r="AC189" s="85">
        <v>134.62766243388012</v>
      </c>
      <c r="AD189" s="85">
        <v>134.94262628814013</v>
      </c>
      <c r="AE189" s="85">
        <v>137.09137906278013</v>
      </c>
      <c r="AF189" s="85">
        <v>136.77641520852012</v>
      </c>
      <c r="AG189" s="85">
        <v>133.89232279470005</v>
      </c>
    </row>
    <row r="190" spans="1:33" x14ac:dyDescent="0.25">
      <c r="A190" s="77" t="s">
        <v>264</v>
      </c>
      <c r="B190" s="77" t="s">
        <v>270</v>
      </c>
      <c r="C190" s="78" t="s">
        <v>387</v>
      </c>
      <c r="D190" s="77" t="s">
        <v>216</v>
      </c>
      <c r="E190" s="78" t="s">
        <v>344</v>
      </c>
      <c r="F190" s="85">
        <v>83.67809269866008</v>
      </c>
      <c r="G190" s="85">
        <v>85.085140461299972</v>
      </c>
      <c r="H190" s="85">
        <v>84.660508963379968</v>
      </c>
      <c r="I190" s="85">
        <v>86.467530582659975</v>
      </c>
      <c r="J190" s="85">
        <v>85.976322450299975</v>
      </c>
      <c r="K190" s="85">
        <v>83.67809269866008</v>
      </c>
      <c r="L190" s="85">
        <v>84.593932328940014</v>
      </c>
      <c r="M190" s="85">
        <v>85.085140461299972</v>
      </c>
      <c r="N190" s="85">
        <v>84.660508963379968</v>
      </c>
      <c r="O190" s="85">
        <v>85.976322450299975</v>
      </c>
      <c r="P190" s="85">
        <v>83.67809269866008</v>
      </c>
      <c r="Q190" s="85">
        <v>83.67809269866008</v>
      </c>
      <c r="R190" s="85">
        <v>84.593932328940014</v>
      </c>
      <c r="S190" s="85">
        <v>84.660508963379968</v>
      </c>
      <c r="T190" s="85">
        <v>86.467530582659975</v>
      </c>
      <c r="U190" s="85">
        <v>85.976322450299975</v>
      </c>
      <c r="V190" s="85">
        <v>83.67809269866008</v>
      </c>
      <c r="W190" s="85">
        <v>84.593932328940014</v>
      </c>
      <c r="X190" s="85">
        <v>85.085140461299972</v>
      </c>
      <c r="Y190" s="85">
        <v>84.660508963379968</v>
      </c>
      <c r="Z190" s="85">
        <v>86.467530582659975</v>
      </c>
      <c r="AA190" s="85">
        <v>83.67809269866008</v>
      </c>
      <c r="AB190" s="85">
        <v>83.67809269866008</v>
      </c>
      <c r="AC190" s="85">
        <v>84.593932328940014</v>
      </c>
      <c r="AD190" s="85">
        <v>85.085140461299972</v>
      </c>
      <c r="AE190" s="85">
        <v>86.467530582659975</v>
      </c>
      <c r="AF190" s="85">
        <v>85.976322450299975</v>
      </c>
      <c r="AG190" s="85">
        <v>83.67809269866008</v>
      </c>
    </row>
    <row r="191" spans="1:33" x14ac:dyDescent="0.25">
      <c r="A191" s="77" t="s">
        <v>264</v>
      </c>
      <c r="B191" s="77" t="s">
        <v>270</v>
      </c>
      <c r="C191" s="78" t="s">
        <v>388</v>
      </c>
      <c r="D191" s="77" t="s">
        <v>220</v>
      </c>
      <c r="E191" s="78" t="s">
        <v>344</v>
      </c>
      <c r="F191" s="85">
        <v>4.7480521306799996</v>
      </c>
      <c r="G191" s="85">
        <v>5.0224217738399997</v>
      </c>
      <c r="H191" s="85">
        <v>4.9828431364799997</v>
      </c>
      <c r="I191" s="85">
        <v>5.1398172767399988</v>
      </c>
      <c r="J191" s="85">
        <v>5.0224217738399997</v>
      </c>
      <c r="K191" s="85">
        <v>4.7480521306799996</v>
      </c>
      <c r="L191" s="85">
        <v>4.9050262709399997</v>
      </c>
      <c r="M191" s="85">
        <v>5.0224217738399997</v>
      </c>
      <c r="N191" s="85">
        <v>4.9828431364799997</v>
      </c>
      <c r="O191" s="85">
        <v>5.0224217738399997</v>
      </c>
      <c r="P191" s="85">
        <v>4.7480521306799996</v>
      </c>
      <c r="Q191" s="85">
        <v>4.7480521306799996</v>
      </c>
      <c r="R191" s="85">
        <v>4.9050262709399997</v>
      </c>
      <c r="S191" s="85">
        <v>4.9828431364799997</v>
      </c>
      <c r="T191" s="85">
        <v>5.1398172767399988</v>
      </c>
      <c r="U191" s="85">
        <v>5.0224217738399997</v>
      </c>
      <c r="V191" s="85">
        <v>4.7480521306799996</v>
      </c>
      <c r="W191" s="85">
        <v>4.9050262709399997</v>
      </c>
      <c r="X191" s="85">
        <v>5.0224217738399997</v>
      </c>
      <c r="Y191" s="85">
        <v>4.9828431364799997</v>
      </c>
      <c r="Z191" s="85">
        <v>5.1398172767399988</v>
      </c>
      <c r="AA191" s="85">
        <v>4.7480521306799996</v>
      </c>
      <c r="AB191" s="85">
        <v>4.7480521306799996</v>
      </c>
      <c r="AC191" s="85">
        <v>4.9050262709399997</v>
      </c>
      <c r="AD191" s="85">
        <v>5.0224217738399997</v>
      </c>
      <c r="AE191" s="85">
        <v>5.1398172767399988</v>
      </c>
      <c r="AF191" s="85">
        <v>5.0224217738399997</v>
      </c>
      <c r="AG191" s="85">
        <v>4.7480521306799996</v>
      </c>
    </row>
    <row r="192" spans="1:33" x14ac:dyDescent="0.25">
      <c r="A192" s="77" t="s">
        <v>264</v>
      </c>
      <c r="B192" s="77" t="s">
        <v>270</v>
      </c>
      <c r="C192" s="78" t="s">
        <v>389</v>
      </c>
      <c r="D192" s="77" t="s">
        <v>271</v>
      </c>
      <c r="E192" s="78" t="s">
        <v>345</v>
      </c>
      <c r="F192" s="85">
        <v>203.99710334615997</v>
      </c>
      <c r="G192" s="85">
        <v>201.7978757632799</v>
      </c>
      <c r="H192" s="85">
        <v>201.80363754065991</v>
      </c>
      <c r="I192" s="85">
        <v>208.24046012147974</v>
      </c>
      <c r="J192" s="85">
        <v>207.82932957203982</v>
      </c>
      <c r="K192" s="85">
        <v>203.99710334615997</v>
      </c>
      <c r="L192" s="85">
        <v>204.40247211821992</v>
      </c>
      <c r="M192" s="85">
        <v>201.7978757632799</v>
      </c>
      <c r="N192" s="85">
        <v>201.80363754065991</v>
      </c>
      <c r="O192" s="85">
        <v>207.82932957203982</v>
      </c>
      <c r="P192" s="85">
        <v>203.99710334615997</v>
      </c>
      <c r="Q192" s="85">
        <v>203.99710334615997</v>
      </c>
      <c r="R192" s="85">
        <v>204.40247211821992</v>
      </c>
      <c r="S192" s="85">
        <v>201.80363754065991</v>
      </c>
      <c r="T192" s="85">
        <v>208.24046012147974</v>
      </c>
      <c r="U192" s="85">
        <v>207.82932957203982</v>
      </c>
      <c r="V192" s="85">
        <v>203.99710334615997</v>
      </c>
      <c r="W192" s="85">
        <v>204.40247211821992</v>
      </c>
      <c r="X192" s="85">
        <v>201.7978757632799</v>
      </c>
      <c r="Y192" s="85">
        <v>201.80363754065991</v>
      </c>
      <c r="Z192" s="85">
        <v>208.24046012147974</v>
      </c>
      <c r="AA192" s="85">
        <v>203.99710334615997</v>
      </c>
      <c r="AB192" s="85">
        <v>203.99710334615997</v>
      </c>
      <c r="AC192" s="85">
        <v>204.40247211821992</v>
      </c>
      <c r="AD192" s="85">
        <v>201.7978757632799</v>
      </c>
      <c r="AE192" s="85">
        <v>208.24046012147974</v>
      </c>
      <c r="AF192" s="85">
        <v>207.82932957203982</v>
      </c>
      <c r="AG192" s="85">
        <v>203.99710334615997</v>
      </c>
    </row>
    <row r="193" spans="1:33" x14ac:dyDescent="0.25">
      <c r="B193" s="77" t="s">
        <v>272</v>
      </c>
    </row>
    <row r="195" spans="1:33" x14ac:dyDescent="0.25">
      <c r="A195" s="77" t="s">
        <v>259</v>
      </c>
      <c r="B195" s="77" t="s">
        <v>260</v>
      </c>
      <c r="C195" s="77" t="s">
        <v>273</v>
      </c>
      <c r="D195" s="77" t="s">
        <v>193</v>
      </c>
      <c r="E195" s="77" t="s">
        <v>263</v>
      </c>
      <c r="F195" s="79">
        <v>2023</v>
      </c>
      <c r="G195" s="79">
        <v>2024</v>
      </c>
      <c r="H195" s="79">
        <v>2025</v>
      </c>
      <c r="I195" s="79">
        <v>2026</v>
      </c>
      <c r="J195" s="79">
        <v>2027</v>
      </c>
      <c r="K195" s="79">
        <v>2028</v>
      </c>
      <c r="L195" s="79">
        <v>2029</v>
      </c>
      <c r="M195" s="79">
        <v>2030</v>
      </c>
      <c r="N195" s="79">
        <v>2031</v>
      </c>
      <c r="O195" s="79">
        <v>2032</v>
      </c>
      <c r="P195" s="79">
        <v>2033</v>
      </c>
      <c r="Q195" s="79">
        <v>2034</v>
      </c>
      <c r="R195" s="79">
        <v>2035</v>
      </c>
      <c r="S195" s="79">
        <v>2036</v>
      </c>
      <c r="T195" s="79">
        <v>2037</v>
      </c>
      <c r="U195" s="79">
        <v>2038</v>
      </c>
      <c r="V195" s="79">
        <v>2039</v>
      </c>
      <c r="W195" s="79">
        <v>2040</v>
      </c>
      <c r="X195" s="79">
        <v>2041</v>
      </c>
      <c r="Y195" s="79">
        <v>2042</v>
      </c>
      <c r="Z195" s="79">
        <v>2043</v>
      </c>
      <c r="AA195" s="79">
        <v>2044</v>
      </c>
      <c r="AB195" s="79">
        <v>2045</v>
      </c>
      <c r="AC195" s="79">
        <v>2046</v>
      </c>
      <c r="AD195" s="79">
        <v>2047</v>
      </c>
      <c r="AE195" s="79">
        <v>2048</v>
      </c>
      <c r="AF195" s="79">
        <v>2049</v>
      </c>
      <c r="AG195" s="79">
        <v>2050</v>
      </c>
    </row>
    <row r="196" spans="1:33" x14ac:dyDescent="0.25">
      <c r="A196" s="77" t="s">
        <v>274</v>
      </c>
      <c r="B196" s="77" t="s">
        <v>275</v>
      </c>
      <c r="C196" s="77" t="s">
        <v>276</v>
      </c>
      <c r="D196" s="77" t="s">
        <v>207</v>
      </c>
      <c r="E196" s="77" t="s">
        <v>221</v>
      </c>
      <c r="F196" s="86">
        <v>0.22</v>
      </c>
      <c r="G196" s="86">
        <v>0.20799999999999999</v>
      </c>
      <c r="H196" s="86">
        <v>0.22974116434681285</v>
      </c>
      <c r="I196" s="86">
        <v>0.22974116434681285</v>
      </c>
      <c r="J196" s="86">
        <v>0.22350790273012702</v>
      </c>
      <c r="K196" s="86">
        <v>0.21952571043442626</v>
      </c>
      <c r="L196" s="86">
        <v>0.21611661354887252</v>
      </c>
      <c r="M196" s="86">
        <v>0.21199877362372699</v>
      </c>
      <c r="N196" s="86">
        <v>0.21310861312159601</v>
      </c>
      <c r="O196" s="86">
        <v>0.21393540190036819</v>
      </c>
      <c r="P196" s="86">
        <v>0.21245091335052749</v>
      </c>
      <c r="Q196" s="86">
        <v>0.21140066144855918</v>
      </c>
      <c r="R196" s="86">
        <v>0.2096996492950059</v>
      </c>
      <c r="S196" s="86">
        <v>0.20906720607931323</v>
      </c>
      <c r="T196" s="86">
        <v>0.20825906635107849</v>
      </c>
      <c r="U196" s="86">
        <v>0.20883483323026736</v>
      </c>
      <c r="V196" s="86">
        <v>0.20737064207001349</v>
      </c>
      <c r="W196" s="86">
        <v>0.20664730344965979</v>
      </c>
      <c r="X196" s="86">
        <v>0.20726151538735355</v>
      </c>
      <c r="Y196" s="86">
        <v>0.20706747292384275</v>
      </c>
      <c r="Z196" s="86">
        <v>0.20673310047949667</v>
      </c>
      <c r="AA196" s="86">
        <v>0.20617029039921275</v>
      </c>
      <c r="AB196" s="86">
        <v>0.20670239961221534</v>
      </c>
      <c r="AC196" s="86">
        <v>0.20759621161331504</v>
      </c>
      <c r="AD196" s="86">
        <v>0.20742975403658609</v>
      </c>
      <c r="AE196" s="86">
        <v>0.20721808728534288</v>
      </c>
      <c r="AF196" s="86">
        <v>0.20779903363629815</v>
      </c>
      <c r="AG196" s="86">
        <v>0.21024161807911246</v>
      </c>
    </row>
    <row r="197" spans="1:33" x14ac:dyDescent="0.25">
      <c r="A197" s="77" t="s">
        <v>274</v>
      </c>
      <c r="B197" s="77" t="s">
        <v>275</v>
      </c>
      <c r="C197" s="77" t="s">
        <v>277</v>
      </c>
      <c r="D197" s="77" t="s">
        <v>244</v>
      </c>
      <c r="E197" s="77" t="s">
        <v>232</v>
      </c>
      <c r="F197" s="86">
        <v>0.24948888888888884</v>
      </c>
      <c r="G197" s="86">
        <v>0.31843710000000003</v>
      </c>
      <c r="H197" s="86">
        <v>0.32531710054485174</v>
      </c>
      <c r="I197" s="86">
        <v>0.32531710054485174</v>
      </c>
      <c r="J197" s="86">
        <v>0.31741670490009144</v>
      </c>
      <c r="K197" s="86">
        <v>0.31148209824593187</v>
      </c>
      <c r="L197" s="86">
        <v>0.30500158778978964</v>
      </c>
      <c r="M197" s="86">
        <v>0.29989478121258628</v>
      </c>
      <c r="N197" s="86">
        <v>0.30247665553060382</v>
      </c>
      <c r="O197" s="86">
        <v>0.30268539332133992</v>
      </c>
      <c r="P197" s="86">
        <v>0.30085567649783174</v>
      </c>
      <c r="Q197" s="86">
        <v>0.29873302801298329</v>
      </c>
      <c r="R197" s="86">
        <v>0.29604746298741824</v>
      </c>
      <c r="S197" s="86">
        <v>0.29455398768666813</v>
      </c>
      <c r="T197" s="86">
        <v>0.29297747638804628</v>
      </c>
      <c r="U197" s="86">
        <v>0.29436285594611789</v>
      </c>
      <c r="V197" s="86">
        <v>0.29171020898432864</v>
      </c>
      <c r="W197" s="86">
        <v>0.29020431913689759</v>
      </c>
      <c r="X197" s="86">
        <v>0.29132822352414356</v>
      </c>
      <c r="Y197" s="86">
        <v>0.29215680745460426</v>
      </c>
      <c r="Z197" s="86">
        <v>0.29355767161225588</v>
      </c>
      <c r="AA197" s="86">
        <v>0.29221899158212306</v>
      </c>
      <c r="AB197" s="86">
        <v>0.29346510457707464</v>
      </c>
      <c r="AC197" s="86">
        <v>0.29582357459983477</v>
      </c>
      <c r="AD197" s="86">
        <v>0.29563623272155537</v>
      </c>
      <c r="AE197" s="86">
        <v>0.29764960423023573</v>
      </c>
      <c r="AF197" s="86">
        <v>0.2984935667013634</v>
      </c>
      <c r="AG197" s="86">
        <v>0.30244384525481099</v>
      </c>
    </row>
    <row r="198" spans="1:33" x14ac:dyDescent="0.25">
      <c r="A198" s="77" t="s">
        <v>274</v>
      </c>
      <c r="B198" s="77" t="s">
        <v>275</v>
      </c>
      <c r="C198" s="77" t="s">
        <v>278</v>
      </c>
      <c r="D198" s="77" t="s">
        <v>245</v>
      </c>
      <c r="E198" s="77" t="s">
        <v>228</v>
      </c>
      <c r="F198" s="86">
        <v>0.2387791666666666</v>
      </c>
      <c r="G198" s="86">
        <v>0.29901730000000004</v>
      </c>
      <c r="H198" s="86">
        <v>0.31414147042318541</v>
      </c>
      <c r="I198" s="86">
        <v>0.31414147042318541</v>
      </c>
      <c r="J198" s="86">
        <v>0.30679470113429763</v>
      </c>
      <c r="K198" s="86">
        <v>0.30004020750131261</v>
      </c>
      <c r="L198" s="86">
        <v>0.29243694402135523</v>
      </c>
      <c r="M198" s="86">
        <v>0.2858839407463647</v>
      </c>
      <c r="N198" s="86">
        <v>0.28781575500911272</v>
      </c>
      <c r="O198" s="86">
        <v>0.28918699040262508</v>
      </c>
      <c r="P198" s="86">
        <v>0.287880048841192</v>
      </c>
      <c r="Q198" s="86">
        <v>0.28673356508908077</v>
      </c>
      <c r="R198" s="86">
        <v>0.28409921379913888</v>
      </c>
      <c r="S198" s="86">
        <v>0.28298272231217181</v>
      </c>
      <c r="T198" s="86">
        <v>0.28163051765936209</v>
      </c>
      <c r="U198" s="86">
        <v>0.28246969907069519</v>
      </c>
      <c r="V198" s="86">
        <v>0.27985489878493008</v>
      </c>
      <c r="W198" s="86">
        <v>0.27862588496353791</v>
      </c>
      <c r="X198" s="86">
        <v>0.27959424776157027</v>
      </c>
      <c r="Y198" s="86">
        <v>0.28002785171699734</v>
      </c>
      <c r="Z198" s="86">
        <v>0.28103271815833258</v>
      </c>
      <c r="AA198" s="86">
        <v>0.27935497488062622</v>
      </c>
      <c r="AB198" s="86">
        <v>0.28069125392523386</v>
      </c>
      <c r="AC198" s="86">
        <v>0.28227277496680225</v>
      </c>
      <c r="AD198" s="86">
        <v>0.28215879279422801</v>
      </c>
      <c r="AE198" s="86">
        <v>0.28323092280291373</v>
      </c>
      <c r="AF198" s="86">
        <v>0.28427712342327072</v>
      </c>
      <c r="AG198" s="86">
        <v>0.28772577300021762</v>
      </c>
    </row>
    <row r="199" spans="1:33" x14ac:dyDescent="0.25">
      <c r="A199" s="77" t="s">
        <v>274</v>
      </c>
      <c r="B199" s="77" t="s">
        <v>275</v>
      </c>
      <c r="C199" s="77" t="s">
        <v>279</v>
      </c>
      <c r="D199" s="77" t="s">
        <v>31</v>
      </c>
      <c r="E199" s="77" t="s">
        <v>206</v>
      </c>
      <c r="F199" s="86">
        <v>0.13461524191631014</v>
      </c>
      <c r="G199" s="86">
        <v>0.14972580000000002</v>
      </c>
      <c r="H199" s="86">
        <v>0.15987910008140455</v>
      </c>
      <c r="I199" s="86">
        <v>0.15987910008140455</v>
      </c>
      <c r="J199" s="86">
        <v>0.15668221261119764</v>
      </c>
      <c r="K199" s="86">
        <v>0.15350130540598261</v>
      </c>
      <c r="L199" s="86">
        <v>0.15016746976156514</v>
      </c>
      <c r="M199" s="86">
        <v>0.14511258120216952</v>
      </c>
      <c r="N199" s="86">
        <v>0.1469720242919923</v>
      </c>
      <c r="O199" s="86">
        <v>0.14793145210579214</v>
      </c>
      <c r="P199" s="86">
        <v>0.14717980453756818</v>
      </c>
      <c r="Q199" s="86">
        <v>0.1465085130402787</v>
      </c>
      <c r="R199" s="86">
        <v>0.14476530607186083</v>
      </c>
      <c r="S199" s="86">
        <v>0.1440951371813842</v>
      </c>
      <c r="T199" s="86">
        <v>0.14324353077838597</v>
      </c>
      <c r="U199" s="86">
        <v>0.14353491287056505</v>
      </c>
      <c r="V199" s="86">
        <v>0.14234306138293079</v>
      </c>
      <c r="W199" s="86">
        <v>0.14124542683032842</v>
      </c>
      <c r="X199" s="86">
        <v>0.14183239856040603</v>
      </c>
      <c r="Y199" s="86">
        <v>0.14133212131821413</v>
      </c>
      <c r="Z199" s="86">
        <v>0.14067022986193908</v>
      </c>
      <c r="AA199" s="86">
        <v>0.13930651319502368</v>
      </c>
      <c r="AB199" s="86">
        <v>0.13961027635958576</v>
      </c>
      <c r="AC199" s="86">
        <v>0.14082029804088084</v>
      </c>
      <c r="AD199" s="86">
        <v>0.14039867913384763</v>
      </c>
      <c r="AE199" s="86">
        <v>0.14114532437320243</v>
      </c>
      <c r="AF199" s="86">
        <v>0.14142575789799366</v>
      </c>
      <c r="AG199" s="86">
        <v>0.14336887326633024</v>
      </c>
    </row>
    <row r="200" spans="1:33" x14ac:dyDescent="0.25">
      <c r="A200" s="77" t="s">
        <v>274</v>
      </c>
      <c r="B200" s="77" t="s">
        <v>275</v>
      </c>
      <c r="C200" s="77" t="s">
        <v>280</v>
      </c>
      <c r="D200" s="77" t="s">
        <v>21</v>
      </c>
      <c r="E200" s="77" t="s">
        <v>215</v>
      </c>
      <c r="F200" s="86">
        <v>0.14565294572344248</v>
      </c>
      <c r="G200" s="86">
        <v>0.166494</v>
      </c>
      <c r="H200" s="86">
        <v>0.1954362197077939</v>
      </c>
      <c r="I200" s="86">
        <v>0.1954362197077939</v>
      </c>
      <c r="J200" s="86">
        <v>0.19116286909078123</v>
      </c>
      <c r="K200" s="86">
        <v>0.18767738757861782</v>
      </c>
      <c r="L200" s="86">
        <v>0.18288934480715813</v>
      </c>
      <c r="M200" s="86">
        <v>0.17772742858321394</v>
      </c>
      <c r="N200" s="86">
        <v>0.17957570596427364</v>
      </c>
      <c r="O200" s="86">
        <v>0.18046712962591943</v>
      </c>
      <c r="P200" s="86">
        <v>0.17877301086049255</v>
      </c>
      <c r="Q200" s="86">
        <v>0.17797280096965928</v>
      </c>
      <c r="R200" s="86">
        <v>0.17578696991545167</v>
      </c>
      <c r="S200" s="86">
        <v>0.17501038910562366</v>
      </c>
      <c r="T200" s="86">
        <v>0.17388535147726086</v>
      </c>
      <c r="U200" s="86">
        <v>0.17491109895101248</v>
      </c>
      <c r="V200" s="86">
        <v>0.17345049071622753</v>
      </c>
      <c r="W200" s="86">
        <v>0.17241321335489679</v>
      </c>
      <c r="X200" s="86">
        <v>0.17313874724106643</v>
      </c>
      <c r="Y200" s="86">
        <v>0.17269182617624551</v>
      </c>
      <c r="Z200" s="86">
        <v>0.17222902728739348</v>
      </c>
      <c r="AA200" s="86">
        <v>0.17072968930568705</v>
      </c>
      <c r="AB200" s="86">
        <v>0.17104296460892177</v>
      </c>
      <c r="AC200" s="86">
        <v>0.17204260790257642</v>
      </c>
      <c r="AD200" s="86">
        <v>0.17103869743542147</v>
      </c>
      <c r="AE200" s="86">
        <v>0.17172836871324654</v>
      </c>
      <c r="AF200" s="86">
        <v>0.17177641670429547</v>
      </c>
      <c r="AG200" s="86">
        <v>0.17368005893280786</v>
      </c>
    </row>
    <row r="201" spans="1:33" x14ac:dyDescent="0.25">
      <c r="A201" s="77" t="s">
        <v>274</v>
      </c>
      <c r="B201" s="77" t="s">
        <v>275</v>
      </c>
      <c r="C201" s="77" t="s">
        <v>281</v>
      </c>
      <c r="D201" s="77" t="s">
        <v>226</v>
      </c>
      <c r="E201" s="77" t="s">
        <v>223</v>
      </c>
      <c r="F201" s="86">
        <v>0.20324146825396827</v>
      </c>
      <c r="G201" s="86">
        <v>0.2015652</v>
      </c>
      <c r="H201" s="86">
        <v>0.20658042363500828</v>
      </c>
      <c r="I201" s="86">
        <v>0.20658042363500828</v>
      </c>
      <c r="J201" s="86">
        <v>0.20081230876159237</v>
      </c>
      <c r="K201" s="86">
        <v>0.19557660264331919</v>
      </c>
      <c r="L201" s="86">
        <v>0.19090843409451935</v>
      </c>
      <c r="M201" s="86">
        <v>0.18646829255184208</v>
      </c>
      <c r="N201" s="86">
        <v>0.18779463402382171</v>
      </c>
      <c r="O201" s="86">
        <v>0.18867485661110212</v>
      </c>
      <c r="P201" s="86">
        <v>0.18653465293000443</v>
      </c>
      <c r="Q201" s="86">
        <v>0.18539424998977816</v>
      </c>
      <c r="R201" s="86">
        <v>0.1831385814828532</v>
      </c>
      <c r="S201" s="86">
        <v>0.18227744277237906</v>
      </c>
      <c r="T201" s="86">
        <v>0.18124060457759486</v>
      </c>
      <c r="U201" s="86">
        <v>0.18183833733100768</v>
      </c>
      <c r="V201" s="86">
        <v>0.17981805700371956</v>
      </c>
      <c r="W201" s="86">
        <v>0.17885897787981514</v>
      </c>
      <c r="X201" s="86">
        <v>0.17965987250048163</v>
      </c>
      <c r="Y201" s="86">
        <v>0.18003026661531643</v>
      </c>
      <c r="Z201" s="86">
        <v>0.18087298801659407</v>
      </c>
      <c r="AA201" s="86">
        <v>0.17967085936968444</v>
      </c>
      <c r="AB201" s="86">
        <v>0.18072333169907179</v>
      </c>
      <c r="AC201" s="86">
        <v>0.18186192490997988</v>
      </c>
      <c r="AD201" s="86">
        <v>0.18171291711784598</v>
      </c>
      <c r="AE201" s="86">
        <v>0.18224472034153733</v>
      </c>
      <c r="AF201" s="86">
        <v>0.1830118905558098</v>
      </c>
      <c r="AG201" s="86">
        <v>0.18570669370107423</v>
      </c>
    </row>
    <row r="202" spans="1:33" x14ac:dyDescent="0.25">
      <c r="A202" s="77" t="s">
        <v>274</v>
      </c>
      <c r="B202" s="77" t="s">
        <v>275</v>
      </c>
      <c r="C202" s="77" t="s">
        <v>282</v>
      </c>
      <c r="D202" s="77" t="s">
        <v>230</v>
      </c>
      <c r="E202" s="77" t="s">
        <v>239</v>
      </c>
      <c r="F202" s="86">
        <v>0.21280031749680761</v>
      </c>
      <c r="G202" s="86">
        <v>0.2250405</v>
      </c>
      <c r="H202" s="86">
        <v>0.23529907509039419</v>
      </c>
      <c r="I202" s="86">
        <v>0.23529907509039419</v>
      </c>
      <c r="J202" s="86">
        <v>0.22903478009747619</v>
      </c>
      <c r="K202" s="86">
        <v>0.22184118886813481</v>
      </c>
      <c r="L202" s="86">
        <v>0.21557595380310629</v>
      </c>
      <c r="M202" s="86">
        <v>0.20980408998530259</v>
      </c>
      <c r="N202" s="86">
        <v>0.21206111272783726</v>
      </c>
      <c r="O202" s="86">
        <v>0.2130427459549924</v>
      </c>
      <c r="P202" s="86">
        <v>0.20982346440446958</v>
      </c>
      <c r="Q202" s="86">
        <v>0.20768111215121393</v>
      </c>
      <c r="R202" s="86">
        <v>0.20444130699651225</v>
      </c>
      <c r="S202" s="86">
        <v>0.2031813233581567</v>
      </c>
      <c r="T202" s="86">
        <v>0.2017524115847211</v>
      </c>
      <c r="U202" s="86">
        <v>0.20182631716725702</v>
      </c>
      <c r="V202" s="86">
        <v>0.19949056624903649</v>
      </c>
      <c r="W202" s="86">
        <v>0.19800143989161839</v>
      </c>
      <c r="X202" s="86">
        <v>0.19891127183793422</v>
      </c>
      <c r="Y202" s="86">
        <v>0.19933604835144805</v>
      </c>
      <c r="Z202" s="86">
        <v>0.20030152102481191</v>
      </c>
      <c r="AA202" s="86">
        <v>0.19881145427764046</v>
      </c>
      <c r="AB202" s="86">
        <v>0.20048072851216686</v>
      </c>
      <c r="AC202" s="86">
        <v>0.20187419971870574</v>
      </c>
      <c r="AD202" s="86">
        <v>0.20174264423339811</v>
      </c>
      <c r="AE202" s="86">
        <v>0.20245478708184655</v>
      </c>
      <c r="AF202" s="86">
        <v>0.20290933454910359</v>
      </c>
      <c r="AG202" s="86">
        <v>0.20558190816436117</v>
      </c>
    </row>
    <row r="203" spans="1:33" x14ac:dyDescent="0.25">
      <c r="A203" s="77" t="s">
        <v>274</v>
      </c>
      <c r="B203" s="77" t="s">
        <v>275</v>
      </c>
      <c r="C203" s="77" t="s">
        <v>283</v>
      </c>
      <c r="D203" s="77" t="s">
        <v>237</v>
      </c>
      <c r="E203" s="77" t="s">
        <v>212</v>
      </c>
      <c r="F203" s="86">
        <v>0.14390206462977129</v>
      </c>
      <c r="G203" s="86">
        <v>0.15115479999999998</v>
      </c>
      <c r="H203" s="86">
        <v>0.16778330461489471</v>
      </c>
      <c r="I203" s="86">
        <v>0.16778330461489471</v>
      </c>
      <c r="J203" s="86">
        <v>0.16377447303050849</v>
      </c>
      <c r="K203" s="86">
        <v>0.16008574020904848</v>
      </c>
      <c r="L203" s="86">
        <v>0.15583568739375997</v>
      </c>
      <c r="M203" s="86">
        <v>0.15077740104474957</v>
      </c>
      <c r="N203" s="86">
        <v>0.1523886860903288</v>
      </c>
      <c r="O203" s="86">
        <v>0.15320024957478734</v>
      </c>
      <c r="P203" s="86">
        <v>0.15262744293297165</v>
      </c>
      <c r="Q203" s="86">
        <v>0.15210826599690319</v>
      </c>
      <c r="R203" s="86">
        <v>0.15031093135311097</v>
      </c>
      <c r="S203" s="86">
        <v>0.14965715052974879</v>
      </c>
      <c r="T203" s="86">
        <v>0.14862833063241898</v>
      </c>
      <c r="U203" s="86">
        <v>0.14951310991325623</v>
      </c>
      <c r="V203" s="86">
        <v>0.14834499788873268</v>
      </c>
      <c r="W203" s="86">
        <v>0.14748201236161596</v>
      </c>
      <c r="X203" s="86">
        <v>0.14810613870029929</v>
      </c>
      <c r="Y203" s="86">
        <v>0.1478482109702752</v>
      </c>
      <c r="Z203" s="86">
        <v>0.1470253919191267</v>
      </c>
      <c r="AA203" s="86">
        <v>0.14569644996691231</v>
      </c>
      <c r="AB203" s="86">
        <v>0.14601581267042135</v>
      </c>
      <c r="AC203" s="86">
        <v>0.14718173278322236</v>
      </c>
      <c r="AD203" s="86">
        <v>0.14652367677336617</v>
      </c>
      <c r="AE203" s="86">
        <v>0.14675105998251436</v>
      </c>
      <c r="AF203" s="86">
        <v>0.14686323084202449</v>
      </c>
      <c r="AG203" s="86">
        <v>0.14863118198774611</v>
      </c>
    </row>
    <row r="204" spans="1:33" x14ac:dyDescent="0.25">
      <c r="A204" s="77" t="s">
        <v>274</v>
      </c>
      <c r="B204" s="77" t="s">
        <v>284</v>
      </c>
      <c r="C204" s="77" t="s">
        <v>276</v>
      </c>
      <c r="D204" s="77" t="s">
        <v>207</v>
      </c>
      <c r="E204" s="77" t="s">
        <v>221</v>
      </c>
      <c r="F204" s="86">
        <v>0.127</v>
      </c>
      <c r="G204" s="86">
        <v>0.10299999999999999</v>
      </c>
      <c r="H204" s="86">
        <v>0.10152615779675543</v>
      </c>
      <c r="I204" s="86">
        <v>0.10152615779675543</v>
      </c>
      <c r="J204" s="86">
        <v>9.5932178454771269E-2</v>
      </c>
      <c r="K204" s="86">
        <v>9.2358399138606009E-2</v>
      </c>
      <c r="L204" s="86">
        <v>8.9298938662639396E-2</v>
      </c>
      <c r="M204" s="86">
        <v>8.5603423715344559E-2</v>
      </c>
      <c r="N204" s="86">
        <v>8.6599438258898778E-2</v>
      </c>
      <c r="O204" s="86">
        <v>8.7341431718030202E-2</v>
      </c>
      <c r="P204" s="86">
        <v>8.600919206696353E-2</v>
      </c>
      <c r="Q204" s="86">
        <v>8.5066653825384947E-2</v>
      </c>
      <c r="R204" s="86">
        <v>8.35400971953906E-2</v>
      </c>
      <c r="S204" s="86">
        <v>8.2972517250712474E-2</v>
      </c>
      <c r="T204" s="86">
        <v>8.2247260198597044E-2</v>
      </c>
      <c r="U204" s="86">
        <v>8.2763976522416891E-2</v>
      </c>
      <c r="V204" s="86">
        <v>8.1449952564036837E-2</v>
      </c>
      <c r="W204" s="86">
        <v>8.0800799432282147E-2</v>
      </c>
      <c r="X204" s="86">
        <v>8.135201789580071E-2</v>
      </c>
      <c r="Y204" s="86">
        <v>8.1177876395074788E-2</v>
      </c>
      <c r="Z204" s="86">
        <v>8.0877797133008578E-2</v>
      </c>
      <c r="AA204" s="86">
        <v>8.0372708760952954E-2</v>
      </c>
      <c r="AB204" s="86">
        <v>8.0850244941569505E-2</v>
      </c>
      <c r="AC204" s="86">
        <v>8.1652387732493739E-2</v>
      </c>
      <c r="AD204" s="86">
        <v>8.1503002017149162E-2</v>
      </c>
      <c r="AE204" s="86">
        <v>8.1313043772709384E-2</v>
      </c>
      <c r="AF204" s="86">
        <v>8.1834408362532723E-2</v>
      </c>
      <c r="AG204" s="86">
        <v>8.4026481751138526E-2</v>
      </c>
    </row>
    <row r="205" spans="1:33" x14ac:dyDescent="0.25">
      <c r="A205" s="77" t="s">
        <v>274</v>
      </c>
      <c r="B205" s="77" t="s">
        <v>284</v>
      </c>
      <c r="C205" s="77" t="s">
        <v>277</v>
      </c>
      <c r="D205" s="77" t="s">
        <v>244</v>
      </c>
      <c r="E205" s="77" t="s">
        <v>232</v>
      </c>
      <c r="F205" s="86">
        <v>0.14847410527394972</v>
      </c>
      <c r="G205" s="86">
        <v>0.10495840000000001</v>
      </c>
      <c r="H205" s="86">
        <v>0.10889143063824036</v>
      </c>
      <c r="I205" s="86">
        <v>0.10889143063824036</v>
      </c>
      <c r="J205" s="86">
        <v>0.10465666808683405</v>
      </c>
      <c r="K205" s="86">
        <v>0.10147560587850912</v>
      </c>
      <c r="L205" s="86">
        <v>9.8001928834009572E-2</v>
      </c>
      <c r="M205" s="86">
        <v>9.5264583234772493E-2</v>
      </c>
      <c r="N205" s="86">
        <v>9.6648517048470772E-2</v>
      </c>
      <c r="O205" s="86">
        <v>9.6760404480318404E-2</v>
      </c>
      <c r="P205" s="86">
        <v>9.5779641410685373E-2</v>
      </c>
      <c r="Q205" s="86">
        <v>9.4641861390845822E-2</v>
      </c>
      <c r="R205" s="86">
        <v>9.3202347382813605E-2</v>
      </c>
      <c r="S205" s="86">
        <v>9.2401816174068188E-2</v>
      </c>
      <c r="T205" s="86">
        <v>9.155677608880354E-2</v>
      </c>
      <c r="U205" s="86">
        <v>9.229936592047816E-2</v>
      </c>
      <c r="V205" s="86">
        <v>9.0877496621649165E-2</v>
      </c>
      <c r="W205" s="86">
        <v>9.0070310979411955E-2</v>
      </c>
      <c r="X205" s="86">
        <v>9.0672745138975483E-2</v>
      </c>
      <c r="Y205" s="86">
        <v>9.1116881908472488E-2</v>
      </c>
      <c r="Z205" s="86">
        <v>9.1867771780470814E-2</v>
      </c>
      <c r="AA205" s="86">
        <v>9.1150213785298584E-2</v>
      </c>
      <c r="AB205" s="86">
        <v>9.1818154086407588E-2</v>
      </c>
      <c r="AC205" s="86">
        <v>9.3082338942468951E-2</v>
      </c>
      <c r="AD205" s="86">
        <v>9.298192012724496E-2</v>
      </c>
      <c r="AE205" s="86">
        <v>9.4061125606363288E-2</v>
      </c>
      <c r="AF205" s="86">
        <v>9.4513505566586442E-2</v>
      </c>
      <c r="AG205" s="86">
        <v>9.6630930115679498E-2</v>
      </c>
    </row>
    <row r="206" spans="1:33" x14ac:dyDescent="0.25">
      <c r="A206" s="77" t="s">
        <v>274</v>
      </c>
      <c r="B206" s="77" t="s">
        <v>284</v>
      </c>
      <c r="C206" s="77" t="s">
        <v>278</v>
      </c>
      <c r="D206" s="77" t="s">
        <v>245</v>
      </c>
      <c r="E206" s="77" t="s">
        <v>228</v>
      </c>
      <c r="F206" s="86">
        <v>0.13797095589160324</v>
      </c>
      <c r="G206" s="86">
        <v>0.1198979</v>
      </c>
      <c r="H206" s="86">
        <v>0.13458281997679433</v>
      </c>
      <c r="I206" s="86">
        <v>0.13458281997679433</v>
      </c>
      <c r="J206" s="86">
        <v>0.12880321876215281</v>
      </c>
      <c r="K206" s="86">
        <v>0.12348955256815178</v>
      </c>
      <c r="L206" s="86">
        <v>0.11750817094092861</v>
      </c>
      <c r="M206" s="86">
        <v>0.1123530144090677</v>
      </c>
      <c r="N206" s="86">
        <v>0.11387274582030554</v>
      </c>
      <c r="O206" s="86">
        <v>0.11495147763210889</v>
      </c>
      <c r="P206" s="86">
        <v>0.11392332488375068</v>
      </c>
      <c r="Q206" s="86">
        <v>0.11302140206220632</v>
      </c>
      <c r="R206" s="86">
        <v>0.1109489945431395</v>
      </c>
      <c r="S206" s="86">
        <v>0.11007066621942693</v>
      </c>
      <c r="T206" s="86">
        <v>0.10900690562663909</v>
      </c>
      <c r="U206" s="86">
        <v>0.10966707797090766</v>
      </c>
      <c r="V206" s="86">
        <v>0.10761005095489518</v>
      </c>
      <c r="W206" s="86">
        <v>0.1066432028757438</v>
      </c>
      <c r="X206" s="86">
        <v>0.1074050004201674</v>
      </c>
      <c r="Y206" s="86">
        <v>0.10774611062098044</v>
      </c>
      <c r="Z206" s="86">
        <v>0.10853662507386763</v>
      </c>
      <c r="AA206" s="86">
        <v>0.10721676777273328</v>
      </c>
      <c r="AB206" s="86">
        <v>0.10826799991105507</v>
      </c>
      <c r="AC206" s="86">
        <v>0.1095121605173579</v>
      </c>
      <c r="AD206" s="86">
        <v>0.1094224923275518</v>
      </c>
      <c r="AE206" s="86">
        <v>0.11026592209331645</v>
      </c>
      <c r="AF206" s="86">
        <v>0.1110889535699302</v>
      </c>
      <c r="AG206" s="86">
        <v>0.11380195822545172</v>
      </c>
    </row>
    <row r="207" spans="1:33" x14ac:dyDescent="0.25">
      <c r="A207" s="77" t="s">
        <v>274</v>
      </c>
      <c r="B207" s="77" t="s">
        <v>284</v>
      </c>
      <c r="C207" s="77" t="s">
        <v>279</v>
      </c>
      <c r="D207" s="77" t="s">
        <v>31</v>
      </c>
      <c r="E207" s="77" t="s">
        <v>206</v>
      </c>
      <c r="F207" s="86">
        <v>8.6356867110183061E-2</v>
      </c>
      <c r="G207" s="86">
        <v>6.2989199999999995E-2</v>
      </c>
      <c r="H207" s="86">
        <v>7.9033711170316961E-2</v>
      </c>
      <c r="I207" s="86">
        <v>7.9033711170316961E-2</v>
      </c>
      <c r="J207" s="86">
        <v>7.5704680279597716E-2</v>
      </c>
      <c r="K207" s="86">
        <v>7.2392290198508374E-2</v>
      </c>
      <c r="L207" s="86">
        <v>6.8920650377502002E-2</v>
      </c>
      <c r="M207" s="86">
        <v>6.3656817877860677E-2</v>
      </c>
      <c r="N207" s="86">
        <v>6.5593121092547738E-2</v>
      </c>
      <c r="O207" s="86">
        <v>6.659220687811912E-2</v>
      </c>
      <c r="P207" s="86">
        <v>6.5809489939574639E-2</v>
      </c>
      <c r="Q207" s="86">
        <v>6.5110450592090433E-2</v>
      </c>
      <c r="R207" s="86">
        <v>6.3295188121683707E-2</v>
      </c>
      <c r="S207" s="86">
        <v>6.2597317783991968E-2</v>
      </c>
      <c r="T207" s="86">
        <v>6.1710510209832384E-2</v>
      </c>
      <c r="U207" s="86">
        <v>6.2013936587803624E-2</v>
      </c>
      <c r="V207" s="86">
        <v>6.0772819890246764E-2</v>
      </c>
      <c r="W207" s="86">
        <v>5.9629814586998613E-2</v>
      </c>
      <c r="X207" s="86">
        <v>6.0241048807664108E-2</v>
      </c>
      <c r="Y207" s="86">
        <v>5.9720092593627309E-2</v>
      </c>
      <c r="Z207" s="86">
        <v>5.9030841838079093E-2</v>
      </c>
      <c r="AA207" s="86">
        <v>5.7610755909919674E-2</v>
      </c>
      <c r="AB207" s="86">
        <v>5.7927075132198795E-2</v>
      </c>
      <c r="AC207" s="86">
        <v>5.918711308880871E-2</v>
      </c>
      <c r="AD207" s="86">
        <v>5.8748066554107241E-2</v>
      </c>
      <c r="AE207" s="86">
        <v>5.9525574392398382E-2</v>
      </c>
      <c r="AF207" s="86">
        <v>5.9817599643685347E-2</v>
      </c>
      <c r="AG207" s="86">
        <v>6.1841033732532101E-2</v>
      </c>
    </row>
    <row r="208" spans="1:33" x14ac:dyDescent="0.25">
      <c r="A208" s="77" t="s">
        <v>274</v>
      </c>
      <c r="B208" s="77" t="s">
        <v>284</v>
      </c>
      <c r="C208" s="77" t="s">
        <v>280</v>
      </c>
      <c r="D208" s="77" t="s">
        <v>21</v>
      </c>
      <c r="E208" s="77" t="s">
        <v>215</v>
      </c>
      <c r="F208" s="86">
        <v>9.4338942467489584E-2</v>
      </c>
      <c r="G208" s="86">
        <v>7.8619999999999995E-2</v>
      </c>
      <c r="H208" s="86">
        <v>9.2191484306287486E-2</v>
      </c>
      <c r="I208" s="86">
        <v>9.2191484306287486E-2</v>
      </c>
      <c r="J208" s="86">
        <v>8.809526555306528E-2</v>
      </c>
      <c r="K208" s="86">
        <v>8.4754258457299808E-2</v>
      </c>
      <c r="L208" s="86">
        <v>8.0164681717773148E-2</v>
      </c>
      <c r="M208" s="86">
        <v>7.5216728709914582E-2</v>
      </c>
      <c r="N208" s="86">
        <v>7.6988394353101522E-2</v>
      </c>
      <c r="O208" s="86">
        <v>7.7842868195093964E-2</v>
      </c>
      <c r="P208" s="86">
        <v>7.6218971239505898E-2</v>
      </c>
      <c r="Q208" s="86">
        <v>7.545193032592025E-2</v>
      </c>
      <c r="R208" s="86">
        <v>7.3356702726299669E-2</v>
      </c>
      <c r="S208" s="86">
        <v>7.2612311460124132E-2</v>
      </c>
      <c r="T208" s="86">
        <v>7.1533907031282318E-2</v>
      </c>
      <c r="U208" s="86">
        <v>7.2517136916825625E-2</v>
      </c>
      <c r="V208" s="86">
        <v>7.1117071399473014E-2</v>
      </c>
      <c r="W208" s="86">
        <v>7.0122789544185868E-2</v>
      </c>
      <c r="X208" s="86">
        <v>7.0818249799376398E-2</v>
      </c>
      <c r="Y208" s="86">
        <v>7.0389853767550373E-2</v>
      </c>
      <c r="Z208" s="86">
        <v>6.9946238053000986E-2</v>
      </c>
      <c r="AA208" s="86">
        <v>6.8509048150156654E-2</v>
      </c>
      <c r="AB208" s="86">
        <v>6.8809338083522451E-2</v>
      </c>
      <c r="AC208" s="86">
        <v>6.9767545816278892E-2</v>
      </c>
      <c r="AD208" s="86">
        <v>6.8805247785842336E-2</v>
      </c>
      <c r="AE208" s="86">
        <v>6.9466331950230567E-2</v>
      </c>
      <c r="AF208" s="86">
        <v>6.9512388335401909E-2</v>
      </c>
      <c r="AG208" s="86">
        <v>7.1337123933930727E-2</v>
      </c>
    </row>
    <row r="209" spans="1:33" x14ac:dyDescent="0.25">
      <c r="A209" s="77" t="s">
        <v>274</v>
      </c>
      <c r="B209" s="77" t="s">
        <v>284</v>
      </c>
      <c r="C209" s="77" t="s">
        <v>281</v>
      </c>
      <c r="D209" s="77" t="s">
        <v>226</v>
      </c>
      <c r="E209" s="77" t="s">
        <v>223</v>
      </c>
      <c r="F209" s="86">
        <v>0.1093251203919091</v>
      </c>
      <c r="G209" s="86">
        <v>9.6468600000000002E-2</v>
      </c>
      <c r="H209" s="86">
        <v>0.10216835916715855</v>
      </c>
      <c r="I209" s="86">
        <v>0.10216835916715855</v>
      </c>
      <c r="J209" s="86">
        <v>9.71338009857865E-2</v>
      </c>
      <c r="K209" s="86">
        <v>9.2563942782286177E-2</v>
      </c>
      <c r="L209" s="86">
        <v>8.8489445884226706E-2</v>
      </c>
      <c r="M209" s="86">
        <v>8.4613976788914178E-2</v>
      </c>
      <c r="N209" s="86">
        <v>8.5771641546913982E-2</v>
      </c>
      <c r="O209" s="86">
        <v>8.6539922332833336E-2</v>
      </c>
      <c r="P209" s="86">
        <v>8.467189782414461E-2</v>
      </c>
      <c r="Q209" s="86">
        <v>8.3676524972047292E-2</v>
      </c>
      <c r="R209" s="86">
        <v>8.1707719810357238E-2</v>
      </c>
      <c r="S209" s="86">
        <v>8.0956095920185614E-2</v>
      </c>
      <c r="T209" s="86">
        <v>8.005111702658417E-2</v>
      </c>
      <c r="U209" s="86">
        <v>8.0572833460810872E-2</v>
      </c>
      <c r="V209" s="86">
        <v>7.8809481122373473E-2</v>
      </c>
      <c r="W209" s="86">
        <v>7.7972372334528445E-2</v>
      </c>
      <c r="X209" s="86">
        <v>7.8671413642370069E-2</v>
      </c>
      <c r="Y209" s="86">
        <v>7.8994703098647714E-2</v>
      </c>
      <c r="Z209" s="86">
        <v>7.9730251890328965E-2</v>
      </c>
      <c r="AA209" s="86">
        <v>7.8681003262800059E-2</v>
      </c>
      <c r="AB209" s="86">
        <v>7.9599628028926964E-2</v>
      </c>
      <c r="AC209" s="86">
        <v>8.059342130299145E-2</v>
      </c>
      <c r="AD209" s="86">
        <v>8.0463363491134518E-2</v>
      </c>
      <c r="AE209" s="86">
        <v>8.0927534945668969E-2</v>
      </c>
      <c r="AF209" s="86">
        <v>8.1597140729106343E-2</v>
      </c>
      <c r="AG209" s="86">
        <v>8.3949233834031578E-2</v>
      </c>
    </row>
    <row r="210" spans="1:33" x14ac:dyDescent="0.25">
      <c r="A210" s="77" t="s">
        <v>274</v>
      </c>
      <c r="B210" s="77" t="s">
        <v>284</v>
      </c>
      <c r="C210" s="77" t="s">
        <v>282</v>
      </c>
      <c r="D210" s="77" t="s">
        <v>230</v>
      </c>
      <c r="E210" s="77" t="s">
        <v>239</v>
      </c>
      <c r="F210" s="86">
        <v>0.158</v>
      </c>
      <c r="G210" s="86">
        <v>0.13700000000000001</v>
      </c>
      <c r="H210" s="86">
        <v>0.14552597446623655</v>
      </c>
      <c r="I210" s="86">
        <v>0.14552597446623655</v>
      </c>
      <c r="J210" s="86">
        <v>0.13932907760934141</v>
      </c>
      <c r="K210" s="86">
        <v>0.13221288290119138</v>
      </c>
      <c r="L210" s="86">
        <v>0.12601505608650954</v>
      </c>
      <c r="M210" s="86">
        <v>0.12030529229163543</v>
      </c>
      <c r="N210" s="86">
        <v>0.12253803151527769</v>
      </c>
      <c r="O210" s="86">
        <v>0.12350910325868357</v>
      </c>
      <c r="P210" s="86">
        <v>0.12032445825961359</v>
      </c>
      <c r="Q210" s="86">
        <v>0.11820515577472568</v>
      </c>
      <c r="R210" s="86">
        <v>0.11500020798685473</v>
      </c>
      <c r="S210" s="86">
        <v>0.11375378063036976</v>
      </c>
      <c r="T210" s="86">
        <v>0.11234024265241788</v>
      </c>
      <c r="U210" s="86">
        <v>0.11241335307787545</v>
      </c>
      <c r="V210" s="86">
        <v>0.11010273272235664</v>
      </c>
      <c r="W210" s="86">
        <v>0.10862962801476603</v>
      </c>
      <c r="X210" s="86">
        <v>0.10952967099403209</v>
      </c>
      <c r="Y210" s="86">
        <v>0.10994987729728771</v>
      </c>
      <c r="Z210" s="86">
        <v>0.11090496235981277</v>
      </c>
      <c r="AA210" s="86">
        <v>0.10943092738021017</v>
      </c>
      <c r="AB210" s="86">
        <v>0.11108224173704156</v>
      </c>
      <c r="AC210" s="86">
        <v>0.11246072045647243</v>
      </c>
      <c r="AD210" s="86">
        <v>0.11233058038894178</v>
      </c>
      <c r="AE210" s="86">
        <v>0.11303506122584357</v>
      </c>
      <c r="AF210" s="86">
        <v>0.11348471817436519</v>
      </c>
      <c r="AG210" s="86">
        <v>0.11612853732000473</v>
      </c>
    </row>
    <row r="211" spans="1:33" x14ac:dyDescent="0.25">
      <c r="A211" s="77" t="s">
        <v>274</v>
      </c>
      <c r="B211" s="77" t="s">
        <v>284</v>
      </c>
      <c r="C211" s="77" t="s">
        <v>283</v>
      </c>
      <c r="D211" s="77" t="s">
        <v>237</v>
      </c>
      <c r="E211" s="77" t="s">
        <v>212</v>
      </c>
      <c r="F211" s="86">
        <v>0.1104823715980041</v>
      </c>
      <c r="G211" s="86">
        <v>7.1368000000000001E-2</v>
      </c>
      <c r="H211" s="86">
        <v>8.668809243988479E-2</v>
      </c>
      <c r="I211" s="86">
        <v>8.668809243988479E-2</v>
      </c>
      <c r="J211" s="86">
        <v>8.2573914161654716E-2</v>
      </c>
      <c r="K211" s="86">
        <v>7.8788246410643747E-2</v>
      </c>
      <c r="L211" s="86">
        <v>7.4426507932506172E-2</v>
      </c>
      <c r="M211" s="86">
        <v>6.9235296632131113E-2</v>
      </c>
      <c r="N211" s="86">
        <v>7.0888924078187546E-2</v>
      </c>
      <c r="O211" s="86">
        <v>7.1721814357781397E-2</v>
      </c>
      <c r="P211" s="86">
        <v>7.1133955129031867E-2</v>
      </c>
      <c r="Q211" s="86">
        <v>7.0601134922453401E-2</v>
      </c>
      <c r="R211" s="86">
        <v>6.8756568745365551E-2</v>
      </c>
      <c r="S211" s="86">
        <v>6.8085607442656751E-2</v>
      </c>
      <c r="T211" s="86">
        <v>6.7029751544321919E-2</v>
      </c>
      <c r="U211" s="86">
        <v>6.7937781632796179E-2</v>
      </c>
      <c r="V211" s="86">
        <v>6.6738973197801782E-2</v>
      </c>
      <c r="W211" s="86">
        <v>6.5853309573538035E-2</v>
      </c>
      <c r="X211" s="86">
        <v>6.649383711165742E-2</v>
      </c>
      <c r="Y211" s="86">
        <v>6.622913138833611E-2</v>
      </c>
      <c r="Z211" s="86">
        <v>6.538468976092178E-2</v>
      </c>
      <c r="AA211" s="86">
        <v>6.4020825004386689E-2</v>
      </c>
      <c r="AB211" s="86">
        <v>6.434858012953866E-2</v>
      </c>
      <c r="AC211" s="86">
        <v>6.554513905232312E-2</v>
      </c>
      <c r="AD211" s="86">
        <v>6.4869790216978238E-2</v>
      </c>
      <c r="AE211" s="86">
        <v>6.510314875056078E-2</v>
      </c>
      <c r="AF211" s="86">
        <v>6.521826730915635E-2</v>
      </c>
      <c r="AG211" s="86">
        <v>6.7032677829426041E-2</v>
      </c>
    </row>
  </sheetData>
  <sheetProtection algorithmName="SHA-512" hashValue="gclCUT98JJ+WFLZ4SPqnexcCukkfJ5RakytvTkL6zMfzz1MwpJSchjcOo896GALLRuZUA8zP9toTLIpfwbdaWQ==" saltValue="N+fVhoaiCGJ4gqEq0lvt/g==" spinCount="100000" sheet="1" selectLockedCells="1" selectUnlockedCells="1"/>
  <sortState xmlns:xlrd2="http://schemas.microsoft.com/office/spreadsheetml/2017/richdata2" ref="A196:AG211">
    <sortCondition descending="1" ref="B196:B211"/>
    <sortCondition ref="C196:C211"/>
  </sortState>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52</vt:i4>
      </vt:variant>
    </vt:vector>
  </HeadingPairs>
  <TitlesOfParts>
    <vt:vector size="57" baseType="lpstr">
      <vt:lpstr>Inputs</vt:lpstr>
      <vt:lpstr>Model</vt:lpstr>
      <vt:lpstr>ModelFactors</vt:lpstr>
      <vt:lpstr>Wind Capacity Factor</vt:lpstr>
      <vt:lpstr>2026_Forecasts</vt:lpstr>
      <vt:lpstr>BESS_Size_kW</vt:lpstr>
      <vt:lpstr>Cash_Flow_Base_Year</vt:lpstr>
      <vt:lpstr>Cash_Flow_Label</vt:lpstr>
      <vt:lpstr>CC_MTC</vt:lpstr>
      <vt:lpstr>Community_Adder</vt:lpstr>
      <vt:lpstr>Cost_Base_Year</vt:lpstr>
      <vt:lpstr>Date_of_Operation</vt:lpstr>
      <vt:lpstr>Days_per_Year</vt:lpstr>
      <vt:lpstr>Decomm_Cost_Rate</vt:lpstr>
      <vt:lpstr>Degradation</vt:lpstr>
      <vt:lpstr>DRV_Factors</vt:lpstr>
      <vt:lpstr>DRV_Rate</vt:lpstr>
      <vt:lpstr>DRV_Ref_Year</vt:lpstr>
      <vt:lpstr>DRV_Renewal_Rate</vt:lpstr>
      <vt:lpstr>DRV_Table</vt:lpstr>
      <vt:lpstr>Forecast_Base_Year</vt:lpstr>
      <vt:lpstr>Forecast_Energy_Header</vt:lpstr>
      <vt:lpstr>Forecast_Energy_Tier1</vt:lpstr>
      <vt:lpstr>Forecast_Energy_VDER</vt:lpstr>
      <vt:lpstr>Forecast_ICAP</vt:lpstr>
      <vt:lpstr>Forecast_ICAP_Header</vt:lpstr>
      <vt:lpstr>Forecast_NEM_Commercial</vt:lpstr>
      <vt:lpstr>Forecast_NEM_Header</vt:lpstr>
      <vt:lpstr>Forecast_NEM_Residential</vt:lpstr>
      <vt:lpstr>Fraction_of_Credits</vt:lpstr>
      <vt:lpstr>Ground_Lease_Ann</vt:lpstr>
      <vt:lpstr>Ground_Lease_Esc</vt:lpstr>
      <vt:lpstr>Inflation</vt:lpstr>
      <vt:lpstr>Inverter_Age</vt:lpstr>
      <vt:lpstr>Inverter_Cost</vt:lpstr>
      <vt:lpstr>Inverter_Repl_Cycle</vt:lpstr>
      <vt:lpstr>Inverter_Size</vt:lpstr>
      <vt:lpstr>Inverter_Size_Step</vt:lpstr>
      <vt:lpstr>Loaded_Discount_Rate</vt:lpstr>
      <vt:lpstr>NEM_Utility_Name</vt:lpstr>
      <vt:lpstr>Nominal_Real_Switch</vt:lpstr>
      <vt:lpstr>NYISO_Name</vt:lpstr>
      <vt:lpstr>NYISO_Zone</vt:lpstr>
      <vt:lpstr>Plant_Type</vt:lpstr>
      <vt:lpstr>Plant_Type_Table</vt:lpstr>
      <vt:lpstr>Residential_Share</vt:lpstr>
      <vt:lpstr>Revenue_Model</vt:lpstr>
      <vt:lpstr>StorageDegradation</vt:lpstr>
      <vt:lpstr>System_Age</vt:lpstr>
      <vt:lpstr>System_Size</vt:lpstr>
      <vt:lpstr>Tax_Status_Year</vt:lpstr>
      <vt:lpstr>Utility_Loss_Adjustment</vt:lpstr>
      <vt:lpstr>ValGroup</vt:lpstr>
      <vt:lpstr>ValGroup_Table</vt:lpstr>
      <vt:lpstr>ValGroup_Zone</vt:lpstr>
      <vt:lpstr>VDER_Utility_Name</vt:lpstr>
      <vt:lpstr>Zone_Capacity_Factor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2026-04-06T15:19:11Z</dcterms:created>
  <dcterms:modified xsi:type="dcterms:W3CDTF">2026-04-07T16:59:30Z</dcterms:modified>
  <cp:category/>
  <cp:contentStatus/>
</cp:coreProperties>
</file>